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 Pública 17" sheetId="1" r:id="rId1"/>
  </sheets>
  <externalReferences>
    <externalReference r:id="rId2"/>
  </externalReferences>
  <definedNames>
    <definedName name="_xlnm.Print_Area" localSheetId="0">'Resoluciones de Obra Pública 17'!$A$1:$AB$343</definedName>
  </definedNames>
  <calcPr calcId="125725"/>
</workbook>
</file>

<file path=xl/calcChain.xml><?xml version="1.0" encoding="utf-8"?>
<calcChain xmlns="http://schemas.openxmlformats.org/spreadsheetml/2006/main">
  <c r="W332" i="1"/>
  <c r="V332"/>
  <c r="N332"/>
  <c r="Q332" s="1"/>
  <c r="M332"/>
  <c r="L332"/>
  <c r="K332"/>
  <c r="J332"/>
  <c r="I332"/>
  <c r="G332"/>
  <c r="E332"/>
  <c r="D332"/>
  <c r="C332"/>
  <c r="W331"/>
  <c r="V331"/>
  <c r="N331"/>
  <c r="Q331" s="1"/>
  <c r="M331"/>
  <c r="L331"/>
  <c r="K331"/>
  <c r="J331"/>
  <c r="I331"/>
  <c r="G331"/>
  <c r="E331"/>
  <c r="D331"/>
  <c r="C331"/>
  <c r="W330"/>
  <c r="V330"/>
  <c r="N330"/>
  <c r="Q330" s="1"/>
  <c r="M330"/>
  <c r="L330"/>
  <c r="K330"/>
  <c r="J330"/>
  <c r="I330"/>
  <c r="G330"/>
  <c r="E330"/>
  <c r="D330"/>
  <c r="C330"/>
  <c r="W329"/>
  <c r="V329"/>
  <c r="N329"/>
  <c r="Q329" s="1"/>
  <c r="M329"/>
  <c r="L329"/>
  <c r="K329"/>
  <c r="J329"/>
  <c r="I329"/>
  <c r="G329"/>
  <c r="E329"/>
  <c r="D329"/>
  <c r="C329"/>
  <c r="W328"/>
  <c r="V328"/>
  <c r="N328"/>
  <c r="Q328" s="1"/>
  <c r="M328"/>
  <c r="L328"/>
  <c r="K328"/>
  <c r="J328"/>
  <c r="I328"/>
  <c r="G328"/>
  <c r="E328"/>
  <c r="D328"/>
  <c r="C328"/>
  <c r="W327"/>
  <c r="V327"/>
  <c r="N327"/>
  <c r="Q327" s="1"/>
  <c r="M327"/>
  <c r="L327"/>
  <c r="K327"/>
  <c r="J327"/>
  <c r="I327"/>
  <c r="G327"/>
  <c r="E327"/>
  <c r="D327"/>
  <c r="C327"/>
  <c r="W326"/>
  <c r="V326"/>
  <c r="N326"/>
  <c r="Q326" s="1"/>
  <c r="M326"/>
  <c r="L326"/>
  <c r="K326"/>
  <c r="J326"/>
  <c r="I326"/>
  <c r="G326"/>
  <c r="E326"/>
  <c r="D326"/>
  <c r="C326"/>
  <c r="W325"/>
  <c r="V325"/>
  <c r="N325"/>
  <c r="Q325" s="1"/>
  <c r="M325"/>
  <c r="L325"/>
  <c r="K325"/>
  <c r="J325"/>
  <c r="I325"/>
  <c r="G325"/>
  <c r="E325"/>
  <c r="D325"/>
  <c r="C325"/>
  <c r="W324"/>
  <c r="V324"/>
  <c r="N324"/>
  <c r="Q324" s="1"/>
  <c r="M324"/>
  <c r="L324"/>
  <c r="K324"/>
  <c r="J324"/>
  <c r="I324"/>
  <c r="G324"/>
  <c r="E324"/>
  <c r="D324"/>
  <c r="C324"/>
  <c r="W323"/>
  <c r="V323"/>
  <c r="N323"/>
  <c r="Q323" s="1"/>
  <c r="M323"/>
  <c r="L323"/>
  <c r="K323"/>
  <c r="J323"/>
  <c r="I323"/>
  <c r="G323"/>
  <c r="E323"/>
  <c r="D323"/>
  <c r="C323"/>
  <c r="W322"/>
  <c r="V322"/>
  <c r="N322"/>
  <c r="Q322" s="1"/>
  <c r="M322"/>
  <c r="L322"/>
  <c r="K322"/>
  <c r="J322"/>
  <c r="I322"/>
  <c r="G322"/>
  <c r="E322"/>
  <c r="D322"/>
  <c r="C322"/>
  <c r="W321"/>
  <c r="V321"/>
  <c r="N321"/>
  <c r="Q321" s="1"/>
  <c r="M321"/>
  <c r="L321"/>
  <c r="K321"/>
  <c r="J321"/>
  <c r="I321"/>
  <c r="G321"/>
  <c r="E321"/>
  <c r="D321"/>
  <c r="C321"/>
  <c r="W320"/>
  <c r="V320"/>
  <c r="N320"/>
  <c r="Q320" s="1"/>
  <c r="M320"/>
  <c r="L320"/>
  <c r="K320"/>
  <c r="J320"/>
  <c r="I320"/>
  <c r="G320"/>
  <c r="E320"/>
  <c r="D320"/>
  <c r="C320"/>
  <c r="W319"/>
  <c r="V319"/>
  <c r="N319"/>
  <c r="Q319" s="1"/>
  <c r="M319"/>
  <c r="L319"/>
  <c r="K319"/>
  <c r="J319"/>
  <c r="I319"/>
  <c r="G319"/>
  <c r="E319"/>
  <c r="D319"/>
  <c r="C319"/>
  <c r="W318"/>
  <c r="V318"/>
  <c r="N318"/>
  <c r="Q318" s="1"/>
  <c r="M318"/>
  <c r="L318"/>
  <c r="K318"/>
  <c r="J318"/>
  <c r="I318"/>
  <c r="G318"/>
  <c r="E318"/>
  <c r="D318"/>
  <c r="C318"/>
  <c r="W317"/>
  <c r="V317"/>
  <c r="N317"/>
  <c r="Q317" s="1"/>
  <c r="M317"/>
  <c r="L317"/>
  <c r="K317"/>
  <c r="J317"/>
  <c r="I317"/>
  <c r="G317"/>
  <c r="E317"/>
  <c r="D317"/>
  <c r="C317"/>
  <c r="W316"/>
  <c r="V316"/>
  <c r="N316"/>
  <c r="Q316" s="1"/>
  <c r="M316"/>
  <c r="L316"/>
  <c r="K316"/>
  <c r="J316"/>
  <c r="I316"/>
  <c r="G316"/>
  <c r="E316"/>
  <c r="D316"/>
  <c r="C316"/>
  <c r="W315"/>
  <c r="V315"/>
  <c r="N315"/>
  <c r="Q315" s="1"/>
  <c r="M315"/>
  <c r="L315"/>
  <c r="K315"/>
  <c r="J315"/>
  <c r="I315"/>
  <c r="G315"/>
  <c r="E315"/>
  <c r="D315"/>
  <c r="C315"/>
  <c r="W314"/>
  <c r="V314"/>
  <c r="N314"/>
  <c r="Q314" s="1"/>
  <c r="M314"/>
  <c r="L314"/>
  <c r="K314"/>
  <c r="J314"/>
  <c r="I314"/>
  <c r="G314"/>
  <c r="E314"/>
  <c r="D314"/>
  <c r="C314"/>
  <c r="W313"/>
  <c r="V313"/>
  <c r="N313"/>
  <c r="Q313" s="1"/>
  <c r="M313"/>
  <c r="L313"/>
  <c r="K313"/>
  <c r="J313"/>
  <c r="I313"/>
  <c r="G313"/>
  <c r="E313"/>
  <c r="D313"/>
  <c r="C313"/>
  <c r="W312"/>
  <c r="V312"/>
  <c r="N312"/>
  <c r="Q312" s="1"/>
  <c r="M312"/>
  <c r="L312"/>
  <c r="K312"/>
  <c r="J312"/>
  <c r="I312"/>
  <c r="G312"/>
  <c r="E312"/>
  <c r="D312"/>
  <c r="C312"/>
  <c r="W311"/>
  <c r="V311"/>
  <c r="N311"/>
  <c r="Q311" s="1"/>
  <c r="M311"/>
  <c r="L311"/>
  <c r="K311"/>
  <c r="J311"/>
  <c r="I311"/>
  <c r="G311"/>
  <c r="E311"/>
  <c r="D311"/>
  <c r="C311"/>
  <c r="W310"/>
  <c r="V310"/>
  <c r="N310"/>
  <c r="Q310" s="1"/>
  <c r="M310"/>
  <c r="L310"/>
  <c r="K310"/>
  <c r="J310"/>
  <c r="I310"/>
  <c r="G310"/>
  <c r="E310"/>
  <c r="D310"/>
  <c r="C310"/>
  <c r="W309"/>
  <c r="V309"/>
  <c r="N309"/>
  <c r="Q309" s="1"/>
  <c r="M309"/>
  <c r="L309"/>
  <c r="K309"/>
  <c r="J309"/>
  <c r="I309"/>
  <c r="G309"/>
  <c r="E309"/>
  <c r="D309"/>
  <c r="C309"/>
  <c r="W308"/>
  <c r="V308"/>
  <c r="N308"/>
  <c r="Q308" s="1"/>
  <c r="M308"/>
  <c r="L308"/>
  <c r="K308"/>
  <c r="J308"/>
  <c r="I308"/>
  <c r="G308"/>
  <c r="E308"/>
  <c r="D308"/>
  <c r="C308"/>
  <c r="W307"/>
  <c r="V307"/>
  <c r="N307"/>
  <c r="Q307" s="1"/>
  <c r="M307"/>
  <c r="L307"/>
  <c r="K307"/>
  <c r="J307"/>
  <c r="I307"/>
  <c r="G307"/>
  <c r="E307"/>
  <c r="D307"/>
  <c r="C307"/>
  <c r="W306"/>
  <c r="V306"/>
  <c r="N306"/>
  <c r="Q306" s="1"/>
  <c r="M306"/>
  <c r="L306"/>
  <c r="K306"/>
  <c r="J306"/>
  <c r="I306"/>
  <c r="G306"/>
  <c r="E306"/>
  <c r="D306"/>
  <c r="C306"/>
  <c r="W305"/>
  <c r="V305"/>
  <c r="N305"/>
  <c r="Q305" s="1"/>
  <c r="M305"/>
  <c r="L305"/>
  <c r="K305"/>
  <c r="J305"/>
  <c r="I305"/>
  <c r="G305"/>
  <c r="E305"/>
  <c r="D305"/>
  <c r="C305"/>
  <c r="W304"/>
  <c r="V304"/>
  <c r="N304"/>
  <c r="Q304" s="1"/>
  <c r="M304"/>
  <c r="L304"/>
  <c r="K304"/>
  <c r="J304"/>
  <c r="I304"/>
  <c r="G304"/>
  <c r="E304"/>
  <c r="D304"/>
  <c r="C304"/>
  <c r="W303"/>
  <c r="V303"/>
  <c r="M303"/>
  <c r="L303"/>
  <c r="K303"/>
  <c r="J303"/>
  <c r="I303"/>
  <c r="G303"/>
  <c r="N303" s="1"/>
  <c r="Q303" s="1"/>
  <c r="E303"/>
  <c r="D303"/>
  <c r="C303"/>
  <c r="W302"/>
  <c r="V302"/>
  <c r="M302"/>
  <c r="L302"/>
  <c r="K302"/>
  <c r="J302"/>
  <c r="I302"/>
  <c r="G302"/>
  <c r="N302" s="1"/>
  <c r="Q302" s="1"/>
  <c r="E302"/>
  <c r="D302"/>
  <c r="C302"/>
  <c r="W301"/>
  <c r="V301"/>
  <c r="M301"/>
  <c r="L301"/>
  <c r="K301"/>
  <c r="J301"/>
  <c r="I301"/>
  <c r="G301"/>
  <c r="N301" s="1"/>
  <c r="Q301" s="1"/>
  <c r="E301"/>
  <c r="D301"/>
  <c r="C301"/>
  <c r="W300"/>
  <c r="V300"/>
  <c r="M300"/>
  <c r="L300"/>
  <c r="K300"/>
  <c r="J300"/>
  <c r="I300"/>
  <c r="G300"/>
  <c r="N300" s="1"/>
  <c r="Q300" s="1"/>
  <c r="E300"/>
  <c r="D300"/>
  <c r="C300"/>
  <c r="W299"/>
  <c r="V299"/>
  <c r="M299"/>
  <c r="L299"/>
  <c r="K299"/>
  <c r="J299"/>
  <c r="I299"/>
  <c r="G299"/>
  <c r="N299" s="1"/>
  <c r="Q299" s="1"/>
  <c r="E299"/>
  <c r="D299"/>
  <c r="C299"/>
  <c r="W298"/>
  <c r="V298"/>
  <c r="M298"/>
  <c r="L298"/>
  <c r="K298"/>
  <c r="J298"/>
  <c r="I298"/>
  <c r="G298"/>
  <c r="N298" s="1"/>
  <c r="Q298" s="1"/>
  <c r="E298"/>
  <c r="D298"/>
  <c r="C298"/>
  <c r="W297"/>
  <c r="V297"/>
  <c r="M297"/>
  <c r="L297"/>
  <c r="K297"/>
  <c r="J297"/>
  <c r="I297"/>
  <c r="G297"/>
  <c r="N297" s="1"/>
  <c r="Q297" s="1"/>
  <c r="E297"/>
  <c r="D297"/>
  <c r="C297"/>
  <c r="W296"/>
  <c r="V296"/>
  <c r="M296"/>
  <c r="L296"/>
  <c r="K296"/>
  <c r="J296"/>
  <c r="I296"/>
  <c r="G296"/>
  <c r="N296" s="1"/>
  <c r="Q296" s="1"/>
  <c r="E296"/>
  <c r="D296"/>
  <c r="C296"/>
  <c r="W295"/>
  <c r="V295"/>
  <c r="N295"/>
  <c r="Q295" s="1"/>
  <c r="M295"/>
  <c r="L295"/>
  <c r="K295"/>
  <c r="J295"/>
  <c r="I295"/>
  <c r="H295"/>
  <c r="G295"/>
  <c r="E295"/>
  <c r="D295"/>
  <c r="C295"/>
  <c r="B295"/>
  <c r="W294"/>
  <c r="V294"/>
  <c r="N294"/>
  <c r="Q294" s="1"/>
  <c r="M294"/>
  <c r="L294"/>
  <c r="K294"/>
  <c r="J294"/>
  <c r="I294"/>
  <c r="G294"/>
  <c r="E294"/>
  <c r="D294"/>
  <c r="C294"/>
  <c r="W293"/>
  <c r="V293"/>
  <c r="N293"/>
  <c r="Q293" s="1"/>
  <c r="M293"/>
  <c r="L293"/>
  <c r="K293"/>
  <c r="J293"/>
  <c r="I293"/>
  <c r="G293"/>
  <c r="E293"/>
  <c r="D293"/>
  <c r="C293"/>
  <c r="W292"/>
  <c r="V292"/>
  <c r="N292"/>
  <c r="Q292" s="1"/>
  <c r="M292"/>
  <c r="L292"/>
  <c r="K292"/>
  <c r="J292"/>
  <c r="I292"/>
  <c r="G292"/>
  <c r="E292"/>
  <c r="D292"/>
  <c r="C292"/>
  <c r="W291"/>
  <c r="V291"/>
  <c r="N291"/>
  <c r="Q291" s="1"/>
  <c r="M291"/>
  <c r="L291"/>
  <c r="K291"/>
  <c r="J291"/>
  <c r="I291"/>
  <c r="G291"/>
  <c r="E291"/>
  <c r="D291"/>
  <c r="C291"/>
  <c r="W290"/>
  <c r="V290"/>
  <c r="N290"/>
  <c r="Q290" s="1"/>
  <c r="M290"/>
  <c r="L290"/>
  <c r="K290"/>
  <c r="J290"/>
  <c r="I290"/>
  <c r="H290"/>
  <c r="G290"/>
  <c r="E290"/>
  <c r="D290"/>
  <c r="C290"/>
  <c r="B290"/>
  <c r="W289"/>
  <c r="V289"/>
  <c r="N289"/>
  <c r="Q289" s="1"/>
  <c r="M289"/>
  <c r="L289"/>
  <c r="K289"/>
  <c r="J289"/>
  <c r="I289"/>
  <c r="H289"/>
  <c r="G289"/>
  <c r="E289"/>
  <c r="D289"/>
  <c r="C289"/>
  <c r="B289"/>
  <c r="W288"/>
  <c r="V288"/>
  <c r="N288"/>
  <c r="Q288" s="1"/>
  <c r="M288"/>
  <c r="L288"/>
  <c r="K288"/>
  <c r="J288"/>
  <c r="I288"/>
  <c r="H288"/>
  <c r="G288"/>
  <c r="E288"/>
  <c r="D288"/>
  <c r="C288"/>
  <c r="B288"/>
  <c r="W287"/>
  <c r="V287"/>
  <c r="N287"/>
  <c r="Q287" s="1"/>
  <c r="M287"/>
  <c r="L287"/>
  <c r="K287"/>
  <c r="J287"/>
  <c r="I287"/>
  <c r="H287"/>
  <c r="G287"/>
  <c r="E287"/>
  <c r="D287"/>
  <c r="C287"/>
  <c r="B287"/>
  <c r="W286"/>
  <c r="V286"/>
  <c r="N286"/>
  <c r="Q286" s="1"/>
  <c r="M286"/>
  <c r="L286"/>
  <c r="K286"/>
  <c r="J286"/>
  <c r="I286"/>
  <c r="H286"/>
  <c r="G286"/>
  <c r="E286"/>
  <c r="D286"/>
  <c r="C286"/>
  <c r="B286"/>
  <c r="W285"/>
  <c r="V285"/>
  <c r="N285"/>
  <c r="Q285" s="1"/>
  <c r="M285"/>
  <c r="L285"/>
  <c r="K285"/>
  <c r="J285"/>
  <c r="I285"/>
  <c r="H285"/>
  <c r="G285"/>
  <c r="E285"/>
  <c r="D285"/>
  <c r="C285"/>
  <c r="B285"/>
  <c r="W284"/>
  <c r="V284"/>
  <c r="N284"/>
  <c r="Q284" s="1"/>
  <c r="M284"/>
  <c r="L284"/>
  <c r="K284"/>
  <c r="J284"/>
  <c r="I284"/>
  <c r="G284"/>
  <c r="E284"/>
  <c r="D284"/>
  <c r="C284"/>
  <c r="W283"/>
  <c r="V283"/>
  <c r="N283"/>
  <c r="Q283" s="1"/>
  <c r="M283"/>
  <c r="L283"/>
  <c r="K283"/>
  <c r="J283"/>
  <c r="I283"/>
  <c r="G283"/>
  <c r="E283"/>
  <c r="D283"/>
  <c r="C283"/>
  <c r="W282"/>
  <c r="V282"/>
  <c r="N282"/>
  <c r="Q282" s="1"/>
  <c r="M282"/>
  <c r="L282"/>
  <c r="K282"/>
  <c r="J282"/>
  <c r="I282"/>
  <c r="G282"/>
  <c r="E282"/>
  <c r="D282"/>
  <c r="C282"/>
  <c r="W281"/>
  <c r="V281"/>
  <c r="N281"/>
  <c r="Q281" s="1"/>
  <c r="M281"/>
  <c r="L281"/>
  <c r="K281"/>
  <c r="J281"/>
  <c r="I281"/>
  <c r="G281"/>
  <c r="E281"/>
  <c r="D281"/>
  <c r="C281"/>
  <c r="W280"/>
  <c r="V280"/>
  <c r="N280"/>
  <c r="Q280" s="1"/>
  <c r="M280"/>
  <c r="L280"/>
  <c r="K280"/>
  <c r="J280"/>
  <c r="I280"/>
  <c r="G280"/>
  <c r="E280"/>
  <c r="D280"/>
  <c r="C280"/>
  <c r="W279"/>
  <c r="V279"/>
  <c r="N279"/>
  <c r="Q279" s="1"/>
  <c r="M279"/>
  <c r="L279"/>
  <c r="K279"/>
  <c r="J279"/>
  <c r="I279"/>
  <c r="G279"/>
  <c r="E279"/>
  <c r="D279"/>
  <c r="C279"/>
  <c r="W278"/>
  <c r="V278"/>
  <c r="N278"/>
  <c r="Q278" s="1"/>
  <c r="M278"/>
  <c r="L278"/>
  <c r="K278"/>
  <c r="J278"/>
  <c r="I278"/>
  <c r="G278"/>
  <c r="E278"/>
  <c r="D278"/>
  <c r="C278"/>
  <c r="W277"/>
  <c r="V277"/>
  <c r="N277"/>
  <c r="Q277" s="1"/>
  <c r="M277"/>
  <c r="L277"/>
  <c r="K277"/>
  <c r="J277"/>
  <c r="I277"/>
  <c r="G277"/>
  <c r="E277"/>
  <c r="D277"/>
  <c r="C277"/>
  <c r="W276"/>
  <c r="V276"/>
  <c r="N276"/>
  <c r="Q276" s="1"/>
  <c r="M276"/>
  <c r="L276"/>
  <c r="K276"/>
  <c r="J276"/>
  <c r="I276"/>
  <c r="G276"/>
  <c r="E276"/>
  <c r="D276"/>
  <c r="C276"/>
  <c r="W275"/>
  <c r="V275"/>
  <c r="N275"/>
  <c r="Q275" s="1"/>
  <c r="M275"/>
  <c r="L275"/>
  <c r="K275"/>
  <c r="J275"/>
  <c r="I275"/>
  <c r="G275"/>
  <c r="E275"/>
  <c r="D275"/>
  <c r="C275"/>
  <c r="W274"/>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H272"/>
  <c r="G272"/>
  <c r="E272"/>
  <c r="D272"/>
  <c r="C272"/>
  <c r="W271"/>
  <c r="V271"/>
  <c r="N271"/>
  <c r="Q271" s="1"/>
  <c r="M271"/>
  <c r="L271"/>
  <c r="K271"/>
  <c r="J271"/>
  <c r="I271"/>
  <c r="G271"/>
  <c r="E271"/>
  <c r="D271"/>
  <c r="C271"/>
  <c r="W270"/>
  <c r="V270"/>
  <c r="N270"/>
  <c r="Q270" s="1"/>
  <c r="M270"/>
  <c r="L270"/>
  <c r="K270"/>
  <c r="J270"/>
  <c r="I270"/>
  <c r="G270"/>
  <c r="E270"/>
  <c r="D270"/>
  <c r="C270"/>
  <c r="W269"/>
  <c r="V269"/>
  <c r="M269"/>
  <c r="L269"/>
  <c r="K269"/>
  <c r="J269"/>
  <c r="I269"/>
  <c r="H269"/>
  <c r="G269"/>
  <c r="N269" s="1"/>
  <c r="Q269" s="1"/>
  <c r="E269"/>
  <c r="D269"/>
  <c r="C269"/>
  <c r="W268"/>
  <c r="V268"/>
  <c r="M268"/>
  <c r="L268"/>
  <c r="K268"/>
  <c r="J268"/>
  <c r="I268"/>
  <c r="H268"/>
  <c r="G268"/>
  <c r="N268" s="1"/>
  <c r="Q268" s="1"/>
  <c r="E268"/>
  <c r="D268"/>
  <c r="C268"/>
  <c r="W267"/>
  <c r="V267"/>
  <c r="M267"/>
  <c r="L267"/>
  <c r="K267"/>
  <c r="J267"/>
  <c r="I267"/>
  <c r="H267"/>
  <c r="G267"/>
  <c r="N267" s="1"/>
  <c r="Q267" s="1"/>
  <c r="E267"/>
  <c r="D267"/>
  <c r="C267"/>
  <c r="W266"/>
  <c r="V266"/>
  <c r="M266"/>
  <c r="L266"/>
  <c r="K266"/>
  <c r="J266"/>
  <c r="I266"/>
  <c r="H266"/>
  <c r="G266"/>
  <c r="N266" s="1"/>
  <c r="Q266" s="1"/>
  <c r="E266"/>
  <c r="D266"/>
  <c r="C266"/>
  <c r="W265"/>
  <c r="V265"/>
  <c r="M265"/>
  <c r="L265"/>
  <c r="K265"/>
  <c r="J265"/>
  <c r="I265"/>
  <c r="H265"/>
  <c r="G265"/>
  <c r="N265" s="1"/>
  <c r="Q265" s="1"/>
  <c r="E265"/>
  <c r="D265"/>
  <c r="C265"/>
  <c r="W264"/>
  <c r="V264"/>
  <c r="M264"/>
  <c r="L264"/>
  <c r="K264"/>
  <c r="J264"/>
  <c r="I264"/>
  <c r="H264"/>
  <c r="G264"/>
  <c r="N264" s="1"/>
  <c r="Q264" s="1"/>
  <c r="E264"/>
  <c r="D264"/>
  <c r="C264"/>
  <c r="W263"/>
  <c r="V263"/>
  <c r="M263"/>
  <c r="L263"/>
  <c r="K263"/>
  <c r="J263"/>
  <c r="I263"/>
  <c r="H263"/>
  <c r="G263"/>
  <c r="N263" s="1"/>
  <c r="Q263" s="1"/>
  <c r="E263"/>
  <c r="D263"/>
  <c r="C263"/>
  <c r="W262"/>
  <c r="V262"/>
  <c r="M262"/>
  <c r="L262"/>
  <c r="K262"/>
  <c r="J262"/>
  <c r="I262"/>
  <c r="H262"/>
  <c r="G262"/>
  <c r="N262" s="1"/>
  <c r="Q262" s="1"/>
  <c r="E262"/>
  <c r="D262"/>
  <c r="C262"/>
  <c r="W261"/>
  <c r="V261"/>
  <c r="M261"/>
  <c r="L261"/>
  <c r="K261"/>
  <c r="J261"/>
  <c r="I261"/>
  <c r="H261"/>
  <c r="G261"/>
  <c r="N261" s="1"/>
  <c r="Q261" s="1"/>
  <c r="E261"/>
  <c r="D261"/>
  <c r="C261"/>
  <c r="W260"/>
  <c r="V260"/>
  <c r="M260"/>
  <c r="L260"/>
  <c r="K260"/>
  <c r="J260"/>
  <c r="I260"/>
  <c r="H260"/>
  <c r="G260"/>
  <c r="N260" s="1"/>
  <c r="Q260" s="1"/>
  <c r="E260"/>
  <c r="D260"/>
  <c r="C260"/>
  <c r="W259"/>
  <c r="V259"/>
  <c r="M259"/>
  <c r="L259"/>
  <c r="K259"/>
  <c r="J259"/>
  <c r="I259"/>
  <c r="H259"/>
  <c r="G259"/>
  <c r="N259" s="1"/>
  <c r="Q259" s="1"/>
  <c r="E259"/>
  <c r="D259"/>
  <c r="C259"/>
  <c r="W258"/>
  <c r="V258"/>
  <c r="M258"/>
  <c r="L258"/>
  <c r="K258"/>
  <c r="J258"/>
  <c r="I258"/>
  <c r="H258"/>
  <c r="G258"/>
  <c r="N258" s="1"/>
  <c r="Q258" s="1"/>
  <c r="E258"/>
  <c r="D258"/>
  <c r="C258"/>
  <c r="W257"/>
  <c r="V257"/>
  <c r="M257"/>
  <c r="L257"/>
  <c r="K257"/>
  <c r="J257"/>
  <c r="I257"/>
  <c r="H257"/>
  <c r="G257"/>
  <c r="N257" s="1"/>
  <c r="Q257" s="1"/>
  <c r="E257"/>
  <c r="D257"/>
  <c r="C257"/>
  <c r="W256"/>
  <c r="V256"/>
  <c r="M256"/>
  <c r="L256"/>
  <c r="K256"/>
  <c r="J256"/>
  <c r="I256"/>
  <c r="H256"/>
  <c r="G256"/>
  <c r="N256" s="1"/>
  <c r="Q256" s="1"/>
  <c r="E256"/>
  <c r="D256"/>
  <c r="C256"/>
  <c r="W255"/>
  <c r="V255"/>
  <c r="M255"/>
  <c r="L255"/>
  <c r="K255"/>
  <c r="J255"/>
  <c r="I255"/>
  <c r="H255"/>
  <c r="G255"/>
  <c r="N255" s="1"/>
  <c r="Q255" s="1"/>
  <c r="E255"/>
  <c r="D255"/>
  <c r="C255"/>
  <c r="W254"/>
  <c r="V254"/>
  <c r="M254"/>
  <c r="L254"/>
  <c r="K254"/>
  <c r="J254"/>
  <c r="I254"/>
  <c r="H254"/>
  <c r="G254"/>
  <c r="N254" s="1"/>
  <c r="Q254" s="1"/>
  <c r="E254"/>
  <c r="D254"/>
  <c r="C254"/>
  <c r="W253"/>
  <c r="V253"/>
  <c r="M253"/>
  <c r="L253"/>
  <c r="K253"/>
  <c r="J253"/>
  <c r="I253"/>
  <c r="H253"/>
  <c r="G253"/>
  <c r="N253" s="1"/>
  <c r="Q253" s="1"/>
  <c r="E253"/>
  <c r="D253"/>
  <c r="C253"/>
  <c r="W252"/>
  <c r="V252"/>
  <c r="M252"/>
  <c r="L252"/>
  <c r="K252"/>
  <c r="J252"/>
  <c r="I252"/>
  <c r="H252"/>
  <c r="G252"/>
  <c r="N252" s="1"/>
  <c r="Q252" s="1"/>
  <c r="E252"/>
  <c r="D252"/>
  <c r="C252"/>
  <c r="W251"/>
  <c r="V251"/>
  <c r="M251"/>
  <c r="L251"/>
  <c r="K251"/>
  <c r="J251"/>
  <c r="I251"/>
  <c r="H251"/>
  <c r="G251"/>
  <c r="N251" s="1"/>
  <c r="Q251" s="1"/>
  <c r="E251"/>
  <c r="D251"/>
  <c r="C251"/>
  <c r="W250"/>
  <c r="V250"/>
  <c r="M250"/>
  <c r="L250"/>
  <c r="K250"/>
  <c r="J250"/>
  <c r="I250"/>
  <c r="H250"/>
  <c r="G250"/>
  <c r="N250" s="1"/>
  <c r="Q250" s="1"/>
  <c r="E250"/>
  <c r="D250"/>
  <c r="C250"/>
  <c r="W249"/>
  <c r="V249"/>
  <c r="M249"/>
  <c r="L249"/>
  <c r="K249"/>
  <c r="J249"/>
  <c r="I249"/>
  <c r="H249"/>
  <c r="G249"/>
  <c r="N249" s="1"/>
  <c r="Q249" s="1"/>
  <c r="E249"/>
  <c r="D249"/>
  <c r="C249"/>
  <c r="W248"/>
  <c r="V248"/>
  <c r="M248"/>
  <c r="L248"/>
  <c r="K248"/>
  <c r="J248"/>
  <c r="I248"/>
  <c r="H248"/>
  <c r="G248"/>
  <c r="N248" s="1"/>
  <c r="Q248" s="1"/>
  <c r="E248"/>
  <c r="D248"/>
  <c r="C248"/>
  <c r="W247"/>
  <c r="V247"/>
  <c r="M247"/>
  <c r="L247"/>
  <c r="K247"/>
  <c r="J247"/>
  <c r="I247"/>
  <c r="H247"/>
  <c r="G247"/>
  <c r="N247" s="1"/>
  <c r="Q247" s="1"/>
  <c r="E247"/>
  <c r="D247"/>
  <c r="C247"/>
  <c r="W246"/>
  <c r="V246"/>
  <c r="N246"/>
  <c r="Q246" s="1"/>
  <c r="M246"/>
  <c r="L246"/>
  <c r="K246"/>
  <c r="J246"/>
  <c r="I246"/>
  <c r="G246"/>
  <c r="E246"/>
  <c r="D246"/>
  <c r="C246"/>
  <c r="W245"/>
  <c r="V245"/>
  <c r="N245"/>
  <c r="Q245" s="1"/>
  <c r="M245"/>
  <c r="L245"/>
  <c r="K245"/>
  <c r="J245"/>
  <c r="I245"/>
  <c r="G245"/>
  <c r="E245"/>
  <c r="D245"/>
  <c r="C245"/>
  <c r="W244"/>
  <c r="V244"/>
  <c r="N244"/>
  <c r="Q244" s="1"/>
  <c r="M244"/>
  <c r="L244"/>
  <c r="K244"/>
  <c r="J244"/>
  <c r="I244"/>
  <c r="G244"/>
  <c r="E244"/>
  <c r="D244"/>
  <c r="C244"/>
  <c r="W243"/>
  <c r="V243"/>
  <c r="N243"/>
  <c r="Q243" s="1"/>
  <c r="M243"/>
  <c r="L243"/>
  <c r="K243"/>
  <c r="J243"/>
  <c r="I243"/>
  <c r="G243"/>
  <c r="E243"/>
  <c r="D243"/>
  <c r="C243"/>
  <c r="W242"/>
  <c r="V242"/>
  <c r="N242"/>
  <c r="Q242" s="1"/>
  <c r="M242"/>
  <c r="L242"/>
  <c r="K242"/>
  <c r="J242"/>
  <c r="I242"/>
  <c r="G242"/>
  <c r="E242"/>
  <c r="D242"/>
  <c r="C242"/>
  <c r="W241"/>
  <c r="V241"/>
  <c r="N241"/>
  <c r="Q241" s="1"/>
  <c r="M241"/>
  <c r="L241"/>
  <c r="K241"/>
  <c r="J241"/>
  <c r="I241"/>
  <c r="G241"/>
  <c r="E241"/>
  <c r="D241"/>
  <c r="C241"/>
  <c r="W240"/>
  <c r="V240"/>
  <c r="N240"/>
  <c r="Q240" s="1"/>
  <c r="M240"/>
  <c r="L240"/>
  <c r="K240"/>
  <c r="J240"/>
  <c r="I240"/>
  <c r="G240"/>
  <c r="E240"/>
  <c r="D240"/>
  <c r="C240"/>
  <c r="W239"/>
  <c r="V239"/>
  <c r="N239"/>
  <c r="Q239" s="1"/>
  <c r="M239"/>
  <c r="L239"/>
  <c r="K239"/>
  <c r="J239"/>
  <c r="I239"/>
  <c r="H239"/>
  <c r="G239"/>
  <c r="E239"/>
  <c r="D239"/>
  <c r="C239"/>
  <c r="B239"/>
  <c r="W238"/>
  <c r="V238"/>
  <c r="N238"/>
  <c r="Q238" s="1"/>
  <c r="M238"/>
  <c r="L238"/>
  <c r="K238"/>
  <c r="J238"/>
  <c r="I238"/>
  <c r="H238"/>
  <c r="G238"/>
  <c r="E238"/>
  <c r="D238"/>
  <c r="C238"/>
  <c r="B238"/>
  <c r="W237"/>
  <c r="V237"/>
  <c r="N237"/>
  <c r="Q237" s="1"/>
  <c r="M237"/>
  <c r="L237"/>
  <c r="K237"/>
  <c r="J237"/>
  <c r="I237"/>
  <c r="H237"/>
  <c r="G237"/>
  <c r="E237"/>
  <c r="D237"/>
  <c r="C237"/>
  <c r="B237"/>
  <c r="W236"/>
  <c r="V236"/>
  <c r="N236"/>
  <c r="Q236" s="1"/>
  <c r="M236"/>
  <c r="L236"/>
  <c r="K236"/>
  <c r="J236"/>
  <c r="I236"/>
  <c r="H236"/>
  <c r="G236"/>
  <c r="E236"/>
  <c r="D236"/>
  <c r="C236"/>
  <c r="B236"/>
  <c r="W235"/>
  <c r="V235"/>
  <c r="N235"/>
  <c r="Q235" s="1"/>
  <c r="M235"/>
  <c r="L235"/>
  <c r="K235"/>
  <c r="J235"/>
  <c r="I235"/>
  <c r="H235"/>
  <c r="G235"/>
  <c r="E235"/>
  <c r="D235"/>
  <c r="C235"/>
  <c r="B235"/>
  <c r="W234"/>
  <c r="V234"/>
  <c r="N234"/>
  <c r="Q234" s="1"/>
  <c r="M234"/>
  <c r="L234"/>
  <c r="K234"/>
  <c r="J234"/>
  <c r="I234"/>
  <c r="H234"/>
  <c r="G234"/>
  <c r="E234"/>
  <c r="D234"/>
  <c r="C234"/>
  <c r="B234"/>
  <c r="W233"/>
  <c r="V233"/>
  <c r="N233"/>
  <c r="Q233" s="1"/>
  <c r="M233"/>
  <c r="L233"/>
  <c r="K233"/>
  <c r="J233"/>
  <c r="I233"/>
  <c r="H233"/>
  <c r="G233"/>
  <c r="E233"/>
  <c r="D233"/>
  <c r="C233"/>
  <c r="B233"/>
  <c r="W232"/>
  <c r="V232"/>
  <c r="N232"/>
  <c r="Q232" s="1"/>
  <c r="M232"/>
  <c r="L232"/>
  <c r="K232"/>
  <c r="J232"/>
  <c r="I232"/>
  <c r="H232"/>
  <c r="G232"/>
  <c r="E232"/>
  <c r="D232"/>
  <c r="C232"/>
  <c r="B232"/>
  <c r="W231"/>
  <c r="V231"/>
  <c r="N231"/>
  <c r="Q231" s="1"/>
  <c r="M231"/>
  <c r="L231"/>
  <c r="K231"/>
  <c r="J231"/>
  <c r="I231"/>
  <c r="G231"/>
  <c r="E231"/>
  <c r="D231"/>
  <c r="C231"/>
  <c r="W230"/>
  <c r="V230"/>
  <c r="N230"/>
  <c r="Q230" s="1"/>
  <c r="M230"/>
  <c r="L230"/>
  <c r="K230"/>
  <c r="J230"/>
  <c r="I230"/>
  <c r="G230"/>
  <c r="E230"/>
  <c r="D230"/>
  <c r="C230"/>
  <c r="W229"/>
  <c r="V229"/>
  <c r="N229"/>
  <c r="Q229" s="1"/>
  <c r="M229"/>
  <c r="L229"/>
  <c r="K229"/>
  <c r="J229"/>
  <c r="I229"/>
  <c r="G229"/>
  <c r="E229"/>
  <c r="D229"/>
  <c r="C229"/>
  <c r="W228"/>
  <c r="V228"/>
  <c r="N228"/>
  <c r="Q228" s="1"/>
  <c r="M228"/>
  <c r="L228"/>
  <c r="K228"/>
  <c r="J228"/>
  <c r="I228"/>
  <c r="G228"/>
  <c r="E228"/>
  <c r="D228"/>
  <c r="C228"/>
  <c r="W227"/>
  <c r="V227"/>
  <c r="N227"/>
  <c r="Q227" s="1"/>
  <c r="M227"/>
  <c r="L227"/>
  <c r="K227"/>
  <c r="J227"/>
  <c r="I227"/>
  <c r="G227"/>
  <c r="E227"/>
  <c r="D227"/>
  <c r="C227"/>
  <c r="W226"/>
  <c r="V226"/>
  <c r="N226"/>
  <c r="Q226" s="1"/>
  <c r="M226"/>
  <c r="L226"/>
  <c r="K226"/>
  <c r="J226"/>
  <c r="I226"/>
  <c r="G226"/>
  <c r="E226"/>
  <c r="D226"/>
  <c r="C226"/>
  <c r="W225"/>
  <c r="V225"/>
  <c r="N225"/>
  <c r="Q225" s="1"/>
  <c r="M225"/>
  <c r="L225"/>
  <c r="K225"/>
  <c r="J225"/>
  <c r="I225"/>
  <c r="G225"/>
  <c r="E225"/>
  <c r="D225"/>
  <c r="C225"/>
  <c r="W224"/>
  <c r="V224"/>
  <c r="N224"/>
  <c r="Q224" s="1"/>
  <c r="M224"/>
  <c r="L224"/>
  <c r="K224"/>
  <c r="J224"/>
  <c r="I224"/>
  <c r="G224"/>
  <c r="E224"/>
  <c r="D224"/>
  <c r="C224"/>
  <c r="W223"/>
  <c r="V223"/>
  <c r="N223"/>
  <c r="Q223" s="1"/>
  <c r="M223"/>
  <c r="L223"/>
  <c r="K223"/>
  <c r="J223"/>
  <c r="I223"/>
  <c r="G223"/>
  <c r="E223"/>
  <c r="D223"/>
  <c r="C223"/>
  <c r="W222"/>
  <c r="V222"/>
  <c r="N222"/>
  <c r="Q222" s="1"/>
  <c r="M222"/>
  <c r="L222"/>
  <c r="K222"/>
  <c r="J222"/>
  <c r="I222"/>
  <c r="G222"/>
  <c r="E222"/>
  <c r="D222"/>
  <c r="C222"/>
  <c r="W221"/>
  <c r="V221"/>
  <c r="N221"/>
  <c r="Q221" s="1"/>
  <c r="M221"/>
  <c r="L221"/>
  <c r="K221"/>
  <c r="J221"/>
  <c r="I221"/>
  <c r="G221"/>
  <c r="E221"/>
  <c r="D221"/>
  <c r="C221"/>
  <c r="W220"/>
  <c r="V220"/>
  <c r="N220"/>
  <c r="Q220" s="1"/>
  <c r="M220"/>
  <c r="L220"/>
  <c r="K220"/>
  <c r="J220"/>
  <c r="I220"/>
  <c r="G220"/>
  <c r="E220"/>
  <c r="D220"/>
  <c r="C220"/>
  <c r="W219"/>
  <c r="V219"/>
  <c r="N219"/>
  <c r="Q219" s="1"/>
  <c r="M219"/>
  <c r="L219"/>
  <c r="K219"/>
  <c r="J219"/>
  <c r="I219"/>
  <c r="G219"/>
  <c r="E219"/>
  <c r="D219"/>
  <c r="C219"/>
  <c r="W218"/>
  <c r="V218"/>
  <c r="N218"/>
  <c r="Q218" s="1"/>
  <c r="M218"/>
  <c r="L218"/>
  <c r="K218"/>
  <c r="J218"/>
  <c r="I218"/>
  <c r="G218"/>
  <c r="E218"/>
  <c r="D218"/>
  <c r="C218"/>
  <c r="W217"/>
  <c r="V217"/>
  <c r="M217"/>
  <c r="L217"/>
  <c r="K217"/>
  <c r="J217"/>
  <c r="I217"/>
  <c r="H217"/>
  <c r="G217"/>
  <c r="N217" s="1"/>
  <c r="Q217" s="1"/>
  <c r="E217"/>
  <c r="D217"/>
  <c r="C217"/>
  <c r="B217"/>
  <c r="W216"/>
  <c r="V216"/>
  <c r="M216"/>
  <c r="L216"/>
  <c r="K216"/>
  <c r="J216"/>
  <c r="I216"/>
  <c r="H216"/>
  <c r="G216"/>
  <c r="N216" s="1"/>
  <c r="Q216" s="1"/>
  <c r="E216"/>
  <c r="D216"/>
  <c r="C216"/>
  <c r="B216"/>
  <c r="W215"/>
  <c r="V215"/>
  <c r="M215"/>
  <c r="L215"/>
  <c r="K215"/>
  <c r="J215"/>
  <c r="I215"/>
  <c r="H215"/>
  <c r="G215"/>
  <c r="N215" s="1"/>
  <c r="Q215" s="1"/>
  <c r="E215"/>
  <c r="D215"/>
  <c r="C215"/>
  <c r="B215"/>
  <c r="W214"/>
  <c r="V214"/>
  <c r="M214"/>
  <c r="L214"/>
  <c r="K214"/>
  <c r="J214"/>
  <c r="I214"/>
  <c r="H214"/>
  <c r="G214"/>
  <c r="N214" s="1"/>
  <c r="Q214" s="1"/>
  <c r="E214"/>
  <c r="D214"/>
  <c r="C214"/>
  <c r="B214"/>
  <c r="W213"/>
  <c r="V213"/>
  <c r="M213"/>
  <c r="L213"/>
  <c r="K213"/>
  <c r="J213"/>
  <c r="I213"/>
  <c r="H213"/>
  <c r="G213"/>
  <c r="N213" s="1"/>
  <c r="Q213" s="1"/>
  <c r="E213"/>
  <c r="D213"/>
  <c r="C213"/>
  <c r="B213"/>
  <c r="W212"/>
  <c r="V212"/>
  <c r="M212"/>
  <c r="L212"/>
  <c r="K212"/>
  <c r="J212"/>
  <c r="I212"/>
  <c r="H212"/>
  <c r="G212"/>
  <c r="N212" s="1"/>
  <c r="Q212" s="1"/>
  <c r="E212"/>
  <c r="D212"/>
  <c r="C212"/>
  <c r="B212"/>
  <c r="W211"/>
  <c r="V211"/>
  <c r="M211"/>
  <c r="L211"/>
  <c r="K211"/>
  <c r="J211"/>
  <c r="I211"/>
  <c r="H211"/>
  <c r="G211"/>
  <c r="N211" s="1"/>
  <c r="Q211" s="1"/>
  <c r="E211"/>
  <c r="D211"/>
  <c r="C211"/>
  <c r="B211"/>
  <c r="W210"/>
  <c r="V210"/>
  <c r="M210"/>
  <c r="L210"/>
  <c r="K210"/>
  <c r="J210"/>
  <c r="I210"/>
  <c r="H210"/>
  <c r="G210"/>
  <c r="N210" s="1"/>
  <c r="Q210" s="1"/>
  <c r="E210"/>
  <c r="D210"/>
  <c r="C210"/>
  <c r="B210"/>
  <c r="W209"/>
  <c r="V209"/>
  <c r="M209"/>
  <c r="L209"/>
  <c r="K209"/>
  <c r="J209"/>
  <c r="I209"/>
  <c r="H209"/>
  <c r="G209"/>
  <c r="N209" s="1"/>
  <c r="Q209" s="1"/>
  <c r="E209"/>
  <c r="D209"/>
  <c r="C209"/>
  <c r="B209"/>
  <c r="W208"/>
  <c r="V208"/>
  <c r="M208"/>
  <c r="L208"/>
  <c r="K208"/>
  <c r="J208"/>
  <c r="I208"/>
  <c r="H208"/>
  <c r="G208"/>
  <c r="N208" s="1"/>
  <c r="Q208" s="1"/>
  <c r="E208"/>
  <c r="D208"/>
  <c r="C208"/>
  <c r="B208"/>
  <c r="W207"/>
  <c r="V207"/>
  <c r="M207"/>
  <c r="L207"/>
  <c r="K207"/>
  <c r="J207"/>
  <c r="I207"/>
  <c r="H207"/>
  <c r="G207"/>
  <c r="N207" s="1"/>
  <c r="Q207" s="1"/>
  <c r="E207"/>
  <c r="D207"/>
  <c r="C207"/>
  <c r="B207"/>
  <c r="W206"/>
  <c r="V206"/>
  <c r="M206"/>
  <c r="L206"/>
  <c r="K206"/>
  <c r="J206"/>
  <c r="I206"/>
  <c r="H206"/>
  <c r="G206"/>
  <c r="N206" s="1"/>
  <c r="Q206" s="1"/>
  <c r="E206"/>
  <c r="D206"/>
  <c r="C206"/>
  <c r="B206"/>
  <c r="W205"/>
  <c r="V205"/>
  <c r="M205"/>
  <c r="L205"/>
  <c r="K205"/>
  <c r="J205"/>
  <c r="I205"/>
  <c r="H205"/>
  <c r="G205"/>
  <c r="N205" s="1"/>
  <c r="Q205" s="1"/>
  <c r="E205"/>
  <c r="D205"/>
  <c r="C205"/>
  <c r="B205"/>
  <c r="W204"/>
  <c r="V204"/>
  <c r="M204"/>
  <c r="L204"/>
  <c r="K204"/>
  <c r="J204"/>
  <c r="I204"/>
  <c r="H204"/>
  <c r="G204"/>
  <c r="N204" s="1"/>
  <c r="Q204" s="1"/>
  <c r="E204"/>
  <c r="D204"/>
  <c r="C204"/>
  <c r="B204"/>
  <c r="W203"/>
  <c r="V203"/>
  <c r="M203"/>
  <c r="L203"/>
  <c r="K203"/>
  <c r="J203"/>
  <c r="I203"/>
  <c r="H203"/>
  <c r="G203"/>
  <c r="N203" s="1"/>
  <c r="Q203" s="1"/>
  <c r="E203"/>
  <c r="D203"/>
  <c r="C203"/>
  <c r="B203"/>
  <c r="W202"/>
  <c r="V202"/>
  <c r="M202"/>
  <c r="L202"/>
  <c r="K202"/>
  <c r="J202"/>
  <c r="I202"/>
  <c r="H202"/>
  <c r="G202"/>
  <c r="N202" s="1"/>
  <c r="Q202" s="1"/>
  <c r="E202"/>
  <c r="D202"/>
  <c r="C202"/>
  <c r="B202"/>
  <c r="W201"/>
  <c r="V201"/>
  <c r="M201"/>
  <c r="L201"/>
  <c r="K201"/>
  <c r="J201"/>
  <c r="I201"/>
  <c r="H201"/>
  <c r="G201"/>
  <c r="N201" s="1"/>
  <c r="Q201" s="1"/>
  <c r="E201"/>
  <c r="D201"/>
  <c r="C201"/>
  <c r="B201"/>
  <c r="W200"/>
  <c r="V200"/>
  <c r="M200"/>
  <c r="L200"/>
  <c r="K200"/>
  <c r="J200"/>
  <c r="I200"/>
  <c r="H200"/>
  <c r="G200"/>
  <c r="N200" s="1"/>
  <c r="Q200" s="1"/>
  <c r="E200"/>
  <c r="D200"/>
  <c r="C200"/>
  <c r="B200"/>
  <c r="W199"/>
  <c r="V199"/>
  <c r="N199"/>
  <c r="Q199" s="1"/>
  <c r="M199"/>
  <c r="L199"/>
  <c r="K199"/>
  <c r="J199"/>
  <c r="I199"/>
  <c r="G199"/>
  <c r="E199"/>
  <c r="D199"/>
  <c r="C199"/>
  <c r="W198"/>
  <c r="V198"/>
  <c r="N198"/>
  <c r="Q198" s="1"/>
  <c r="M198"/>
  <c r="L198"/>
  <c r="K198"/>
  <c r="J198"/>
  <c r="I198"/>
  <c r="G198"/>
  <c r="E198"/>
  <c r="D198"/>
  <c r="C198"/>
  <c r="W197"/>
  <c r="V197"/>
  <c r="N197"/>
  <c r="Q197" s="1"/>
  <c r="M197"/>
  <c r="L197"/>
  <c r="K197"/>
  <c r="J197"/>
  <c r="I197"/>
  <c r="G197"/>
  <c r="E197"/>
  <c r="D197"/>
  <c r="C197"/>
  <c r="W196"/>
  <c r="V196"/>
  <c r="N196"/>
  <c r="M196"/>
  <c r="L196"/>
  <c r="K196"/>
  <c r="J196"/>
  <c r="I196"/>
  <c r="G196"/>
  <c r="E196"/>
  <c r="D196"/>
  <c r="C196"/>
  <c r="W195"/>
  <c r="V195"/>
  <c r="N195"/>
  <c r="Q195" s="1"/>
  <c r="M195"/>
  <c r="L195"/>
  <c r="K195"/>
  <c r="J195"/>
  <c r="I195"/>
  <c r="G195"/>
  <c r="E195"/>
  <c r="D195"/>
  <c r="C195"/>
  <c r="W194"/>
  <c r="V194"/>
  <c r="M194"/>
  <c r="L194"/>
  <c r="K194"/>
  <c r="J194"/>
  <c r="I194"/>
  <c r="G194"/>
  <c r="N194" s="1"/>
  <c r="Q194" s="1"/>
  <c r="E194"/>
  <c r="D194"/>
  <c r="C194"/>
  <c r="W193"/>
  <c r="V193"/>
  <c r="M193"/>
  <c r="L193"/>
  <c r="K193"/>
  <c r="J193"/>
  <c r="I193"/>
  <c r="G193"/>
  <c r="N193" s="1"/>
  <c r="Q193" s="1"/>
  <c r="E193"/>
  <c r="D193"/>
  <c r="C193"/>
  <c r="W192"/>
  <c r="V192"/>
  <c r="M192"/>
  <c r="L192"/>
  <c r="K192"/>
  <c r="J192"/>
  <c r="I192"/>
  <c r="G192"/>
  <c r="N192" s="1"/>
  <c r="Q192" s="1"/>
  <c r="E192"/>
  <c r="D192"/>
  <c r="C192"/>
  <c r="W191"/>
  <c r="V191"/>
  <c r="M191"/>
  <c r="L191"/>
  <c r="K191"/>
  <c r="J191"/>
  <c r="I191"/>
  <c r="G191"/>
  <c r="N191" s="1"/>
  <c r="Q191" s="1"/>
  <c r="E191"/>
  <c r="D191"/>
  <c r="C191"/>
  <c r="W190"/>
  <c r="V190"/>
  <c r="M190"/>
  <c r="L190"/>
  <c r="K190"/>
  <c r="J190"/>
  <c r="I190"/>
  <c r="G190"/>
  <c r="N190" s="1"/>
  <c r="Q190" s="1"/>
  <c r="E190"/>
  <c r="D190"/>
  <c r="C190"/>
  <c r="W189"/>
  <c r="V189"/>
  <c r="M189"/>
  <c r="L189"/>
  <c r="K189"/>
  <c r="J189"/>
  <c r="I189"/>
  <c r="G189"/>
  <c r="N189" s="1"/>
  <c r="Q189" s="1"/>
  <c r="E189"/>
  <c r="D189"/>
  <c r="C189"/>
  <c r="W188"/>
  <c r="V188"/>
  <c r="M188"/>
  <c r="L188"/>
  <c r="K188"/>
  <c r="J188"/>
  <c r="I188"/>
  <c r="G188"/>
  <c r="N188" s="1"/>
  <c r="Q188" s="1"/>
  <c r="E188"/>
  <c r="D188"/>
  <c r="C188"/>
  <c r="W187"/>
  <c r="V187"/>
  <c r="M187"/>
  <c r="L187"/>
  <c r="K187"/>
  <c r="J187"/>
  <c r="I187"/>
  <c r="G187"/>
  <c r="N187" s="1"/>
  <c r="Q187" s="1"/>
  <c r="E187"/>
  <c r="D187"/>
  <c r="C187"/>
  <c r="W186"/>
  <c r="V186"/>
  <c r="M186"/>
  <c r="L186"/>
  <c r="K186"/>
  <c r="J186"/>
  <c r="I186"/>
  <c r="G186"/>
  <c r="N186" s="1"/>
  <c r="Q186" s="1"/>
  <c r="E186"/>
  <c r="D186"/>
  <c r="C186"/>
  <c r="W185"/>
  <c r="V185"/>
  <c r="M185"/>
  <c r="L185"/>
  <c r="K185"/>
  <c r="J185"/>
  <c r="I185"/>
  <c r="H185"/>
  <c r="G185"/>
  <c r="N185" s="1"/>
  <c r="Q185" s="1"/>
  <c r="E185"/>
  <c r="D185"/>
  <c r="C185"/>
  <c r="W184"/>
  <c r="V184"/>
  <c r="M184"/>
  <c r="L184"/>
  <c r="K184"/>
  <c r="J184"/>
  <c r="I184"/>
  <c r="H184"/>
  <c r="G184"/>
  <c r="N184" s="1"/>
  <c r="Q184" s="1"/>
  <c r="E184"/>
  <c r="D184"/>
  <c r="C184"/>
  <c r="W183"/>
  <c r="V183"/>
  <c r="M183"/>
  <c r="L183"/>
  <c r="K183"/>
  <c r="J183"/>
  <c r="I183"/>
  <c r="H183"/>
  <c r="G183"/>
  <c r="N183" s="1"/>
  <c r="Q183" s="1"/>
  <c r="E183"/>
  <c r="D183"/>
  <c r="C183"/>
  <c r="W182"/>
  <c r="V182"/>
  <c r="M182"/>
  <c r="L182"/>
  <c r="K182"/>
  <c r="J182"/>
  <c r="I182"/>
  <c r="H182"/>
  <c r="G182"/>
  <c r="N182" s="1"/>
  <c r="Q182" s="1"/>
  <c r="E182"/>
  <c r="D182"/>
  <c r="C182"/>
  <c r="W181"/>
  <c r="V181"/>
  <c r="M181"/>
  <c r="L181"/>
  <c r="K181"/>
  <c r="J181"/>
  <c r="I181"/>
  <c r="H181"/>
  <c r="G181"/>
  <c r="N181" s="1"/>
  <c r="Q181" s="1"/>
  <c r="E181"/>
  <c r="D181"/>
  <c r="C181"/>
  <c r="W180"/>
  <c r="V180"/>
  <c r="M180"/>
  <c r="L180"/>
  <c r="K180"/>
  <c r="J180"/>
  <c r="I180"/>
  <c r="H180"/>
  <c r="G180"/>
  <c r="N180" s="1"/>
  <c r="Q180" s="1"/>
  <c r="E180"/>
  <c r="D180"/>
  <c r="C180"/>
  <c r="W179"/>
  <c r="V179"/>
  <c r="M179"/>
  <c r="L179"/>
  <c r="K179"/>
  <c r="J179"/>
  <c r="I179"/>
  <c r="H179"/>
  <c r="G179"/>
  <c r="N179" s="1"/>
  <c r="Q179" s="1"/>
  <c r="E179"/>
  <c r="D179"/>
  <c r="C179"/>
  <c r="W178"/>
  <c r="V178"/>
  <c r="M178"/>
  <c r="L178"/>
  <c r="K178"/>
  <c r="J178"/>
  <c r="I178"/>
  <c r="H178"/>
  <c r="G178"/>
  <c r="N178" s="1"/>
  <c r="Q178" s="1"/>
  <c r="E178"/>
  <c r="D178"/>
  <c r="C178"/>
  <c r="W177"/>
  <c r="V177"/>
  <c r="M177"/>
  <c r="L177"/>
  <c r="K177"/>
  <c r="J177"/>
  <c r="I177"/>
  <c r="H177"/>
  <c r="G177"/>
  <c r="N177" s="1"/>
  <c r="Q177" s="1"/>
  <c r="E177"/>
  <c r="D177"/>
  <c r="C177"/>
  <c r="W176"/>
  <c r="V176"/>
  <c r="M176"/>
  <c r="L176"/>
  <c r="K176"/>
  <c r="J176"/>
  <c r="I176"/>
  <c r="H176"/>
  <c r="G176"/>
  <c r="N176" s="1"/>
  <c r="Q176" s="1"/>
  <c r="E176"/>
  <c r="D176"/>
  <c r="C176"/>
  <c r="W175"/>
  <c r="V175"/>
  <c r="M175"/>
  <c r="L175"/>
  <c r="K175"/>
  <c r="J175"/>
  <c r="I175"/>
  <c r="H175"/>
  <c r="G175"/>
  <c r="N175" s="1"/>
  <c r="Q175" s="1"/>
  <c r="E175"/>
  <c r="D175"/>
  <c r="C175"/>
  <c r="W174"/>
  <c r="V174"/>
  <c r="M174"/>
  <c r="L174"/>
  <c r="K174"/>
  <c r="J174"/>
  <c r="I174"/>
  <c r="H174"/>
  <c r="G174"/>
  <c r="N174" s="1"/>
  <c r="Q174" s="1"/>
  <c r="E174"/>
  <c r="D174"/>
  <c r="C174"/>
  <c r="W173"/>
  <c r="V173"/>
  <c r="M173"/>
  <c r="L173"/>
  <c r="K173"/>
  <c r="J173"/>
  <c r="I173"/>
  <c r="H173"/>
  <c r="G173"/>
  <c r="N173" s="1"/>
  <c r="Q173" s="1"/>
  <c r="E173"/>
  <c r="D173"/>
  <c r="C173"/>
  <c r="W172"/>
  <c r="V172"/>
  <c r="M172"/>
  <c r="L172"/>
  <c r="K172"/>
  <c r="J172"/>
  <c r="I172"/>
  <c r="H172"/>
  <c r="G172"/>
  <c r="N172" s="1"/>
  <c r="Q172" s="1"/>
  <c r="E172"/>
  <c r="D172"/>
  <c r="C172"/>
  <c r="W171"/>
  <c r="V171"/>
  <c r="M171"/>
  <c r="L171"/>
  <c r="K171"/>
  <c r="J171"/>
  <c r="I171"/>
  <c r="H171"/>
  <c r="G171"/>
  <c r="N171" s="1"/>
  <c r="Q171" s="1"/>
  <c r="E171"/>
  <c r="D171"/>
  <c r="C171"/>
  <c r="W170"/>
  <c r="V170"/>
  <c r="M170"/>
  <c r="L170"/>
  <c r="K170"/>
  <c r="J170"/>
  <c r="I170"/>
  <c r="H170"/>
  <c r="G170"/>
  <c r="N170" s="1"/>
  <c r="Q170" s="1"/>
  <c r="E170"/>
  <c r="D170"/>
  <c r="C170"/>
  <c r="W169"/>
  <c r="V169"/>
  <c r="M169"/>
  <c r="L169"/>
  <c r="K169"/>
  <c r="J169"/>
  <c r="I169"/>
  <c r="H169"/>
  <c r="G169"/>
  <c r="N169" s="1"/>
  <c r="Q169" s="1"/>
  <c r="E169"/>
  <c r="D169"/>
  <c r="C169"/>
  <c r="W168"/>
  <c r="V168"/>
  <c r="M168"/>
  <c r="L168"/>
  <c r="K168"/>
  <c r="J168"/>
  <c r="I168"/>
  <c r="H168"/>
  <c r="G168"/>
  <c r="N168" s="1"/>
  <c r="Q168" s="1"/>
  <c r="E168"/>
  <c r="D168"/>
  <c r="C168"/>
  <c r="W167"/>
  <c r="V167"/>
  <c r="M167"/>
  <c r="L167"/>
  <c r="K167"/>
  <c r="J167"/>
  <c r="I167"/>
  <c r="H167"/>
  <c r="G167"/>
  <c r="N167" s="1"/>
  <c r="Q167" s="1"/>
  <c r="E167"/>
  <c r="D167"/>
  <c r="C167"/>
  <c r="W166"/>
  <c r="V166"/>
  <c r="M166"/>
  <c r="L166"/>
  <c r="K166"/>
  <c r="J166"/>
  <c r="I166"/>
  <c r="H166"/>
  <c r="G166"/>
  <c r="N166" s="1"/>
  <c r="Q166" s="1"/>
  <c r="E166"/>
  <c r="D166"/>
  <c r="C166"/>
  <c r="W165"/>
  <c r="V165"/>
  <c r="M165"/>
  <c r="L165"/>
  <c r="K165"/>
  <c r="J165"/>
  <c r="I165"/>
  <c r="H165"/>
  <c r="G165"/>
  <c r="N165" s="1"/>
  <c r="Q165" s="1"/>
  <c r="E165"/>
  <c r="D165"/>
  <c r="C165"/>
  <c r="W164"/>
  <c r="V164"/>
  <c r="M164"/>
  <c r="L164"/>
  <c r="K164"/>
  <c r="J164"/>
  <c r="I164"/>
  <c r="H164"/>
  <c r="G164"/>
  <c r="N164" s="1"/>
  <c r="Q164" s="1"/>
  <c r="E164"/>
  <c r="D164"/>
  <c r="C164"/>
  <c r="W163"/>
  <c r="V163"/>
  <c r="M163"/>
  <c r="L163"/>
  <c r="K163"/>
  <c r="J163"/>
  <c r="I163"/>
  <c r="H163"/>
  <c r="G163"/>
  <c r="N163" s="1"/>
  <c r="Q163" s="1"/>
  <c r="E163"/>
  <c r="D163"/>
  <c r="C163"/>
  <c r="W162"/>
  <c r="V162"/>
  <c r="M162"/>
  <c r="L162"/>
  <c r="K162"/>
  <c r="J162"/>
  <c r="I162"/>
  <c r="H162"/>
  <c r="G162"/>
  <c r="N162" s="1"/>
  <c r="Q162" s="1"/>
  <c r="E162"/>
  <c r="D162"/>
  <c r="C162"/>
  <c r="W161"/>
  <c r="V161"/>
  <c r="M161"/>
  <c r="L161"/>
  <c r="K161"/>
  <c r="J161"/>
  <c r="I161"/>
  <c r="H161"/>
  <c r="G161"/>
  <c r="N161" s="1"/>
  <c r="Q161" s="1"/>
  <c r="E161"/>
  <c r="D161"/>
  <c r="C161"/>
  <c r="W160"/>
  <c r="V160"/>
  <c r="M160"/>
  <c r="L160"/>
  <c r="K160"/>
  <c r="J160"/>
  <c r="I160"/>
  <c r="H160"/>
  <c r="G160"/>
  <c r="N160" s="1"/>
  <c r="Q160" s="1"/>
  <c r="E160"/>
  <c r="D160"/>
  <c r="C160"/>
  <c r="W159"/>
  <c r="V159"/>
  <c r="M159"/>
  <c r="L159"/>
  <c r="K159"/>
  <c r="J159"/>
  <c r="I159"/>
  <c r="H159"/>
  <c r="G159"/>
  <c r="N159" s="1"/>
  <c r="Q159" s="1"/>
  <c r="E159"/>
  <c r="D159"/>
  <c r="C159"/>
  <c r="W158"/>
  <c r="V158"/>
  <c r="M158"/>
  <c r="L158"/>
  <c r="K158"/>
  <c r="J158"/>
  <c r="I158"/>
  <c r="H158"/>
  <c r="G158"/>
  <c r="N158" s="1"/>
  <c r="Q158" s="1"/>
  <c r="E158"/>
  <c r="D158"/>
  <c r="C158"/>
  <c r="W157"/>
  <c r="V157"/>
  <c r="M157"/>
  <c r="L157"/>
  <c r="K157"/>
  <c r="J157"/>
  <c r="I157"/>
  <c r="H157"/>
  <c r="G157"/>
  <c r="N157" s="1"/>
  <c r="Q157" s="1"/>
  <c r="E157"/>
  <c r="D157"/>
  <c r="C157"/>
  <c r="W156"/>
  <c r="V156"/>
  <c r="M156"/>
  <c r="L156"/>
  <c r="K156"/>
  <c r="J156"/>
  <c r="I156"/>
  <c r="H156"/>
  <c r="G156"/>
  <c r="N156" s="1"/>
  <c r="Q156" s="1"/>
  <c r="E156"/>
  <c r="D156"/>
  <c r="C156"/>
  <c r="W155"/>
  <c r="V155"/>
  <c r="M155"/>
  <c r="L155"/>
  <c r="K155"/>
  <c r="J155"/>
  <c r="I155"/>
  <c r="H155"/>
  <c r="G155"/>
  <c r="N155" s="1"/>
  <c r="Q155" s="1"/>
  <c r="E155"/>
  <c r="D155"/>
  <c r="C155"/>
  <c r="W154"/>
  <c r="V154"/>
  <c r="M154"/>
  <c r="L154"/>
  <c r="K154"/>
  <c r="J154"/>
  <c r="I154"/>
  <c r="H154"/>
  <c r="G154"/>
  <c r="N154" s="1"/>
  <c r="Q154" s="1"/>
  <c r="E154"/>
  <c r="D154"/>
  <c r="C154"/>
  <c r="W153"/>
  <c r="V153"/>
  <c r="M153"/>
  <c r="L153"/>
  <c r="K153"/>
  <c r="J153"/>
  <c r="I153"/>
  <c r="H153"/>
  <c r="G153"/>
  <c r="N153" s="1"/>
  <c r="Q153" s="1"/>
  <c r="E153"/>
  <c r="D153"/>
  <c r="C153"/>
  <c r="W152"/>
  <c r="V152"/>
  <c r="M152"/>
  <c r="L152"/>
  <c r="K152"/>
  <c r="J152"/>
  <c r="I152"/>
  <c r="H152"/>
  <c r="G152"/>
  <c r="N152" s="1"/>
  <c r="Q152" s="1"/>
  <c r="E152"/>
  <c r="D152"/>
  <c r="C152"/>
  <c r="W151"/>
  <c r="V151"/>
  <c r="M151"/>
  <c r="L151"/>
  <c r="K151"/>
  <c r="J151"/>
  <c r="I151"/>
  <c r="H151"/>
  <c r="G151"/>
  <c r="N151" s="1"/>
  <c r="Q151" s="1"/>
  <c r="E151"/>
  <c r="D151"/>
  <c r="C151"/>
  <c r="W150"/>
  <c r="V150"/>
  <c r="M150"/>
  <c r="L150"/>
  <c r="K150"/>
  <c r="J150"/>
  <c r="I150"/>
  <c r="H150"/>
  <c r="G150"/>
  <c r="N150" s="1"/>
  <c r="Q150" s="1"/>
  <c r="E150"/>
  <c r="D150"/>
  <c r="C150"/>
  <c r="W149"/>
  <c r="V149"/>
  <c r="M149"/>
  <c r="L149"/>
  <c r="K149"/>
  <c r="J149"/>
  <c r="I149"/>
  <c r="H149"/>
  <c r="G149"/>
  <c r="N149" s="1"/>
  <c r="Q149" s="1"/>
  <c r="E149"/>
  <c r="D149"/>
  <c r="C149"/>
  <c r="W148"/>
  <c r="V148"/>
  <c r="M148"/>
  <c r="L148"/>
  <c r="K148"/>
  <c r="J148"/>
  <c r="I148"/>
  <c r="H148"/>
  <c r="G148"/>
  <c r="N148" s="1"/>
  <c r="Q148" s="1"/>
  <c r="E148"/>
  <c r="D148"/>
  <c r="C148"/>
  <c r="W147"/>
  <c r="V147"/>
  <c r="M147"/>
  <c r="L147"/>
  <c r="K147"/>
  <c r="J147"/>
  <c r="I147"/>
  <c r="H147"/>
  <c r="G147"/>
  <c r="N147" s="1"/>
  <c r="Q147" s="1"/>
  <c r="E147"/>
  <c r="D147"/>
  <c r="C147"/>
  <c r="W146"/>
  <c r="V146"/>
  <c r="M146"/>
  <c r="L146"/>
  <c r="K146"/>
  <c r="J146"/>
  <c r="I146"/>
  <c r="H146"/>
  <c r="G146"/>
  <c r="N146" s="1"/>
  <c r="Q146" s="1"/>
  <c r="E146"/>
  <c r="D146"/>
  <c r="C146"/>
  <c r="W145"/>
  <c r="V145"/>
  <c r="M145"/>
  <c r="L145"/>
  <c r="K145"/>
  <c r="J145"/>
  <c r="I145"/>
  <c r="H145"/>
  <c r="G145"/>
  <c r="N145" s="1"/>
  <c r="Q145" s="1"/>
  <c r="E145"/>
  <c r="D145"/>
  <c r="C145"/>
  <c r="W144"/>
  <c r="V144"/>
  <c r="M144"/>
  <c r="L144"/>
  <c r="K144"/>
  <c r="J144"/>
  <c r="I144"/>
  <c r="H144"/>
  <c r="G144"/>
  <c r="N144" s="1"/>
  <c r="Q144" s="1"/>
  <c r="E144"/>
  <c r="D144"/>
  <c r="C144"/>
  <c r="W143"/>
  <c r="V143"/>
  <c r="M143"/>
  <c r="L143"/>
  <c r="K143"/>
  <c r="J143"/>
  <c r="I143"/>
  <c r="G143"/>
  <c r="N143" s="1"/>
  <c r="Q143" s="1"/>
  <c r="E143"/>
  <c r="D143"/>
  <c r="C143"/>
  <c r="W142"/>
  <c r="V142"/>
  <c r="M142"/>
  <c r="L142"/>
  <c r="K142"/>
  <c r="J142"/>
  <c r="I142"/>
  <c r="G142"/>
  <c r="N142" s="1"/>
  <c r="Q142" s="1"/>
  <c r="E142"/>
  <c r="D142"/>
  <c r="C142"/>
  <c r="W141"/>
  <c r="V141"/>
  <c r="M141"/>
  <c r="L141"/>
  <c r="K141"/>
  <c r="J141"/>
  <c r="I141"/>
  <c r="G141"/>
  <c r="N141" s="1"/>
  <c r="Q141" s="1"/>
  <c r="E141"/>
  <c r="D141"/>
  <c r="C141"/>
  <c r="W140"/>
  <c r="V140"/>
  <c r="M140"/>
  <c r="L140"/>
  <c r="K140"/>
  <c r="J140"/>
  <c r="I140"/>
  <c r="G140"/>
  <c r="N140" s="1"/>
  <c r="E140"/>
  <c r="D140"/>
  <c r="C140"/>
  <c r="W139"/>
  <c r="V139"/>
  <c r="M139"/>
  <c r="L139"/>
  <c r="K139"/>
  <c r="J139"/>
  <c r="I139"/>
  <c r="G139"/>
  <c r="N139" s="1"/>
  <c r="E139"/>
  <c r="D139"/>
  <c r="C139"/>
  <c r="W138"/>
  <c r="V138"/>
  <c r="M138"/>
  <c r="L138"/>
  <c r="K138"/>
  <c r="J138"/>
  <c r="I138"/>
  <c r="G138"/>
  <c r="N138" s="1"/>
  <c r="Q138" s="1"/>
  <c r="E138"/>
  <c r="D138"/>
  <c r="C138"/>
  <c r="Z136"/>
  <c r="Y136"/>
  <c r="X136"/>
  <c r="Q136"/>
  <c r="Q135"/>
  <c r="Q134"/>
  <c r="W133"/>
  <c r="V133"/>
  <c r="M133"/>
  <c r="L133"/>
  <c r="K133"/>
  <c r="J133"/>
  <c r="I133"/>
  <c r="G133"/>
  <c r="N133" s="1"/>
  <c r="Q133" s="1"/>
  <c r="E133"/>
  <c r="D133"/>
  <c r="C133"/>
  <c r="W132"/>
  <c r="V132"/>
  <c r="M132"/>
  <c r="L132"/>
  <c r="K132"/>
  <c r="J132"/>
  <c r="I132"/>
  <c r="G132"/>
  <c r="N132" s="1"/>
  <c r="Q132" s="1"/>
  <c r="E132"/>
  <c r="D132"/>
  <c r="C132"/>
  <c r="W131"/>
  <c r="V131"/>
  <c r="M131"/>
  <c r="L131"/>
  <c r="K131"/>
  <c r="J131"/>
  <c r="I131"/>
  <c r="G131"/>
  <c r="N131" s="1"/>
  <c r="Q131" s="1"/>
  <c r="E131"/>
  <c r="D131"/>
  <c r="C131"/>
  <c r="W130"/>
  <c r="V130"/>
  <c r="M130"/>
  <c r="L130"/>
  <c r="K130"/>
  <c r="J130"/>
  <c r="I130"/>
  <c r="G130"/>
  <c r="N130" s="1"/>
  <c r="Q130" s="1"/>
  <c r="E130"/>
  <c r="D130"/>
  <c r="C130"/>
  <c r="W129"/>
  <c r="V129"/>
  <c r="M129"/>
  <c r="L129"/>
  <c r="K129"/>
  <c r="J129"/>
  <c r="I129"/>
  <c r="G129"/>
  <c r="N129" s="1"/>
  <c r="Q129" s="1"/>
  <c r="E129"/>
  <c r="D129"/>
  <c r="C129"/>
  <c r="W128"/>
  <c r="V128"/>
  <c r="M128"/>
  <c r="L128"/>
  <c r="K128"/>
  <c r="J128"/>
  <c r="I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G124"/>
  <c r="N124" s="1"/>
  <c r="Q124" s="1"/>
  <c r="E124"/>
  <c r="D124"/>
  <c r="C124"/>
  <c r="W123"/>
  <c r="V123"/>
  <c r="M123"/>
  <c r="L123"/>
  <c r="K123"/>
  <c r="J123"/>
  <c r="I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Q110"/>
  <c r="H110"/>
  <c r="G110"/>
  <c r="E110"/>
  <c r="Q109"/>
  <c r="H109"/>
  <c r="G109"/>
  <c r="E109"/>
  <c r="Q108"/>
  <c r="H108"/>
  <c r="G108"/>
  <c r="E108"/>
  <c r="Q107"/>
  <c r="H107"/>
  <c r="G107"/>
  <c r="E107"/>
  <c r="Q106"/>
  <c r="H106"/>
  <c r="G106"/>
  <c r="E106"/>
  <c r="Q105"/>
  <c r="H105"/>
  <c r="G105"/>
  <c r="E105"/>
  <c r="M104"/>
  <c r="L104"/>
  <c r="K104"/>
  <c r="J104"/>
  <c r="I104"/>
  <c r="M103"/>
  <c r="L103"/>
  <c r="K103"/>
  <c r="J103"/>
  <c r="I103"/>
  <c r="Q102"/>
  <c r="Q101"/>
  <c r="Q100"/>
  <c r="Q99"/>
  <c r="Q98"/>
  <c r="Q97"/>
  <c r="Q96"/>
  <c r="Q95"/>
  <c r="Q94"/>
  <c r="Q93"/>
  <c r="N92"/>
  <c r="Q92" s="1"/>
  <c r="N91"/>
  <c r="Q91" s="1"/>
  <c r="Q90"/>
  <c r="N89"/>
  <c r="Q89" s="1"/>
  <c r="N88"/>
  <c r="Q88" s="1"/>
  <c r="N87"/>
  <c r="Q87" s="1"/>
  <c r="N86"/>
  <c r="Q86" s="1"/>
  <c r="N85"/>
  <c r="Q85" s="1"/>
  <c r="N84"/>
  <c r="Q84" s="1"/>
  <c r="N83"/>
  <c r="Q83" s="1"/>
  <c r="N82"/>
  <c r="Q82" s="1"/>
  <c r="N81"/>
  <c r="N80"/>
  <c r="N79"/>
  <c r="Q79" s="1"/>
  <c r="N78"/>
  <c r="Q78" s="1"/>
  <c r="N77"/>
  <c r="N76"/>
  <c r="N75"/>
  <c r="N74"/>
  <c r="N73"/>
  <c r="N72"/>
  <c r="N71"/>
  <c r="N70"/>
  <c r="Q70" s="1"/>
  <c r="N69"/>
  <c r="Q69" s="1"/>
  <c r="N68"/>
  <c r="Q68" s="1"/>
  <c r="N67"/>
  <c r="Q67" s="1"/>
  <c r="N66"/>
  <c r="Q66" s="1"/>
  <c r="N65"/>
  <c r="Q65" s="1"/>
  <c r="N64"/>
  <c r="Q64" s="1"/>
  <c r="N343"/>
  <c r="Q343" s="1"/>
  <c r="N342"/>
  <c r="Q342" s="1"/>
  <c r="N341"/>
  <c r="Q341" s="1"/>
  <c r="N340"/>
  <c r="Q340" s="1"/>
  <c r="N339"/>
  <c r="Q339" s="1"/>
  <c r="Q338"/>
  <c r="Q337"/>
  <c r="Q336"/>
  <c r="Q335"/>
  <c r="Q334"/>
  <c r="Q333"/>
</calcChain>
</file>

<file path=xl/sharedStrings.xml><?xml version="1.0" encoding="utf-8"?>
<sst xmlns="http://schemas.openxmlformats.org/spreadsheetml/2006/main" count="5095" uniqueCount="1399">
  <si>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</si>
  <si>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</si>
  <si>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</si>
  <si>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</si>
  <si>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</si>
  <si>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</si>
  <si>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</si>
  <si>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</si>
  <si>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</si>
  <si>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</si>
  <si>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</si>
  <si>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</si>
  <si>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</si>
  <si>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</si>
  <si>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</si>
  <si>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</si>
  <si>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</si>
  <si>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</si>
  <si>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</si>
  <si>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</si>
  <si>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</si>
  <si>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</si>
  <si>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</si>
  <si>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</si>
  <si>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</si>
  <si>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</si>
  <si>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</si>
  <si>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</si>
  <si>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</si>
  <si>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</si>
  <si>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</si>
  <si>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</si>
  <si>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</si>
  <si>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</si>
  <si>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</si>
  <si>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</si>
  <si>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</si>
  <si>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</si>
  <si>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</si>
  <si>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</si>
  <si>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</si>
  <si>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</si>
  <si>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</si>
  <si>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</si>
  <si>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</si>
  <si>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</si>
  <si>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</si>
  <si>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</si>
  <si>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</si>
  <si>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</si>
  <si>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</si>
  <si>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</si>
  <si>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</si>
  <si>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</si>
  <si>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</si>
  <si>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</si>
  <si>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</si>
  <si>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</si>
  <si>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</si>
  <si>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</si>
  <si>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</si>
  <si>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</si>
  <si>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</si>
  <si>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</si>
  <si>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</si>
  <si>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</si>
  <si>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</si>
  <si>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</si>
  <si>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</si>
  <si>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</si>
  <si>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</si>
  <si>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</si>
  <si>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</si>
  <si>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</si>
  <si>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</si>
  <si>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</si>
  <si>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</si>
  <si>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</si>
  <si>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</si>
  <si>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</si>
  <si>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</si>
  <si>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</si>
  <si>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</si>
  <si>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</si>
  <si>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</si>
  <si>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</si>
  <si>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</si>
  <si>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</si>
  <si>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</si>
  <si>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</si>
  <si>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</si>
  <si>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</si>
  <si>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</si>
  <si>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</si>
  <si>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</si>
  <si>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</si>
  <si>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</si>
  <si>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</si>
  <si>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</si>
  <si>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</si>
  <si>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</si>
  <si>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</si>
  <si>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</si>
  <si>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</si>
  <si>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</si>
  <si>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</si>
  <si>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</si>
  <si>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</si>
  <si>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</si>
  <si>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</si>
  <si>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</si>
  <si>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</si>
  <si>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</si>
  <si>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</si>
  <si>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</si>
  <si>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</si>
  <si>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</si>
  <si>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</si>
  <si>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</si>
  <si>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</si>
  <si>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</si>
  <si>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</si>
  <si>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</si>
  <si>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</si>
  <si>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</si>
  <si>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</si>
  <si>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</si>
  <si>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</si>
  <si>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</si>
  <si>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</si>
  <si>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</si>
  <si>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</si>
  <si>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</si>
  <si>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</si>
  <si>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</si>
  <si>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</si>
  <si>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</si>
  <si>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</si>
  <si>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</si>
  <si>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</si>
  <si>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</si>
  <si>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</si>
  <si>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</si>
  <si>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</si>
  <si>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</si>
  <si>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</si>
  <si>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</si>
  <si>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</si>
  <si>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</si>
  <si>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</si>
  <si>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</si>
  <si>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</si>
  <si>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</si>
  <si>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</si>
  <si>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</si>
  <si>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</si>
  <si>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</si>
  <si>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</si>
  <si>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</si>
  <si>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</si>
  <si>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</si>
  <si>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</si>
  <si>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</si>
  <si>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</si>
  <si>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</si>
  <si>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</si>
  <si>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</si>
  <si>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</si>
  <si>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</si>
  <si>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</si>
  <si>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</si>
  <si>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</si>
  <si>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</si>
  <si>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</si>
  <si>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</si>
  <si>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</si>
  <si>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</si>
  <si>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</si>
  <si>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</si>
  <si>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</si>
  <si>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</si>
  <si>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</si>
  <si>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</si>
  <si>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</si>
  <si>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</si>
  <si>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</si>
  <si>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</si>
  <si>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</si>
  <si>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</si>
  <si>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</si>
  <si>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</si>
  <si>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</si>
  <si>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</si>
  <si>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</si>
  <si>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</si>
  <si>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</si>
  <si>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</si>
  <si>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</si>
  <si>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</si>
  <si>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</si>
  <si>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</si>
  <si>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</si>
  <si>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</si>
  <si>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</si>
  <si>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</si>
  <si>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</si>
  <si>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</si>
  <si>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</si>
  <si>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</si>
  <si>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</si>
  <si>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</si>
  <si>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</si>
  <si>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</si>
  <si>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</si>
  <si>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</si>
  <si>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</si>
  <si>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</si>
  <si>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</si>
  <si>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</si>
  <si>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</si>
  <si>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</si>
  <si>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</si>
  <si>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</si>
  <si>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</si>
  <si>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</si>
  <si>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</si>
  <si>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</si>
  <si>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</si>
  <si>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</si>
  <si>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</si>
  <si>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</si>
  <si>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</si>
  <si>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</si>
  <si>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</si>
  <si>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</si>
  <si>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</si>
  <si>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</si>
  <si>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</si>
  <si>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</si>
  <si>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</si>
  <si>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</si>
  <si>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</si>
  <si>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</si>
  <si>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</si>
  <si>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</si>
  <si>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</si>
  <si>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</si>
  <si>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</si>
  <si>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</si>
  <si>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</si>
  <si>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</si>
  <si>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</si>
  <si>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</si>
  <si>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</si>
  <si>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</si>
  <si>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</si>
  <si>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</si>
  <si>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</si>
  <si>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</si>
  <si>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</si>
  <si>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</si>
  <si>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</si>
  <si>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</si>
  <si>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</si>
  <si>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</si>
  <si>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</si>
  <si>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</si>
  <si>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</si>
  <si>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</si>
  <si>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</si>
  <si>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</si>
  <si>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</si>
  <si>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</si>
  <si>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</si>
  <si>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</si>
  <si>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</si>
  <si>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</si>
  <si>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</si>
  <si>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</si>
  <si>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</si>
  <si>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</si>
  <si>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</si>
  <si>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</si>
  <si>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</si>
  <si>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</si>
  <si>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</si>
  <si>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</si>
  <si>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</si>
  <si>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</si>
  <si>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</si>
  <si>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</si>
  <si>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</si>
  <si>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</si>
  <si>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</si>
  <si>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</si>
  <si>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</si>
  <si>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</si>
  <si>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</si>
  <si>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</si>
  <si>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</si>
  <si>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</si>
  <si>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</si>
  <si>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</si>
  <si>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</si>
  <si>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</si>
  <si>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</si>
  <si>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</si>
  <si>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</si>
  <si>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</si>
  <si>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</si>
  <si>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</si>
  <si>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</si>
  <si>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</si>
  <si>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</si>
  <si>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</si>
  <si>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</si>
  <si>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</si>
  <si>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</si>
  <si>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</si>
  <si>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</si>
  <si>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</si>
  <si>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</si>
  <si>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</si>
  <si>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</si>
  <si>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</si>
  <si>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</si>
  <si>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</si>
  <si>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</si>
  <si>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</si>
  <si>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</si>
  <si>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</si>
  <si>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</si>
  <si>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</si>
  <si>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</si>
  <si>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</si>
  <si>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</si>
  <si>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</si>
  <si>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</si>
  <si>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</si>
  <si>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</si>
  <si>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</si>
  <si>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</si>
  <si>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</si>
  <si>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</si>
  <si>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</si>
  <si>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</si>
  <si>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</si>
  <si>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</si>
  <si>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</si>
  <si>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</si>
  <si>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</si>
  <si>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</si>
  <si>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</si>
  <si>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</si>
  <si>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</si>
  <si>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</si>
  <si>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</si>
  <si>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</si>
  <si>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</si>
  <si>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</si>
  <si>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</si>
  <si>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</si>
  <si>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</si>
  <si>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</si>
  <si>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</si>
  <si>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</si>
  <si>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</si>
  <si>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</si>
  <si>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</si>
  <si>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</si>
  <si>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</si>
  <si>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</si>
  <si>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</si>
  <si>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</si>
  <si>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</si>
  <si>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</si>
  <si>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</si>
  <si>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</si>
  <si>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</si>
  <si>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</si>
  <si>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</si>
  <si>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</si>
  <si>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</si>
  <si>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</si>
  <si>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</si>
  <si>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</si>
  <si>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</si>
  <si>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</si>
  <si>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</si>
  <si>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</si>
  <si>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</si>
  <si>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</si>
  <si>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</si>
  <si>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</si>
  <si>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</si>
  <si>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</si>
  <si>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</si>
  <si>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</si>
  <si>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</si>
  <si>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</si>
  <si>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</si>
  <si>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</si>
  <si>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</si>
  <si>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</si>
  <si>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</si>
  <si>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</si>
  <si>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</si>
  <si>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</si>
  <si>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</si>
  <si>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</si>
  <si>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</si>
  <si>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</si>
  <si>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</si>
  <si>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</si>
  <si>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</si>
  <si>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</si>
  <si>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</si>
  <si>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</si>
  <si>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</si>
  <si>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</si>
  <si>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</si>
  <si>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</si>
  <si>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</si>
  <si>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</si>
  <si>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</si>
  <si>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</si>
  <si>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</si>
  <si>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</si>
  <si>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</si>
  <si>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</si>
  <si>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</si>
  <si>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</si>
  <si>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</si>
  <si>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</si>
  <si>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</si>
  <si>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</si>
  <si>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</si>
  <si>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</si>
  <si>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</si>
  <si>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</si>
  <si>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</si>
  <si>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</si>
  <si>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</si>
  <si>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</si>
  <si>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</si>
  <si>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</si>
  <si>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</si>
  <si>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</si>
  <si>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</si>
  <si>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</si>
  <si>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</si>
  <si>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</si>
  <si>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</si>
  <si>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</si>
  <si>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</si>
  <si>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</si>
  <si>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</si>
  <si>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</si>
  <si>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</si>
  <si>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</si>
  <si>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</si>
  <si>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</si>
  <si>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</si>
  <si>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</si>
  <si>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</si>
  <si>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</si>
  <si>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</si>
  <si>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</si>
  <si>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</si>
  <si>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</si>
  <si>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</si>
  <si>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</si>
  <si>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</si>
  <si>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</si>
  <si>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</si>
  <si>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</si>
  <si>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</si>
  <si>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</si>
  <si>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</si>
  <si>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</si>
  <si>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</si>
  <si>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</si>
  <si>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</si>
  <si>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</si>
  <si>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</si>
  <si>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</si>
  <si>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</si>
  <si>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</si>
  <si>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</si>
  <si>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</si>
  <si>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</si>
  <si>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</si>
  <si>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</si>
  <si>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</si>
  <si>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</si>
  <si>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</si>
  <si>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</si>
  <si>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</si>
  <si>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</si>
  <si>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</si>
  <si>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</si>
  <si>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</si>
  <si>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</si>
  <si>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</si>
  <si>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</si>
  <si>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</si>
  <si>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</si>
  <si>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</si>
  <si>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</si>
  <si>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</si>
  <si>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</si>
  <si>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</si>
  <si>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</si>
  <si>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</si>
  <si>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</si>
  <si>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</si>
  <si>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</si>
  <si>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</si>
  <si>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</si>
  <si>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</si>
  <si>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</si>
  <si>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</si>
  <si>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</si>
  <si>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</si>
  <si>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</si>
  <si>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</si>
  <si>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</si>
  <si>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</si>
  <si>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</si>
  <si>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</si>
  <si>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</si>
  <si>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</si>
  <si>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</si>
  <si>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</si>
  <si>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</si>
  <si>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</si>
  <si>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</si>
  <si>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</si>
  <si>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</si>
  <si>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</si>
  <si>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</si>
  <si>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</si>
  <si>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</si>
  <si>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</si>
  <si>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</si>
  <si>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</si>
  <si>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</si>
  <si>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</si>
  <si>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</si>
  <si>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</si>
  <si>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</si>
  <si>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</si>
  <si>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</si>
  <si>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</si>
  <si>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</si>
  <si>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</si>
  <si>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</si>
  <si>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</si>
  <si>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</si>
  <si>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</si>
  <si>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</si>
  <si>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</si>
  <si>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</si>
  <si>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</si>
  <si>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</si>
  <si>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En Proceso</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</si>
  <si>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</si>
  <si>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</si>
  <si>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</si>
  <si>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</si>
  <si>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</si>
  <si>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</si>
  <si>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</si>
  <si>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</si>
  <si>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</si>
  <si>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</si>
  <si>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</si>
  <si>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</si>
  <si>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</si>
  <si>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</si>
  <si>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</si>
  <si>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</si>
  <si>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</si>
  <si>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</si>
  <si>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</si>
  <si>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</si>
  <si>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</si>
  <si>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</si>
  <si>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</si>
  <si>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</si>
  <si>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</si>
  <si>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</si>
  <si>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</si>
  <si>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</si>
  <si>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</si>
  <si>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</si>
  <si>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</si>
  <si>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</si>
  <si>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</si>
  <si>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</si>
  <si>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</si>
  <si>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</si>
  <si>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</si>
  <si>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</si>
  <si>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</si>
  <si>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</si>
  <si>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</si>
  <si>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</si>
  <si>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</si>
  <si>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</si>
  <si>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</si>
  <si>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</si>
  <si>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</si>
  <si>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</si>
  <si>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</si>
  <si>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</si>
  <si>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</si>
  <si>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</si>
  <si>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</si>
  <si>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</si>
  <si>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</si>
  <si>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</si>
  <si>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</si>
  <si>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</si>
  <si>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</si>
  <si>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</si>
  <si>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</si>
  <si>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</si>
  <si>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</si>
  <si>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</si>
  <si>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</si>
  <si>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</si>
  <si>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</si>
  <si>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</si>
  <si>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</si>
  <si>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</si>
  <si>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</si>
  <si>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</si>
  <si>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</si>
  <si>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</si>
  <si>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</si>
  <si>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</si>
  <si>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</si>
  <si>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</si>
  <si>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</si>
  <si>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</si>
  <si>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</si>
  <si>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</si>
  <si>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</si>
  <si>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</si>
  <si>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</si>
  <si>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</si>
  <si>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</si>
  <si>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</si>
  <si>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</si>
  <si>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</si>
  <si>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</si>
  <si>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</si>
  <si>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</si>
  <si>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</si>
  <si>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</si>
  <si>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</si>
  <si>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</si>
  <si>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</si>
  <si>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</si>
  <si>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</si>
  <si>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</si>
  <si>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</si>
  <si>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</si>
  <si>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</si>
  <si>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</si>
  <si>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</si>
  <si>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</si>
  <si>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</si>
  <si>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</si>
  <si>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</si>
  <si>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</si>
  <si>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</si>
  <si>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</si>
  <si>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</si>
  <si>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</si>
  <si>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</si>
  <si>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</si>
  <si>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</si>
  <si>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</si>
  <si>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</si>
  <si>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</si>
  <si>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</si>
  <si>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</si>
  <si>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</si>
  <si>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</si>
  <si>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</si>
  <si>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</si>
  <si>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</si>
  <si>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</si>
  <si>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</si>
  <si>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</si>
  <si>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</si>
  <si>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</si>
  <si>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</si>
  <si>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</si>
  <si>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</si>
  <si>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</si>
  <si>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</si>
  <si>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</si>
  <si>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</si>
  <si>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</si>
  <si>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</si>
  <si>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</si>
  <si>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</si>
  <si>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</si>
  <si>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</si>
  <si>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</si>
  <si>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</si>
  <si>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</si>
  <si>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</si>
  <si>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</si>
  <si>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</si>
  <si>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</si>
  <si>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</si>
  <si>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</si>
  <si>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</si>
  <si>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</si>
  <si>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</si>
  <si>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</si>
  <si>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</si>
  <si>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</si>
  <si>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</si>
  <si>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</si>
  <si>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</si>
  <si>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</si>
  <si>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</si>
  <si>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</si>
  <si>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</si>
  <si>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</si>
  <si>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</si>
  <si>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</si>
  <si>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</si>
  <si>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</si>
  <si>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</si>
  <si>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</si>
  <si>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</si>
  <si>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</si>
  <si>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</si>
  <si>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</si>
  <si>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</si>
  <si>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</si>
  <si>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</si>
  <si>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</si>
  <si>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</si>
  <si>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</si>
  <si>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</si>
  <si>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</si>
  <si>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</si>
  <si>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</si>
  <si>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</si>
  <si>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</si>
  <si>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</si>
  <si>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</si>
  <si>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</si>
  <si>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</si>
  <si>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</si>
  <si>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</si>
  <si>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</si>
  <si>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</si>
  <si>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</si>
  <si>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</si>
  <si>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</si>
  <si>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</si>
  <si>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</si>
  <si>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</si>
  <si>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</si>
  <si>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</si>
  <si>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</si>
  <si>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</si>
  <si>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</si>
  <si>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</si>
  <si>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</si>
  <si>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</si>
  <si>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</si>
  <si>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</si>
  <si>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</si>
  <si>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</si>
  <si>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</si>
  <si>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</si>
  <si>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</si>
  <si>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</si>
  <si>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</si>
  <si>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</si>
  <si>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</si>
  <si>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</si>
  <si>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</si>
  <si>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</si>
  <si>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</si>
  <si>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</si>
  <si>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</si>
  <si>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</si>
  <si>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</si>
  <si>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</si>
  <si>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</si>
  <si>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Licitación por Invitación Restringida</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</si>
  <si>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</si>
  <si>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</si>
  <si>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</si>
  <si>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</si>
  <si>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</si>
  <si>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</si>
  <si>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</si>
  <si>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</si>
  <si>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</si>
  <si>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</si>
  <si>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</si>
  <si>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</si>
  <si>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</si>
  <si>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</si>
  <si>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</si>
  <si>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</si>
  <si>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</si>
  <si>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</si>
  <si>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</si>
  <si>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</si>
  <si>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</si>
  <si>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</si>
  <si>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</si>
  <si>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</si>
  <si>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</si>
  <si>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</si>
  <si>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</si>
  <si>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</si>
  <si>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</si>
  <si>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</si>
  <si>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</si>
  <si>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</si>
  <si>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</si>
  <si>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</si>
  <si>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</si>
  <si>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</si>
  <si>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</si>
  <si>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</si>
  <si>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</si>
  <si>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</si>
  <si>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</si>
  <si>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</si>
  <si>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</si>
  <si>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</si>
  <si>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</si>
  <si>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</si>
  <si>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</si>
  <si>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</si>
  <si>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</si>
  <si>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</si>
  <si>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</si>
  <si>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</si>
  <si>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</si>
  <si>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</si>
  <si>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</si>
  <si>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</si>
  <si>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</si>
  <si>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</si>
  <si>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</si>
  <si>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</si>
  <si>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</si>
  <si>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</si>
  <si>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</si>
  <si>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</si>
  <si>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</si>
  <si>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</si>
  <si>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</si>
  <si>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</si>
  <si>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</si>
  <si>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</si>
  <si>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</si>
  <si>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</si>
  <si>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</si>
  <si>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</si>
  <si>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</si>
  <si>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</si>
  <si>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</si>
  <si>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</si>
  <si>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</si>
  <si>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</si>
  <si>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</si>
  <si>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</si>
  <si>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</si>
  <si>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</si>
  <si>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</si>
  <si>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</si>
  <si>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</si>
  <si>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</si>
  <si>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</si>
  <si>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</si>
  <si>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</si>
  <si>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</si>
  <si>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</si>
  <si>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</si>
  <si>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</si>
  <si>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</si>
  <si>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</si>
  <si>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</si>
  <si>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</si>
  <si>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</si>
  <si>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</si>
  <si>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</si>
  <si>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</si>
  <si>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</si>
  <si>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</si>
  <si>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</si>
  <si>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</si>
  <si>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</si>
  <si>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</si>
  <si>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</si>
  <si>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</si>
  <si>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</si>
  <si>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</si>
  <si>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</si>
  <si>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</si>
  <si>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</si>
  <si>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Localidad de Copalita</t>
  </si>
  <si>
    <t>17,660 M2</t>
  </si>
  <si>
    <t>1,700 ML</t>
  </si>
  <si>
    <t>691 M2</t>
  </si>
  <si>
    <t>21 PZAS</t>
  </si>
  <si>
    <t>Cusmax</t>
  </si>
  <si>
    <t>5 PZAS</t>
  </si>
  <si>
    <t>Área(s) o unidad(es) administrativa(s) responsable(s) de la información: Jefatura de Informes y Control Presupuestal</t>
  </si>
  <si>
    <t>Contrato</t>
  </si>
  <si>
    <t xml:space="preserve"> Contrato</t>
  </si>
  <si>
    <t>DOPI-MUN-RM-PAV-CI-001-2017</t>
  </si>
  <si>
    <t>Rehabilitación del camino a Copalita en el tramo de la Carretera a Colotlán a Copalita (Km. 0+000 al Km. 2+000), muncipio de Zapopan, Jalisco.</t>
  </si>
  <si>
    <t>JOEL</t>
  </si>
  <si>
    <t>ZULOAGA</t>
  </si>
  <si>
    <t>ACEVES</t>
  </si>
  <si>
    <t>TASUM SOLUCIONES EN CONSTRUCCION, S.A. DE C.V.</t>
  </si>
  <si>
    <t>TSC100210E48</t>
  </si>
  <si>
    <t>DOPI-MUN-RM-ELE-CI-002-2017</t>
  </si>
  <si>
    <t>Primera etapa de la rehabilitación de la red de media y baja tensión, alumbrado público, en la colonia Constitución, municipio de Zapopan, Jalisco.</t>
  </si>
  <si>
    <t>CLAUDIA PATRICIA</t>
  </si>
  <si>
    <t xml:space="preserve">SANCHEZ </t>
  </si>
  <si>
    <t>VALLES</t>
  </si>
  <si>
    <t>CONSTRUCTORA JMA, S.A. DE C.V.</t>
  </si>
  <si>
    <t>CJM121221Q73</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</si>
  <si>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</si>
  <si>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</si>
  <si>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Col. Las Aguilas</t>
  </si>
  <si>
    <t>PIA LORENA</t>
  </si>
  <si>
    <t>BUENROSTRO</t>
  </si>
  <si>
    <t>AHUED</t>
  </si>
  <si>
    <t>BIRMEK CONSTRUCCIONES, S.A. DE C.V.</t>
  </si>
  <si>
    <t>BCO070129512</t>
  </si>
  <si>
    <t>DOPI-MUN-FORTA-PROY-AD-005-2017</t>
  </si>
  <si>
    <t>Elaboración de proyectos arquitectónicos en diferentes obras del programa 2017, municipio de Zapopan, Jalisco.</t>
  </si>
  <si>
    <t>Juan Francisco</t>
  </si>
  <si>
    <t>Toscano</t>
  </si>
  <si>
    <t>Lases</t>
  </si>
  <si>
    <t>Infografía Digital de Occidente, S. A. de C. V. PCZ-178/2016</t>
  </si>
  <si>
    <t>IDO100427QG2</t>
  </si>
  <si>
    <t>DOPI-MUN-CUSMAX-SER-AD-006-2017</t>
  </si>
  <si>
    <t>Diagnóstico técnico de las acciones y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</si>
  <si>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DOPI-MUN-CUSMAX-SER-AD-007-2017</t>
  </si>
  <si>
    <t>Proyecto ejecutivo arquitectónico de la primera etapa de integración peatonal y paisaje de espacio público en la zona Andares, en el municipio de Zapopan, Jalisco.</t>
  </si>
  <si>
    <t>Colonia Puerta de Hierro</t>
  </si>
  <si>
    <t>Sendra</t>
  </si>
  <si>
    <t>Estudio PI, S.A. de C.V. PCZ-431/2016</t>
  </si>
  <si>
    <t>EPI070531P51</t>
  </si>
  <si>
    <t>1 PROYECTO</t>
  </si>
  <si>
    <t>DOPI-MUN-RM-IH-AD-008-2017</t>
  </si>
  <si>
    <t>Rehabilitación de líneas de agua potable y alcantarillado sanitario, en la Av. Ángel Leaño, tramo zona del Nixticuil, municipio de Zapopan, Jalisco.</t>
  </si>
  <si>
    <t>Colonia El Tigre</t>
  </si>
  <si>
    <t>Escatel</t>
  </si>
  <si>
    <t>Manjarrez Urbanizaciones, S.A. de C.V. PCZ-093/2016</t>
  </si>
  <si>
    <t>600 ML</t>
  </si>
  <si>
    <t>DOPI-MUN-FORTA-SER-AD-009-2017</t>
  </si>
  <si>
    <t>Elaboración de peritajes estructurales en infraestructura urbana, municipio de Zapopan, Jalisco.</t>
  </si>
  <si>
    <t>Fortamun 2017</t>
  </si>
  <si>
    <t>Héctor Manuel</t>
  </si>
  <si>
    <t>Angulo</t>
  </si>
  <si>
    <t>Colegio de Ingenieros Civiles del Estado de Jalisco, A. C. PCZ-480/2017</t>
  </si>
  <si>
    <t>CIC680115AK4</t>
  </si>
  <si>
    <t>Ing. Camilo</t>
  </si>
  <si>
    <t>DOPI-MUN-FORTA-PROY-AD-010-2017</t>
  </si>
  <si>
    <t>Diagnóstico, diseño y proyectos de infraestructura eléctrica 2017, primera etapa, municipio de Zapopan, Jalisco.</t>
  </si>
  <si>
    <t>Pia Lorena</t>
  </si>
  <si>
    <t>Buenrostro</t>
  </si>
  <si>
    <t>Ahued</t>
  </si>
  <si>
    <t>Birmek Construcciones, S.A. de C.V.</t>
  </si>
  <si>
    <t>DOPI-MUN-FORTA-PROY-AD-011-2017</t>
  </si>
  <si>
    <t>Proyecto ejecutivo para la construcción de ciclovia y rehabilitación de banquetas en la Glorieta Chapalita y la Av. Guadalupe de la Glorieta Chapalita a la Av. Niño Obrero, municipio de Zapopan, Jalisco.</t>
  </si>
  <si>
    <t>Colonia Chapalita</t>
  </si>
  <si>
    <t xml:space="preserve">Rene </t>
  </si>
  <si>
    <t>Caro</t>
  </si>
  <si>
    <t>Rene Caro Gómez</t>
  </si>
  <si>
    <t>CAGR720818NC1</t>
  </si>
  <si>
    <t>DOPI-MUN-FORTA-ID-AD-012-2017</t>
  </si>
  <si>
    <t>Construcción de Skatepark en la Unidad Deportiva Santa Margarita, municipio de Zapopan, Jalisco.</t>
  </si>
  <si>
    <t>DAVID</t>
  </si>
  <si>
    <t>LEDESMA</t>
  </si>
  <si>
    <t>MARTIN DEL CAMPO</t>
  </si>
  <si>
    <t>David Ledesma Martin Del Campo</t>
  </si>
  <si>
    <t>490 M2</t>
  </si>
  <si>
    <t>Arq. Eduardo</t>
  </si>
  <si>
    <t>DOPI-MUN-FORTA-ELE-AD-013-2017</t>
  </si>
  <si>
    <t>Instalación de la media tensión, equipos de medición y alimentación a tableros en la Unidad Deportiva El Polvorín, municipio de Zapopan, Jalisco.</t>
  </si>
  <si>
    <t>FAUSTO</t>
  </si>
  <si>
    <t>GARNICA</t>
  </si>
  <si>
    <t>PADILLA</t>
  </si>
  <si>
    <t>Fausto Garnica Padilla</t>
  </si>
  <si>
    <t>GAPF5912193V9</t>
  </si>
  <si>
    <t>80 ML</t>
  </si>
  <si>
    <t>L.u.m.a. Juan José</t>
  </si>
  <si>
    <t>DOPI-MUN-FORTA-ELE-AD-014-2017</t>
  </si>
  <si>
    <t>Alumbrado en andadores, canchas y áreas comunes en la Unidad Deportiva El Polvorín, municipio de Zapopan, Jalisco.</t>
  </si>
  <si>
    <t>HECTOR MANUEL</t>
  </si>
  <si>
    <t>ALVAREZ</t>
  </si>
  <si>
    <t>ORGANISTA</t>
  </si>
  <si>
    <t>Acaspoluca Consultoría y Construcción, S. A. de C. V.</t>
  </si>
  <si>
    <t>ACC0202071Z6</t>
  </si>
  <si>
    <t>40 PIEZAS</t>
  </si>
  <si>
    <t>DOPI-MUN-FORTA-ID-AD-015-2017</t>
  </si>
  <si>
    <t>Construcción cancha de voleibol de playa, rehabilitación de andador, instalaciones para la operación, mobiliario urbano y obra  complementaria en la Unidad Deportiva El Polvorín, municipio de Zapopan, Jalisco.</t>
  </si>
  <si>
    <t>MARIA EUGENIA</t>
  </si>
  <si>
    <t xml:space="preserve">CORTES </t>
  </si>
  <si>
    <t>GONZALEZ</t>
  </si>
  <si>
    <t>Aspavi, S. A. de C. V.</t>
  </si>
  <si>
    <t>ASP100215RH9</t>
  </si>
  <si>
    <t>504 M2</t>
  </si>
  <si>
    <t>DOPI-MUN-FORTA-BAN-AD-016-2017</t>
  </si>
  <si>
    <t>Construcción y rehabilitación de guarniciones, banquetas, obra complementaria en camellones en diferentes zonas del municipio de Zapopan, Jalisco, frente 1.</t>
  </si>
  <si>
    <t>REGINO</t>
  </si>
  <si>
    <t>RUIZ DEL CAMPO</t>
  </si>
  <si>
    <t>MEDINA</t>
  </si>
  <si>
    <t>Regino Ruiz del Campo Medina</t>
  </si>
  <si>
    <t>RUMR771116UA8</t>
  </si>
  <si>
    <t>1,136 M2</t>
  </si>
  <si>
    <t>Ing.Arq. Karina Fabiola</t>
  </si>
  <si>
    <t>DOPI-MUN-FORTA-BAN-AD-017-2017</t>
  </si>
  <si>
    <t xml:space="preserve">Peatonalización, construcción de banquetas, sustitución de guarniciones, bolardos, primera etapa en la colonia Constitución, municipio de Zapopan, Jalisco.  </t>
  </si>
  <si>
    <t>SERGIO CESAR</t>
  </si>
  <si>
    <t>DIAZ</t>
  </si>
  <si>
    <t>QUIROZ</t>
  </si>
  <si>
    <t>Transcreto, S. A. de C. V.</t>
  </si>
  <si>
    <t>TRA750528286</t>
  </si>
  <si>
    <t>5,662 M2</t>
  </si>
  <si>
    <t>Ing. Oscar Ivan</t>
  </si>
  <si>
    <t>DOPI-MUN-FORTA-BAN-AD-018-2017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</si>
  <si>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</si>
  <si>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GUSTAVO</t>
  </si>
  <si>
    <t>DURAN</t>
  </si>
  <si>
    <t>JIMENEZ</t>
  </si>
  <si>
    <t>Duran Jiménez Arquitectos, S. A. de C. V.</t>
  </si>
  <si>
    <t>DJA9405184G7</t>
  </si>
  <si>
    <t>6,946 M2</t>
  </si>
  <si>
    <t>DOPI-MUN-FORTA-DES-AD-019-2017</t>
  </si>
  <si>
    <t>Desazolve, limpieza, rectificación y obras de protección de cauce y canal del Arroyo La Culebra, en Villas Universidad, Royal Country y Puerta Plata, municipio de Zapopan, Jalisco.</t>
  </si>
  <si>
    <t>Colonias Villas Universidad, Royal Country y Puerta Plata</t>
  </si>
  <si>
    <t>CLARISSA GABRIELA</t>
  </si>
  <si>
    <t>VALDEZ</t>
  </si>
  <si>
    <t>MANJARREZ</t>
  </si>
  <si>
    <t>Tekton Grupo Empresarial, S. A. de C. V.</t>
  </si>
  <si>
    <t>TGE101215JI6</t>
  </si>
  <si>
    <t>2,162 ML</t>
  </si>
  <si>
    <t>Ing. Fernando</t>
  </si>
  <si>
    <t xml:space="preserve">Villa </t>
  </si>
  <si>
    <t>DOPI-MUN-FORTA-DES-AD-020-2017</t>
  </si>
  <si>
    <t>Desazolve, limpieza, rectificación y obras de protección de cauce y canal del Arroyos El Húmedo y El caracol y el canal Las Agujas Poniente, municipio de Zapopan, Jalisco.</t>
  </si>
  <si>
    <t>Colonia Las Agujas</t>
  </si>
  <si>
    <t>JOSE ANTONIO</t>
  </si>
  <si>
    <t>GARCIA</t>
  </si>
  <si>
    <t>Urcoma 1970, S. A. de C. V.</t>
  </si>
  <si>
    <t>3,645 ML</t>
  </si>
  <si>
    <t>Ing. Juan José</t>
  </si>
  <si>
    <t>DOPI-MUN-FORTA-DES-AD-021-2017</t>
  </si>
  <si>
    <t>Desazolve, limpieza, rectificación, obras de protección y adecuaciones pluviales en el canal Las Agujas Oriente, municipio de Zapopan, Jalisco.</t>
  </si>
  <si>
    <t>Grupo Desarrollador Alzu, S. A. de C. V.</t>
  </si>
  <si>
    <t>GDA150928286</t>
  </si>
  <si>
    <t>260 ML</t>
  </si>
  <si>
    <t>DOPI-MUN-FORTA-DES-AD-022-2017</t>
  </si>
  <si>
    <t>Desazolve, limpieza, rectificación y obras de protección en los Arroyos Seco y El Garabato, municipio de Zapopan, Jalisco.</t>
  </si>
  <si>
    <t>Colonia El Briseño</t>
  </si>
  <si>
    <t xml:space="preserve">GUILLERMO ALBERTO </t>
  </si>
  <si>
    <t>RODRIGUEZ</t>
  </si>
  <si>
    <t>ALLENDE</t>
  </si>
  <si>
    <t>4,523 ML</t>
  </si>
  <si>
    <t xml:space="preserve">Ing. José Rafael </t>
  </si>
  <si>
    <t>DOPI-MUN-FORTA-DES-AD-023-2017</t>
  </si>
  <si>
    <t>Desazolve, limpieza, rectificación, obras de protección y colocación de Gaviones en el Arroyo La Campana frente 1, municipio de Zapopan, Jalisco.</t>
  </si>
  <si>
    <t>Colonia Colomos II</t>
  </si>
  <si>
    <t>OSCAR LUIS</t>
  </si>
  <si>
    <t>CHAVEZ</t>
  </si>
  <si>
    <t>Euro Trade, S. A. de C. V.</t>
  </si>
  <si>
    <t>ETR070417NS8</t>
  </si>
  <si>
    <t>DOPI-MUN-FORTA-OC-024-AD-2017</t>
  </si>
  <si>
    <t>Obras emergentes de reparación y reconstrucción de infraestructura urbana pluvial y sanitaria, en el municipio de Zapopan, frente 1.</t>
  </si>
  <si>
    <t>ELBA</t>
  </si>
  <si>
    <t xml:space="preserve">GONZÁLEZ </t>
  </si>
  <si>
    <t>AGUIRRE</t>
  </si>
  <si>
    <t>GA Urbanización, S. A. de C. V.</t>
  </si>
  <si>
    <t>GUR120612P22</t>
  </si>
  <si>
    <t>643 ML</t>
  </si>
  <si>
    <t>DOPI-MUN-FORTA-OC-AD-025-2017</t>
  </si>
  <si>
    <t>Construcción de cárcamos para el manejo de filtraciones de lixiviados en el relleno sanitario Picachos, municipio de Zapopan, Jalisco.</t>
  </si>
  <si>
    <t>Relleno Sanitario de Picachos</t>
  </si>
  <si>
    <t>GUSTAVO ALEJANDRO</t>
  </si>
  <si>
    <t>LEDEZMA</t>
  </si>
  <si>
    <t xml:space="preserve"> CERVANTES</t>
  </si>
  <si>
    <t>Edificaciones y Proyectos Roca, S. A. de C. V.</t>
  </si>
  <si>
    <t>EPR131016I71</t>
  </si>
  <si>
    <t>3 PIEZAS</t>
  </si>
  <si>
    <t>DOPI-MUN-FORTA-OC-AD-026-2017</t>
  </si>
  <si>
    <t>Trabajos de rehabilitación (manga con curado ultravioleta) de colector sanitario López Mateos - Pinar de la Calma, para evitar socavaciones, en el tramo de Av. Galileo Galilei a La Glorieta Las Fuentes, municipio de Zapopan, Jalisco.</t>
  </si>
  <si>
    <t>Colonias Las Aguilas y Las Fuentes</t>
  </si>
  <si>
    <t>MARÍA RAQUEL</t>
  </si>
  <si>
    <t>ROMO</t>
  </si>
  <si>
    <t>LÓPEZ</t>
  </si>
  <si>
    <t>B&amp;G Construcción y Rehabilitación de Redes, S. A. de C. V.</t>
  </si>
  <si>
    <t>BCR080530NPA</t>
  </si>
  <si>
    <t>93 ML</t>
  </si>
  <si>
    <t>Arq. Daniel</t>
  </si>
  <si>
    <t xml:space="preserve">Torres </t>
  </si>
  <si>
    <t>Covarrubias</t>
  </si>
  <si>
    <t>DOPI-MUN-FORTA-IE-AD-027-2017</t>
  </si>
  <si>
    <t>Suministro y colocación de estructuras de protección de rayos ultravioleta en los planteles educativos: Primaria Diego Rivera (14DPR3789G) y Escuela Alfredo V. Bonfil (14EPR1115G), municipio de Zapopan, Jalisco.</t>
  </si>
  <si>
    <t>Colonias Arcos de Zapopan y Loma Bonita Ejidal</t>
  </si>
  <si>
    <t xml:space="preserve">ALEJANDRO LUIS </t>
  </si>
  <si>
    <t xml:space="preserve">VAIDOVITS </t>
  </si>
  <si>
    <t xml:space="preserve"> SCHNURER</t>
  </si>
  <si>
    <t>Promaco de México, S. A. de C. V.</t>
  </si>
  <si>
    <t>PME930817EV7</t>
  </si>
  <si>
    <t>963 M2</t>
  </si>
  <si>
    <t>Arq. Alheli Guadalupe</t>
  </si>
  <si>
    <t>DOPI-MUN-FORTA-IE-AD-028-2017</t>
  </si>
  <si>
    <t>Suministro y colocación de estructuras de protección de rayos ultravioleta en los planteles educativos: Secundaria José Antonio Torres (14DE50017T) y Carlos González Peña (14EPR1341C), municipio de Zapopan, Jalisco.</t>
  </si>
  <si>
    <t>ARTURO RAFAEL</t>
  </si>
  <si>
    <t>SALAZAR</t>
  </si>
  <si>
    <t>Kalmani Constructora, S. A. de C. V.</t>
  </si>
  <si>
    <t>KCO030922UM6</t>
  </si>
  <si>
    <t>975 M2</t>
  </si>
  <si>
    <t>DOPI-MUN-FORTA-CAL-AD-029-2017</t>
  </si>
  <si>
    <t>Control de calidad de diferentes obras 2017 del municipio de Zapopan, Jalisco, etapa 1.</t>
  </si>
  <si>
    <t>RICARDO</t>
  </si>
  <si>
    <t>MEZA</t>
  </si>
  <si>
    <t>PONCE</t>
  </si>
  <si>
    <t>CME Calidad, Modelo de Eficacia, S. A. de C. V.</t>
  </si>
  <si>
    <t>CCM1405243C4</t>
  </si>
  <si>
    <t>Arq. Joel</t>
  </si>
  <si>
    <t>DOPI-MUN-RM-PAV-AD-030-2017</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</si>
  <si>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</si>
  <si>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Colonia Villas Torremolinos</t>
  </si>
  <si>
    <t>JOSE DE JESUS</t>
  </si>
  <si>
    <t xml:space="preserve">CASTILLO </t>
  </si>
  <si>
    <t>CARRILLO</t>
  </si>
  <si>
    <t>Mapa Obras y Pavimentos, S.A. de C.V.</t>
  </si>
  <si>
    <t>4,800 ML</t>
  </si>
  <si>
    <t>DOPI-MUN-RM-PAV-AD-031-2017</t>
  </si>
  <si>
    <t>Pavimentación, sello y bacheo en las calles Río Tuito, Río Lerma y Río Tequila en el tramo comprendido de Av. Tabachines a Av. Sierra de Tapalpa; y  calle Encinos de Av. Patria a calle Río Cihutatlán, en la colonia Loma Bonita Ejidal, municipio de Zapopan, Jalisco.</t>
  </si>
  <si>
    <t>Colonia Loma Bonita Ejidal</t>
  </si>
  <si>
    <t>DAVID EDUARDO</t>
  </si>
  <si>
    <t>LARA</t>
  </si>
  <si>
    <t>OCHOA</t>
  </si>
  <si>
    <t>Construcciones Icu, S. A. de C. V</t>
  </si>
  <si>
    <t>CIC080626ER2</t>
  </si>
  <si>
    <t>4,000 M2</t>
  </si>
  <si>
    <t>DOPI-MUN-RM-PAV-AD-032-2017</t>
  </si>
  <si>
    <t>Pavimentación con adoquín y empedrado tradicional con material producto de recuperación en diferentes vialidades en el Municipio de Zapopan, Jalisco.</t>
  </si>
  <si>
    <t>PALAFOX</t>
  </si>
  <si>
    <t>VILLEGAS</t>
  </si>
  <si>
    <t>Megaenlace Construcciones, S. A. de C. V.</t>
  </si>
  <si>
    <t>MCO1510113H8</t>
  </si>
  <si>
    <t>4,232 M2</t>
  </si>
  <si>
    <t>Arq. Carlos Gerardo</t>
  </si>
  <si>
    <t>DOPI-MUN-RM-PAV-AD-033-2017</t>
  </si>
  <si>
    <t>Rehabilitación de machuelos de concreto hidráulico en la Av. Juan Gil Preciado, tramo 3, municipio de Zapopan, Jalisco.</t>
  </si>
  <si>
    <t>ARTURO</t>
  </si>
  <si>
    <t>SARMIENTO</t>
  </si>
  <si>
    <t>SANCHEZ</t>
  </si>
  <si>
    <t>Construbravo, S. A. de C. V.</t>
  </si>
  <si>
    <t>CON020208696</t>
  </si>
  <si>
    <t>3,976 M2</t>
  </si>
  <si>
    <t>DOPI-MUN-RM-PAV-AD-034-2017</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</si>
  <si>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</si>
  <si>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Clonia San Isidro Ejidal</t>
  </si>
  <si>
    <t>ANDRES EDUARDO</t>
  </si>
  <si>
    <t>CASTAÑEDA</t>
  </si>
  <si>
    <t>Secri Constructora, S. A. de C. V.</t>
  </si>
  <si>
    <t>SCO100609EVA</t>
  </si>
  <si>
    <t>905 M2</t>
  </si>
  <si>
    <t>DOPI-MUN-RM-PAV-AD-035-2017</t>
  </si>
  <si>
    <t>Rehabilitación de la superficie de rodamiento y modificación vial del crucero de Prolongación Guadalupe y Periférico Poniente Manuel Gómez Morín, municipio de Zapopan, Jalisco.</t>
  </si>
  <si>
    <t>Colonia Industrial El Colli</t>
  </si>
  <si>
    <t>JOSE DANIEL</t>
  </si>
  <si>
    <t xml:space="preserve">MARTINEZ </t>
  </si>
  <si>
    <t>CASILLAS</t>
  </si>
  <si>
    <t>Constructora Tesisteka, S.A. de C.V.</t>
  </si>
  <si>
    <t>CTE060615JX2</t>
  </si>
  <si>
    <t>250 M2</t>
  </si>
  <si>
    <t>Ing. José Rafael</t>
  </si>
  <si>
    <t>DOPI-MUN-RM-PAV-AD-036-2017</t>
  </si>
  <si>
    <t>Obra complementaria en la incorporación de Av. Ecónomos a Periférico Poniente, municipio de Zapopan, Jalisco.</t>
  </si>
  <si>
    <t>Colonia Rinconada Del Parque</t>
  </si>
  <si>
    <t>Grupo Unicreto de México, S.A. de C.V.</t>
  </si>
  <si>
    <t>GUM111201IA5</t>
  </si>
  <si>
    <t>950 M2</t>
  </si>
  <si>
    <t>DOPI-MUN-RM-PAV-AD-037-2017</t>
  </si>
  <si>
    <t>Construcción de vialidad con concreto hidráulico calle Cuatlicue desde la calle Ozomatlí a la calle Tul, incluye: guarniciones, banquetas, red de agua potable, alcantarillado, servicios complementarios, zona las Mesas, Municipio de Zapopan, Jalisco.</t>
  </si>
  <si>
    <t>JOSE OMAR</t>
  </si>
  <si>
    <t>FERNANDEZ</t>
  </si>
  <si>
    <t>VAZQUEZ</t>
  </si>
  <si>
    <t>Extra Construcciones, S.A. de C.V.</t>
  </si>
  <si>
    <t>DOPI-MUN-RM-IM-AD-038-2017</t>
  </si>
  <si>
    <t>Rehabilitación y ampliación de bardas perimetrales de infraestructura hidráulica municipal, primera etapa, municipio de Zapopan, Jalisco.</t>
  </si>
  <si>
    <t>HUGO ARMANDO</t>
  </si>
  <si>
    <t>PRIETO</t>
  </si>
  <si>
    <t>Constructora Rural del País, S. A. de C. V.</t>
  </si>
  <si>
    <t>CRP870708I62</t>
  </si>
  <si>
    <t>129 M2</t>
  </si>
  <si>
    <t>DOPI-MUN-RM-ELE-AD-039-2017</t>
  </si>
  <si>
    <t>Instalación de la media tensión en la caseta de vigilancia del parque metropolitano, municipio de Zapopan, Jalisco.</t>
  </si>
  <si>
    <t>Colonia Arcos de Guadalupe</t>
  </si>
  <si>
    <t>JUAN PABLO</t>
  </si>
  <si>
    <t>VERA</t>
  </si>
  <si>
    <t>TAVARES</t>
  </si>
  <si>
    <t>Lizette Construcciones, S. A. de C. V.</t>
  </si>
  <si>
    <t>DOPI-MUN-RM-AP-AD-040-2017</t>
  </si>
  <si>
    <t>Sustitución de red de agua potable en la calle Laurel de la calle Paseo de los Manzanos a calle Palmeras, en la colonia Lomas de Tabachines I sección, en el municipio de Zapopan, Jalisco.</t>
  </si>
  <si>
    <t>EDGARDO</t>
  </si>
  <si>
    <t>ZUÑIGA</t>
  </si>
  <si>
    <t>BERISTAIN</t>
  </si>
  <si>
    <t>Proyección Integral Zure, S. A. de C. V.</t>
  </si>
  <si>
    <t>PIZ070717DX6</t>
  </si>
  <si>
    <t>428 ML</t>
  </si>
  <si>
    <t xml:space="preserve">Arq. Sarahí </t>
  </si>
  <si>
    <t>Barnard</t>
  </si>
  <si>
    <t>Román</t>
  </si>
  <si>
    <t>http://www.zapopan.gob.mx/wp-content/uploads/2017/05/Contrato_007_2016.pdf</t>
  </si>
  <si>
    <t>http://www.zapopan.gob.mx/wp-content/uploads/2017/05/Contrato_013_2016.pdf</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</si>
  <si>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</si>
  <si>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</si>
  <si>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</si>
  <si>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</si>
  <si>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</si>
  <si>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</si>
  <si>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</si>
  <si>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http://www.zapopan.gob.mx/wp-content/uploads/2017/05/Contrato_064_2016.pdf</t>
  </si>
  <si>
    <t>http://www.zapopan.gob.mx/wp-content/uploads/2017/05/Contrato_108_2016.pdf</t>
  </si>
  <si>
    <t>DOPI-MUN-FORTA-BAN-CI-042-2017</t>
  </si>
  <si>
    <t>Peatonalización (banquetas y obras de accesibilidad) del área de influencia de escuelas, hospitales, mercados, centros culturales, plazas públicas y clínicas, municipio de Zapopan, Jalisco, Frente 2.</t>
  </si>
  <si>
    <t>Col. Nextipac, Mariano Otero</t>
  </si>
  <si>
    <t>Elba</t>
  </si>
  <si>
    <t xml:space="preserve">González </t>
  </si>
  <si>
    <t>Aguirre</t>
  </si>
  <si>
    <t>GA Urbanización, S.A. de C.V.</t>
  </si>
  <si>
    <t>2,533 M2</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</si>
  <si>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</si>
  <si>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</si>
  <si>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Col. Santa Maria del Pueblito</t>
  </si>
  <si>
    <t xml:space="preserve">Marco Antonio </t>
  </si>
  <si>
    <t>Desarrolladora Fulham S. de R.L. de C.V.</t>
  </si>
  <si>
    <t>DFU090928JB5</t>
  </si>
  <si>
    <t>845 M3</t>
  </si>
  <si>
    <t>DOPI-MUN-RM-IH-CI-044-2017</t>
  </si>
  <si>
    <t>Construcción colector de alejamiento del vaso regulador de Santa María del Pueblito, municipio de Zapopan, Jalisco.</t>
  </si>
  <si>
    <t>Claudio Felipe</t>
  </si>
  <si>
    <t>Trujillo</t>
  </si>
  <si>
    <t>Gracián</t>
  </si>
  <si>
    <t>Desarrolladora Lumadi, S.A. de C.V.</t>
  </si>
  <si>
    <t>DLU100818F46</t>
  </si>
  <si>
    <t>145 ML</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</si>
  <si>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</si>
  <si>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</si>
  <si>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Col. El Tigre</t>
  </si>
  <si>
    <t>6,141 M2</t>
  </si>
  <si>
    <t>Ing. Fernando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</si>
  <si>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</si>
  <si>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</si>
  <si>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Luis Armando</t>
  </si>
  <si>
    <t>Linares</t>
  </si>
  <si>
    <t>Cacho</t>
  </si>
  <si>
    <t>Urbanizadora y Constructora Roal, S.A. de C.V.</t>
  </si>
  <si>
    <t>URC160310857</t>
  </si>
  <si>
    <t>3,764 M2</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</si>
  <si>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</si>
  <si>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</si>
  <si>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Col. La Martinica</t>
  </si>
  <si>
    <t>2,711 M2</t>
  </si>
  <si>
    <t>DOPI-MUN-RM-PAV-CI-048-2017</t>
  </si>
  <si>
    <t>Construcción de puente vehicular y adecuaciones pluviales sobre El Arroyo Seco, en la colonia El Briseño, municipio de Zapopan, Jalisco.</t>
  </si>
  <si>
    <t>Col. El Briseño</t>
  </si>
  <si>
    <t>Victor</t>
  </si>
  <si>
    <t>Zayas</t>
  </si>
  <si>
    <t>Riquelme</t>
  </si>
  <si>
    <t>Geminis Internacional Constructora, S.A. de C.V.</t>
  </si>
  <si>
    <t>GIC810323RA6</t>
  </si>
  <si>
    <t>DOPI-MUN-RM-IH-AD-052-2017</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</si>
  <si>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</si>
  <si>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Col. San Juan de Ocotán</t>
  </si>
  <si>
    <t xml:space="preserve">EDUARDO </t>
  </si>
  <si>
    <t>MORA</t>
  </si>
  <si>
    <t>BLACKALLER</t>
  </si>
  <si>
    <t>Grupo Constructor Innoblack,
S. A. de C. V.</t>
  </si>
  <si>
    <t>GCI070523CW4</t>
  </si>
  <si>
    <t>4,070 M2</t>
  </si>
  <si>
    <t>Arq. Jorge Adriel</t>
  </si>
  <si>
    <t xml:space="preserve"> Guzmán </t>
  </si>
  <si>
    <t>DOPI-MUN-RM-OC-AD-053-2017</t>
  </si>
  <si>
    <t>Construcción de bocas de tormenta para prevención de inundaciones y conexión al colector pluvial Jalisco, ubicado en Tesistán, municipio de Zapopan, Jalisco.</t>
  </si>
  <si>
    <t xml:space="preserve">RODOLFO </t>
  </si>
  <si>
    <t xml:space="preserve">VELAZQUEZ </t>
  </si>
  <si>
    <t>ORDOÑEZ</t>
  </si>
  <si>
    <t>Velázquez Ingeniería Ecológica, S. A. de C. V.</t>
  </si>
  <si>
    <t>VIE110125RL4</t>
  </si>
  <si>
    <t>157 ML</t>
  </si>
  <si>
    <t>DOPI-MUN-RM-OC-AD-054-2017</t>
  </si>
  <si>
    <t>Construcción de canal pluvial prefabricado para prevención de inundaciones en la calle J. García Praga, de la calle Jalisco a la calle Ramón Corona, en la localidad de Tesistán, municipio de Zapopan, Jalisco.</t>
  </si>
  <si>
    <t>GUADALUPE ALEJANDRINA</t>
  </si>
  <si>
    <t>MALDONADO</t>
  </si>
  <si>
    <t>L &amp; A Ejecución Construcción y Proyectos Coorporativo JM, S. A. de C. V.</t>
  </si>
  <si>
    <t>LAE1306263B5</t>
  </si>
  <si>
    <t>823 M2</t>
  </si>
  <si>
    <t>DOPI-MUN-FORTA-BAN-AD-055-2017</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</si>
  <si>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</si>
  <si>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Colonia San Juan de Ocotán</t>
  </si>
  <si>
    <t xml:space="preserve">HÉCTOR HUGO </t>
  </si>
  <si>
    <t xml:space="preserve">GUILLÉN </t>
  </si>
  <si>
    <t>GUERRERO</t>
  </si>
  <si>
    <t>Construdimensión, S.A. de C.V.</t>
  </si>
  <si>
    <t>6,829 M2</t>
  </si>
  <si>
    <t>DOPI-MUN-RM-DS-AD-056-2017</t>
  </si>
  <si>
    <t>Construcción de línea de alejamiento de aguas residuales en la lateral de la carretera a Saltillo, de la calle Casiano Torres Poniente a canal pluvial, en la colonia Villa de Guadalupe, municipio de Zapopan, Jalisco.</t>
  </si>
  <si>
    <t>RANGEL</t>
  </si>
  <si>
    <t>PAEZ</t>
  </si>
  <si>
    <t>CONSTRUCTORA LASA, S.A. DE C.V.</t>
  </si>
  <si>
    <t>CLA890925ER5</t>
  </si>
  <si>
    <t>DOPI-MUN-RM-IU-AD-057-2017</t>
  </si>
  <si>
    <t>Primera etapa de la renovación de imagen urbana en las localidades de Santa Ana Tepetitlán y San Juan de Ocotán, municipio de Zapopan, Jalisco.</t>
  </si>
  <si>
    <t>PROMACO DE MEXICO, S.A. DE C.V.</t>
  </si>
  <si>
    <t>12,250 m2</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</si>
  <si>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</si>
  <si>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</si>
  <si>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Col. El Zapote I y Col. Hogares de Nuevo México</t>
  </si>
  <si>
    <t xml:space="preserve">HÉCTOR ALEJANDRO </t>
  </si>
  <si>
    <t xml:space="preserve">ORTEGA </t>
  </si>
  <si>
    <t>ROSALES</t>
  </si>
  <si>
    <t>IME SERVICIOS Y SUMINISTROS, S.A. DE C.V.</t>
  </si>
  <si>
    <t>2,800 ML</t>
  </si>
  <si>
    <t>DOPI-MUN-FORTA-ID-AD-059-2017</t>
  </si>
  <si>
    <t>Construcción de Andadores, Recubrimientos y Acabados en la Unidad Deportiva Paseos del Briseño Municipio de Zapopan, Jalisco.</t>
  </si>
  <si>
    <t>Col. Paseos del Briseño</t>
  </si>
  <si>
    <t>MERCADO</t>
  </si>
  <si>
    <t>ANITSUJ, S.A. DE C.V.</t>
  </si>
  <si>
    <t>ANI1102217W2</t>
  </si>
  <si>
    <t>2,492 M2</t>
  </si>
  <si>
    <t xml:space="preserve">Arq. Daniel </t>
  </si>
  <si>
    <t xml:space="preserve">Covarrubias     </t>
  </si>
  <si>
    <t>DOPI-MUN-FORTA-SERV-AD-060-2017</t>
  </si>
  <si>
    <t>Control de calidad de diferentes obras 2017 del municipio de Zapopan, Jalisco, etapa 2.</t>
  </si>
  <si>
    <t>JOSE ALEJANDRO</t>
  </si>
  <si>
    <t>ALVA</t>
  </si>
  <si>
    <t>DELGADO</t>
  </si>
  <si>
    <t>SERVICIOS DE OBRAS CIVILES SERCO, S.A. DE C.V.</t>
  </si>
  <si>
    <t>DOPI-MUN-RM-PAV-AD-061-2017</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</si>
  <si>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</si>
  <si>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Col. Loma Chica</t>
  </si>
  <si>
    <t>HECTOR EUGENIO</t>
  </si>
  <si>
    <t>DE LA TORRE</t>
  </si>
  <si>
    <t>MENCHACA</t>
  </si>
  <si>
    <t>INGENIEROS DE LA TORRE, S.A. DE C.V.</t>
  </si>
  <si>
    <t>ITO951005HY5</t>
  </si>
  <si>
    <t>DOPI-MUN-RM-PAV-AD-062-2017</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</si>
  <si>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</si>
  <si>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Col. Villa de Guadalupe</t>
  </si>
  <si>
    <t>ALBERTO</t>
  </si>
  <si>
    <t>BAÑUELOS</t>
  </si>
  <si>
    <t>GRIAL CONSTRUCCIONES, S.A. DE C.V.</t>
  </si>
  <si>
    <t>GCO100226SU6</t>
  </si>
  <si>
    <t>1,029 M2</t>
  </si>
  <si>
    <t>DOPI-MUN-FORTA-BAN-CI-041-2017</t>
  </si>
  <si>
    <t>Peatonalización (banquetas y obras de accesibilidad) del área de influencia de escuelas, hospitales, mercados, centros culturales, plazas públicas y clínicas, municipio de Zapopan, Jalisco, Frente 1.</t>
  </si>
  <si>
    <t>Col. Lomas de Tabachines, Jardines del Valle, El Vigia, Misión del Bosque</t>
  </si>
  <si>
    <t>Dommont Construcciones, S.A. de C.V.</t>
  </si>
  <si>
    <t>2,633 M2</t>
  </si>
  <si>
    <t>Periodo de actualización de la información: MAYO 2017</t>
  </si>
  <si>
    <t>Fecha de actualización: 05/06/2017</t>
  </si>
  <si>
    <t>Fecha de validación: 05/06/2017</t>
  </si>
  <si>
    <t>Obras Públicas del Municipio de Zapopan (actualizado enero-mayo 2017)</t>
  </si>
  <si>
    <t>http://www.zapopan.gob.mx/wp-content/uploads/2017/06/DOPI_005_2016.pdf</t>
  </si>
  <si>
    <t>http://www.zapopan.gob.mx/wp-content/uploads/2017/06/DOPI_012_2016.pdf</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</si>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</sst>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3">
    <font>
      <sz val="11"/>
      <color theme="1"/>
      <name val="Calibri"/>
      <family val="2"/>
      <scheme val="minor"/>
    </font>
    <font>
      <sz val="11"/>
      <color theme="1"/>
      <name val="Calibri"/>
      <family val="2"/>
      <scheme val="minor"/>
    </font>
    <font>
      <sz val="9"/>
      <color theme="1"/>
      <name val="Arial"/>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b/>
      <sz val="14"/>
      <color theme="1"/>
      <name val="Century Gothic"/>
      <family val="2"/>
    </font>
    <font>
      <u/>
      <sz val="8"/>
      <color theme="10"/>
      <name val="Century Gothic"/>
      <family val="2"/>
    </font>
    <font>
      <b/>
      <sz val="8"/>
      <color rgb="FF000000"/>
      <name val="Century Gothic"/>
      <family val="2"/>
    </font>
    <font>
      <sz val="8"/>
      <name val="Century Gothic"/>
      <family val="2"/>
    </font>
    <font>
      <b/>
      <sz val="12"/>
      <color theme="1"/>
      <name val="Century Gothic"/>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FFFF00"/>
        <bgColor indexed="64"/>
      </patternFill>
    </fill>
  </fills>
  <borders count="20">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64">
    <xf numFmtId="0" fontId="0" fillId="0" borderId="0"/>
    <xf numFmtId="0" fontId="2"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6" borderId="0" applyNumberFormat="0" applyBorder="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9" fillId="19" borderId="3" applyNumberFormat="0" applyAlignment="0" applyProtection="0"/>
    <xf numFmtId="0" fontId="10"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5"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9" fontId="15" fillId="0" borderId="0" applyFill="0" applyBorder="0" applyAlignment="0" applyProtection="0"/>
    <xf numFmtId="44" fontId="15" fillId="0" borderId="0" applyFont="0" applyFill="0" applyBorder="0" applyAlignment="0" applyProtection="0"/>
    <xf numFmtId="170"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0" fontId="19" fillId="2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2"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174" fontId="15" fillId="0" borderId="0" applyFont="0" applyFill="0" applyBorder="0" applyAlignment="0" applyProtection="0"/>
    <xf numFmtId="0" fontId="1" fillId="0" borderId="0"/>
    <xf numFmtId="0" fontId="1" fillId="0" borderId="0"/>
    <xf numFmtId="0" fontId="1" fillId="0" borderId="0"/>
    <xf numFmtId="0" fontId="1" fillId="0" borderId="0"/>
    <xf numFmtId="0" fontId="16" fillId="0" borderId="0" applyNumberFormat="0" applyFill="0" applyBorder="0" applyAlignment="0" applyProtection="0">
      <alignment vertical="top"/>
      <protection locked="0"/>
    </xf>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43" fontId="15" fillId="0" borderId="0" applyFont="0" applyFill="0" applyBorder="0" applyAlignment="0" applyProtection="0"/>
  </cellStyleXfs>
  <cellXfs count="94">
    <xf numFmtId="0" fontId="0" fillId="0" borderId="0" xfId="0"/>
    <xf numFmtId="0" fontId="0" fillId="0" borderId="1" xfId="0" applyBorder="1"/>
    <xf numFmtId="0" fontId="0" fillId="0" borderId="0" xfId="0" applyBorder="1"/>
    <xf numFmtId="0" fontId="27" fillId="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3" fontId="4" fillId="0" borderId="11" xfId="0" applyNumberFormat="1" applyFont="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29" fillId="2" borderId="11" xfId="1369" applyFont="1" applyFill="1" applyBorder="1" applyAlignment="1" applyProtection="1">
      <alignment horizontal="center" vertical="center" wrapText="1"/>
    </xf>
    <xf numFmtId="0" fontId="0" fillId="0" borderId="0" xfId="0"/>
    <xf numFmtId="0" fontId="0" fillId="2" borderId="0" xfId="0" applyFill="1"/>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170" fontId="4" fillId="0" borderId="11" xfId="0" applyNumberFormat="1" applyFont="1" applyBorder="1" applyAlignment="1">
      <alignment horizontal="center" vertical="center" wrapText="1"/>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0" fontId="29" fillId="0" borderId="11" xfId="1369" applyFont="1" applyBorder="1" applyAlignment="1" applyProtection="1">
      <alignment horizontal="center" vertical="center" wrapText="1"/>
    </xf>
    <xf numFmtId="0" fontId="4" fillId="0" borderId="0" xfId="0" applyFont="1" applyBorder="1" applyAlignment="1">
      <alignment wrapText="1"/>
    </xf>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31" fillId="2" borderId="11" xfId="0" applyFont="1" applyFill="1" applyBorder="1" applyAlignment="1">
      <alignment horizontal="center" vertical="center"/>
    </xf>
    <xf numFmtId="164" fontId="31" fillId="2" borderId="11"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31" fillId="2" borderId="11" xfId="0" applyFont="1" applyFill="1" applyBorder="1" applyAlignment="1">
      <alignment horizontal="center" vertical="center"/>
    </xf>
    <xf numFmtId="164" fontId="31" fillId="2" borderId="11" xfId="0" applyNumberFormat="1" applyFont="1" applyFill="1" applyBorder="1" applyAlignment="1">
      <alignment horizontal="center" vertical="center"/>
    </xf>
    <xf numFmtId="0" fontId="0" fillId="2" borderId="0" xfId="0" applyFill="1" applyBorder="1"/>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32" fillId="26" borderId="11" xfId="0" applyFont="1" applyFill="1" applyBorder="1" applyAlignment="1">
      <alignment horizontal="left" vertical="center" wrapText="1"/>
    </xf>
    <xf numFmtId="0" fontId="32" fillId="26" borderId="11" xfId="0" applyFont="1" applyFill="1" applyBorder="1" applyAlignment="1">
      <alignment horizontal="left" wrapText="1"/>
    </xf>
    <xf numFmtId="0" fontId="27" fillId="3" borderId="11" xfId="0"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15"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19" xfId="1" applyFont="1" applyFill="1" applyBorder="1" applyAlignment="1">
      <alignment horizontal="center" vertical="center"/>
    </xf>
    <xf numFmtId="0" fontId="30" fillId="3" borderId="11" xfId="0" applyFont="1" applyFill="1" applyBorder="1" applyAlignment="1">
      <alignment horizontal="center" vertical="center" wrapText="1"/>
    </xf>
    <xf numFmtId="0" fontId="29" fillId="27" borderId="11" xfId="1369" applyFont="1" applyFill="1" applyBorder="1" applyAlignment="1" applyProtection="1">
      <alignment horizontal="center" vertical="center" wrapText="1"/>
    </xf>
  </cellXfs>
  <cellStyles count="14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0"/>
    <cellStyle name="Cálculo 2 10 3" xfId="24"/>
    <cellStyle name="Cálculo 2 11" xfId="25"/>
    <cellStyle name="Cálculo 2 11 2" xfId="26"/>
    <cellStyle name="Cálculo 2 11 2 2" xfId="1371"/>
    <cellStyle name="Cálculo 2 11 3" xfId="27"/>
    <cellStyle name="Cálculo 2 12" xfId="28"/>
    <cellStyle name="Cálculo 2 12 2" xfId="29"/>
    <cellStyle name="Cálculo 2 12 2 2" xfId="1372"/>
    <cellStyle name="Cálculo 2 12 3" xfId="30"/>
    <cellStyle name="Cálculo 2 13" xfId="31"/>
    <cellStyle name="Cálculo 2 13 2" xfId="32"/>
    <cellStyle name="Cálculo 2 13 2 2" xfId="1373"/>
    <cellStyle name="Cálculo 2 13 3" xfId="33"/>
    <cellStyle name="Cálculo 2 14" xfId="34"/>
    <cellStyle name="Cálculo 2 14 2" xfId="35"/>
    <cellStyle name="Cálculo 2 14 2 2" xfId="1374"/>
    <cellStyle name="Cálculo 2 14 3" xfId="36"/>
    <cellStyle name="Cálculo 2 15" xfId="37"/>
    <cellStyle name="Cálculo 2 15 2" xfId="38"/>
    <cellStyle name="Cálculo 2 15 2 2" xfId="1375"/>
    <cellStyle name="Cálculo 2 15 3" xfId="39"/>
    <cellStyle name="Cálculo 2 16" xfId="40"/>
    <cellStyle name="Cálculo 2 16 2" xfId="41"/>
    <cellStyle name="Cálculo 2 16 2 2" xfId="1376"/>
    <cellStyle name="Cálculo 2 16 3" xfId="42"/>
    <cellStyle name="Cálculo 2 17" xfId="43"/>
    <cellStyle name="Cálculo 2 17 2" xfId="44"/>
    <cellStyle name="Cálculo 2 17 2 2" xfId="1377"/>
    <cellStyle name="Cálculo 2 17 3" xfId="45"/>
    <cellStyle name="Cálculo 2 18" xfId="46"/>
    <cellStyle name="Cálculo 2 18 2" xfId="47"/>
    <cellStyle name="Cálculo 2 18 2 2" xfId="1378"/>
    <cellStyle name="Cálculo 2 18 3" xfId="48"/>
    <cellStyle name="Cálculo 2 19" xfId="49"/>
    <cellStyle name="Cálculo 2 19 2" xfId="1379"/>
    <cellStyle name="Cálculo 2 2" xfId="50"/>
    <cellStyle name="Cálculo 2 2 2" xfId="51"/>
    <cellStyle name="Cálculo 2 2 2 2" xfId="1380"/>
    <cellStyle name="Cálculo 2 2 3" xfId="52"/>
    <cellStyle name="Cálculo 2 20" xfId="53"/>
    <cellStyle name="Cálculo 2 3" xfId="54"/>
    <cellStyle name="Cálculo 2 3 2" xfId="55"/>
    <cellStyle name="Cálculo 2 3 2 2" xfId="1381"/>
    <cellStyle name="Cálculo 2 3 3" xfId="56"/>
    <cellStyle name="Cálculo 2 4" xfId="57"/>
    <cellStyle name="Cálculo 2 4 2" xfId="58"/>
    <cellStyle name="Cálculo 2 4 2 2" xfId="1382"/>
    <cellStyle name="Cálculo 2 4 3" xfId="59"/>
    <cellStyle name="Cálculo 2 5" xfId="60"/>
    <cellStyle name="Cálculo 2 5 2" xfId="61"/>
    <cellStyle name="Cálculo 2 5 2 2" xfId="1383"/>
    <cellStyle name="Cálculo 2 5 3" xfId="62"/>
    <cellStyle name="Cálculo 2 6" xfId="63"/>
    <cellStyle name="Cálculo 2 6 2" xfId="64"/>
    <cellStyle name="Cálculo 2 6 2 2" xfId="1384"/>
    <cellStyle name="Cálculo 2 6 3" xfId="65"/>
    <cellStyle name="Cálculo 2 7" xfId="66"/>
    <cellStyle name="Cálculo 2 7 2" xfId="67"/>
    <cellStyle name="Cálculo 2 7 2 2" xfId="1385"/>
    <cellStyle name="Cálculo 2 7 3" xfId="68"/>
    <cellStyle name="Cálculo 2 8" xfId="69"/>
    <cellStyle name="Cálculo 2 8 2" xfId="70"/>
    <cellStyle name="Cálculo 2 8 2 2" xfId="1386"/>
    <cellStyle name="Cálculo 2 8 3" xfId="71"/>
    <cellStyle name="Cálculo 2 9" xfId="72"/>
    <cellStyle name="Cálculo 2 9 2" xfId="73"/>
    <cellStyle name="Cálculo 2 9 2 2" xfId="1387"/>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388"/>
    <cellStyle name="Entrada 2 10 3" xfId="91"/>
    <cellStyle name="Entrada 2 11" xfId="92"/>
    <cellStyle name="Entrada 2 11 2" xfId="93"/>
    <cellStyle name="Entrada 2 11 2 2" xfId="1389"/>
    <cellStyle name="Entrada 2 11 3" xfId="94"/>
    <cellStyle name="Entrada 2 12" xfId="95"/>
    <cellStyle name="Entrada 2 12 2" xfId="96"/>
    <cellStyle name="Entrada 2 12 2 2" xfId="1390"/>
    <cellStyle name="Entrada 2 12 3" xfId="97"/>
    <cellStyle name="Entrada 2 13" xfId="98"/>
    <cellStyle name="Entrada 2 13 2" xfId="99"/>
    <cellStyle name="Entrada 2 13 2 2" xfId="1391"/>
    <cellStyle name="Entrada 2 13 3" xfId="100"/>
    <cellStyle name="Entrada 2 14" xfId="101"/>
    <cellStyle name="Entrada 2 14 2" xfId="102"/>
    <cellStyle name="Entrada 2 14 2 2" xfId="1392"/>
    <cellStyle name="Entrada 2 14 3" xfId="103"/>
    <cellStyle name="Entrada 2 15" xfId="104"/>
    <cellStyle name="Entrada 2 15 2" xfId="105"/>
    <cellStyle name="Entrada 2 15 2 2" xfId="1393"/>
    <cellStyle name="Entrada 2 15 3" xfId="106"/>
    <cellStyle name="Entrada 2 16" xfId="107"/>
    <cellStyle name="Entrada 2 16 2" xfId="108"/>
    <cellStyle name="Entrada 2 16 2 2" xfId="1394"/>
    <cellStyle name="Entrada 2 16 3" xfId="109"/>
    <cellStyle name="Entrada 2 17" xfId="110"/>
    <cellStyle name="Entrada 2 17 2" xfId="111"/>
    <cellStyle name="Entrada 2 17 2 2" xfId="1395"/>
    <cellStyle name="Entrada 2 17 3" xfId="112"/>
    <cellStyle name="Entrada 2 18" xfId="113"/>
    <cellStyle name="Entrada 2 18 2" xfId="114"/>
    <cellStyle name="Entrada 2 18 2 2" xfId="1396"/>
    <cellStyle name="Entrada 2 18 3" xfId="115"/>
    <cellStyle name="Entrada 2 19" xfId="116"/>
    <cellStyle name="Entrada 2 19 2" xfId="1397"/>
    <cellStyle name="Entrada 2 2" xfId="117"/>
    <cellStyle name="Entrada 2 2 2" xfId="118"/>
    <cellStyle name="Entrada 2 2 2 2" xfId="1398"/>
    <cellStyle name="Entrada 2 2 3" xfId="119"/>
    <cellStyle name="Entrada 2 20" xfId="120"/>
    <cellStyle name="Entrada 2 3" xfId="121"/>
    <cellStyle name="Entrada 2 3 2" xfId="122"/>
    <cellStyle name="Entrada 2 3 2 2" xfId="1399"/>
    <cellStyle name="Entrada 2 3 3" xfId="123"/>
    <cellStyle name="Entrada 2 4" xfId="124"/>
    <cellStyle name="Entrada 2 4 2" xfId="125"/>
    <cellStyle name="Entrada 2 4 2 2" xfId="1400"/>
    <cellStyle name="Entrada 2 4 3" xfId="126"/>
    <cellStyle name="Entrada 2 5" xfId="127"/>
    <cellStyle name="Entrada 2 5 2" xfId="128"/>
    <cellStyle name="Entrada 2 5 2 2" xfId="1401"/>
    <cellStyle name="Entrada 2 5 3" xfId="129"/>
    <cellStyle name="Entrada 2 6" xfId="130"/>
    <cellStyle name="Entrada 2 6 2" xfId="131"/>
    <cellStyle name="Entrada 2 6 2 2" xfId="1402"/>
    <cellStyle name="Entrada 2 6 3" xfId="132"/>
    <cellStyle name="Entrada 2 7" xfId="133"/>
    <cellStyle name="Entrada 2 7 2" xfId="134"/>
    <cellStyle name="Entrada 2 7 2 2" xfId="1403"/>
    <cellStyle name="Entrada 2 7 3" xfId="135"/>
    <cellStyle name="Entrada 2 8" xfId="136"/>
    <cellStyle name="Entrada 2 8 2" xfId="137"/>
    <cellStyle name="Entrada 2 8 2 2" xfId="1404"/>
    <cellStyle name="Entrada 2 8 3" xfId="138"/>
    <cellStyle name="Entrada 2 9" xfId="139"/>
    <cellStyle name="Entrada 2 9 2" xfId="140"/>
    <cellStyle name="Entrada 2 9 2 2" xfId="1405"/>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369" builtinId="8"/>
    <cellStyle name="Hipervínculo 2" xfId="161"/>
    <cellStyle name="Hipervínculo 2 2" xfId="1406"/>
    <cellStyle name="Hipervínculo 3" xfId="1407"/>
    <cellStyle name="Hipervínculo 4" xfId="1408"/>
    <cellStyle name="Hyperlink 2" xfId="162"/>
    <cellStyle name="Incorrecto 2" xfId="163"/>
    <cellStyle name="Millares 2" xfId="164"/>
    <cellStyle name="Millares 2 10" xfId="1463"/>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3" xfId="1364"/>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3 2 2 2 2 8 2 2 2 3 2 3 3" xfId="1365"/>
    <cellStyle name="Normal 7 3 2 2 3 2 2 2 4" xfId="926"/>
    <cellStyle name="Normal 7 3 2 2 3 2 2 2 5" xfId="927"/>
    <cellStyle name="Normal 7 3 2 2 3 2 2 2 99 2 3 3 2 2 3" xfId="1366"/>
    <cellStyle name="Normal 7 3 2 2 3 2 2 3" xfId="928"/>
    <cellStyle name="Normal 7 3 2 2 3 2 2 3 2" xfId="929"/>
    <cellStyle name="Normal 7 3 2 2 3 2 2 3 2 2 28 2 2 2 3 2" xfId="1367"/>
    <cellStyle name="Normal 7 3 2 2 3 2 2 3 2 2 28 2 2 2 3 2 2" xfId="1368"/>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2 2" xfId="1409"/>
    <cellStyle name="Notas 2 10 3" xfId="1157"/>
    <cellStyle name="Notas 2 11" xfId="1158"/>
    <cellStyle name="Notas 2 11 2" xfId="1159"/>
    <cellStyle name="Notas 2 11 2 2" xfId="1410"/>
    <cellStyle name="Notas 2 11 3" xfId="1160"/>
    <cellStyle name="Notas 2 12" xfId="1161"/>
    <cellStyle name="Notas 2 12 2" xfId="1162"/>
    <cellStyle name="Notas 2 12 2 2" xfId="1411"/>
    <cellStyle name="Notas 2 12 3" xfId="1163"/>
    <cellStyle name="Notas 2 13" xfId="1164"/>
    <cellStyle name="Notas 2 13 2" xfId="1165"/>
    <cellStyle name="Notas 2 13 2 2" xfId="1412"/>
    <cellStyle name="Notas 2 13 3" xfId="1166"/>
    <cellStyle name="Notas 2 14" xfId="1167"/>
    <cellStyle name="Notas 2 14 2" xfId="1168"/>
    <cellStyle name="Notas 2 14 2 2" xfId="1413"/>
    <cellStyle name="Notas 2 14 3" xfId="1169"/>
    <cellStyle name="Notas 2 15" xfId="1170"/>
    <cellStyle name="Notas 2 15 2" xfId="1171"/>
    <cellStyle name="Notas 2 15 2 2" xfId="1414"/>
    <cellStyle name="Notas 2 15 3" xfId="1172"/>
    <cellStyle name="Notas 2 16" xfId="1173"/>
    <cellStyle name="Notas 2 16 2" xfId="1174"/>
    <cellStyle name="Notas 2 16 2 2" xfId="1415"/>
    <cellStyle name="Notas 2 16 3" xfId="1175"/>
    <cellStyle name="Notas 2 17" xfId="1176"/>
    <cellStyle name="Notas 2 17 2" xfId="1177"/>
    <cellStyle name="Notas 2 17 2 2" xfId="1416"/>
    <cellStyle name="Notas 2 17 3" xfId="1178"/>
    <cellStyle name="Notas 2 18" xfId="1179"/>
    <cellStyle name="Notas 2 18 2" xfId="1180"/>
    <cellStyle name="Notas 2 18 2 2" xfId="1417"/>
    <cellStyle name="Notas 2 18 3" xfId="1181"/>
    <cellStyle name="Notas 2 19" xfId="1182"/>
    <cellStyle name="Notas 2 19 2" xfId="1418"/>
    <cellStyle name="Notas 2 2" xfId="1183"/>
    <cellStyle name="Notas 2 2 2" xfId="1184"/>
    <cellStyle name="Notas 2 2 2 2" xfId="1419"/>
    <cellStyle name="Notas 2 2 3" xfId="1185"/>
    <cellStyle name="Notas 2 20" xfId="1186"/>
    <cellStyle name="Notas 2 3" xfId="1187"/>
    <cellStyle name="Notas 2 3 2" xfId="1188"/>
    <cellStyle name="Notas 2 3 2 2" xfId="1420"/>
    <cellStyle name="Notas 2 3 3" xfId="1189"/>
    <cellStyle name="Notas 2 4" xfId="1190"/>
    <cellStyle name="Notas 2 4 2" xfId="1191"/>
    <cellStyle name="Notas 2 4 2 2" xfId="1421"/>
    <cellStyle name="Notas 2 4 3" xfId="1192"/>
    <cellStyle name="Notas 2 5" xfId="1193"/>
    <cellStyle name="Notas 2 5 2" xfId="1194"/>
    <cellStyle name="Notas 2 5 2 2" xfId="1422"/>
    <cellStyle name="Notas 2 5 3" xfId="1195"/>
    <cellStyle name="Notas 2 6" xfId="1196"/>
    <cellStyle name="Notas 2 6 2" xfId="1197"/>
    <cellStyle name="Notas 2 6 2 2" xfId="1423"/>
    <cellStyle name="Notas 2 6 3" xfId="1198"/>
    <cellStyle name="Notas 2 7" xfId="1199"/>
    <cellStyle name="Notas 2 7 2" xfId="1200"/>
    <cellStyle name="Notas 2 7 2 2" xfId="1424"/>
    <cellStyle name="Notas 2 7 3" xfId="1201"/>
    <cellStyle name="Notas 2 8" xfId="1202"/>
    <cellStyle name="Notas 2 8 2" xfId="1203"/>
    <cellStyle name="Notas 2 8 2 2" xfId="1425"/>
    <cellStyle name="Notas 2 8 3" xfId="1204"/>
    <cellStyle name="Notas 2 9" xfId="1205"/>
    <cellStyle name="Notas 2 9 2" xfId="1206"/>
    <cellStyle name="Notas 2 9 2 2" xfId="142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2 2" xfId="1427"/>
    <cellStyle name="Salida 2 10 3" xfId="1253"/>
    <cellStyle name="Salida 2 11" xfId="1254"/>
    <cellStyle name="Salida 2 11 2" xfId="1255"/>
    <cellStyle name="Salida 2 11 2 2" xfId="1428"/>
    <cellStyle name="Salida 2 11 3" xfId="1256"/>
    <cellStyle name="Salida 2 12" xfId="1257"/>
    <cellStyle name="Salida 2 12 2" xfId="1258"/>
    <cellStyle name="Salida 2 12 2 2" xfId="1429"/>
    <cellStyle name="Salida 2 12 3" xfId="1259"/>
    <cellStyle name="Salida 2 13" xfId="1260"/>
    <cellStyle name="Salida 2 13 2" xfId="1261"/>
    <cellStyle name="Salida 2 13 2 2" xfId="1430"/>
    <cellStyle name="Salida 2 13 3" xfId="1262"/>
    <cellStyle name="Salida 2 14" xfId="1263"/>
    <cellStyle name="Salida 2 14 2" xfId="1264"/>
    <cellStyle name="Salida 2 14 2 2" xfId="1431"/>
    <cellStyle name="Salida 2 14 3" xfId="1265"/>
    <cellStyle name="Salida 2 15" xfId="1266"/>
    <cellStyle name="Salida 2 15 2" xfId="1267"/>
    <cellStyle name="Salida 2 15 2 2" xfId="1432"/>
    <cellStyle name="Salida 2 15 3" xfId="1268"/>
    <cellStyle name="Salida 2 16" xfId="1269"/>
    <cellStyle name="Salida 2 16 2" xfId="1270"/>
    <cellStyle name="Salida 2 16 2 2" xfId="1433"/>
    <cellStyle name="Salida 2 16 3" xfId="1271"/>
    <cellStyle name="Salida 2 17" xfId="1272"/>
    <cellStyle name="Salida 2 17 2" xfId="1273"/>
    <cellStyle name="Salida 2 17 2 2" xfId="1434"/>
    <cellStyle name="Salida 2 17 3" xfId="1274"/>
    <cellStyle name="Salida 2 18" xfId="1275"/>
    <cellStyle name="Salida 2 18 2" xfId="1276"/>
    <cellStyle name="Salida 2 18 2 2" xfId="1435"/>
    <cellStyle name="Salida 2 18 3" xfId="1277"/>
    <cellStyle name="Salida 2 19" xfId="1278"/>
    <cellStyle name="Salida 2 19 2" xfId="1436"/>
    <cellStyle name="Salida 2 2" xfId="1279"/>
    <cellStyle name="Salida 2 2 2" xfId="1280"/>
    <cellStyle name="Salida 2 2 2 2" xfId="1437"/>
    <cellStyle name="Salida 2 2 3" xfId="1281"/>
    <cellStyle name="Salida 2 20" xfId="1282"/>
    <cellStyle name="Salida 2 3" xfId="1283"/>
    <cellStyle name="Salida 2 3 2" xfId="1284"/>
    <cellStyle name="Salida 2 3 2 2" xfId="1438"/>
    <cellStyle name="Salida 2 3 3" xfId="1285"/>
    <cellStyle name="Salida 2 4" xfId="1286"/>
    <cellStyle name="Salida 2 4 2" xfId="1287"/>
    <cellStyle name="Salida 2 4 2 2" xfId="1439"/>
    <cellStyle name="Salida 2 4 3" xfId="1288"/>
    <cellStyle name="Salida 2 5" xfId="1289"/>
    <cellStyle name="Salida 2 5 2" xfId="1290"/>
    <cellStyle name="Salida 2 5 2 2" xfId="1440"/>
    <cellStyle name="Salida 2 5 3" xfId="1291"/>
    <cellStyle name="Salida 2 6" xfId="1292"/>
    <cellStyle name="Salida 2 6 2" xfId="1293"/>
    <cellStyle name="Salida 2 6 2 2" xfId="1441"/>
    <cellStyle name="Salida 2 6 3" xfId="1294"/>
    <cellStyle name="Salida 2 7" xfId="1295"/>
    <cellStyle name="Salida 2 7 2" xfId="1296"/>
    <cellStyle name="Salida 2 7 2 2" xfId="1442"/>
    <cellStyle name="Salida 2 7 3" xfId="1297"/>
    <cellStyle name="Salida 2 8" xfId="1298"/>
    <cellStyle name="Salida 2 8 2" xfId="1299"/>
    <cellStyle name="Salida 2 8 2 2" xfId="1443"/>
    <cellStyle name="Salida 2 8 3" xfId="1300"/>
    <cellStyle name="Salida 2 9" xfId="1301"/>
    <cellStyle name="Salida 2 9 2" xfId="1302"/>
    <cellStyle name="Salida 2 9 2 2" xfId="1444"/>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2 2" xfId="1445"/>
    <cellStyle name="Total 2 10 3" xfId="1313"/>
    <cellStyle name="Total 2 11" xfId="1314"/>
    <cellStyle name="Total 2 11 2" xfId="1315"/>
    <cellStyle name="Total 2 11 2 2" xfId="1446"/>
    <cellStyle name="Total 2 11 3" xfId="1316"/>
    <cellStyle name="Total 2 12" xfId="1317"/>
    <cellStyle name="Total 2 12 2" xfId="1318"/>
    <cellStyle name="Total 2 12 2 2" xfId="1447"/>
    <cellStyle name="Total 2 12 3" xfId="1319"/>
    <cellStyle name="Total 2 13" xfId="1320"/>
    <cellStyle name="Total 2 13 2" xfId="1321"/>
    <cellStyle name="Total 2 13 2 2" xfId="1448"/>
    <cellStyle name="Total 2 13 3" xfId="1322"/>
    <cellStyle name="Total 2 14" xfId="1323"/>
    <cellStyle name="Total 2 14 2" xfId="1324"/>
    <cellStyle name="Total 2 14 2 2" xfId="1449"/>
    <cellStyle name="Total 2 14 3" xfId="1325"/>
    <cellStyle name="Total 2 15" xfId="1326"/>
    <cellStyle name="Total 2 15 2" xfId="1327"/>
    <cellStyle name="Total 2 15 2 2" xfId="1450"/>
    <cellStyle name="Total 2 15 3" xfId="1328"/>
    <cellStyle name="Total 2 16" xfId="1329"/>
    <cellStyle name="Total 2 16 2" xfId="1330"/>
    <cellStyle name="Total 2 16 2 2" xfId="1451"/>
    <cellStyle name="Total 2 16 3" xfId="1331"/>
    <cellStyle name="Total 2 17" xfId="1332"/>
    <cellStyle name="Total 2 17 2" xfId="1333"/>
    <cellStyle name="Total 2 17 2 2" xfId="1452"/>
    <cellStyle name="Total 2 17 3" xfId="1334"/>
    <cellStyle name="Total 2 18" xfId="1335"/>
    <cellStyle name="Total 2 18 2" xfId="1336"/>
    <cellStyle name="Total 2 18 2 2" xfId="1453"/>
    <cellStyle name="Total 2 18 3" xfId="1337"/>
    <cellStyle name="Total 2 19" xfId="1338"/>
    <cellStyle name="Total 2 19 2" xfId="1454"/>
    <cellStyle name="Total 2 2" xfId="1339"/>
    <cellStyle name="Total 2 2 2" xfId="1340"/>
    <cellStyle name="Total 2 2 2 2" xfId="1455"/>
    <cellStyle name="Total 2 2 3" xfId="1341"/>
    <cellStyle name="Total 2 20" xfId="1342"/>
    <cellStyle name="Total 2 3" xfId="1343"/>
    <cellStyle name="Total 2 3 2" xfId="1344"/>
    <cellStyle name="Total 2 3 2 2" xfId="1456"/>
    <cellStyle name="Total 2 3 3" xfId="1345"/>
    <cellStyle name="Total 2 4" xfId="1346"/>
    <cellStyle name="Total 2 4 2" xfId="1347"/>
    <cellStyle name="Total 2 4 2 2" xfId="1457"/>
    <cellStyle name="Total 2 4 3" xfId="1348"/>
    <cellStyle name="Total 2 5" xfId="1349"/>
    <cellStyle name="Total 2 5 2" xfId="1350"/>
    <cellStyle name="Total 2 5 2 2" xfId="1458"/>
    <cellStyle name="Total 2 5 3" xfId="1351"/>
    <cellStyle name="Total 2 6" xfId="1352"/>
    <cellStyle name="Total 2 6 2" xfId="1353"/>
    <cellStyle name="Total 2 6 2 2" xfId="1459"/>
    <cellStyle name="Total 2 6 3" xfId="1354"/>
    <cellStyle name="Total 2 7" xfId="1355"/>
    <cellStyle name="Total 2 7 2" xfId="1356"/>
    <cellStyle name="Total 2 7 2 2" xfId="1460"/>
    <cellStyle name="Total 2 7 3" xfId="1357"/>
    <cellStyle name="Total 2 8" xfId="1358"/>
    <cellStyle name="Total 2 8 2" xfId="1359"/>
    <cellStyle name="Total 2 8 2 2" xfId="1461"/>
    <cellStyle name="Total 2 8 3" xfId="1360"/>
    <cellStyle name="Total 2 9" xfId="1361"/>
    <cellStyle name="Total 2 9 2" xfId="1362"/>
    <cellStyle name="Total 2 9 2 2" xfId="1462"/>
    <cellStyle name="Total 2 9 3" xfId="136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355599</xdr:colOff>
      <xdr:row>0</xdr:row>
      <xdr:rowOff>219075</xdr:rowOff>
    </xdr:from>
    <xdr:to>
      <xdr:col>6</xdr:col>
      <xdr:colOff>228599</xdr:colOff>
      <xdr:row>2</xdr:row>
      <xdr:rowOff>114300</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8451849" y="219075"/>
          <a:ext cx="977900" cy="895350"/>
        </a:xfrm>
        <a:prstGeom prst="rect">
          <a:avLst/>
        </a:prstGeom>
        <a:noFill/>
        <a:ln w="9525">
          <a:noFill/>
          <a:miter lim="800000"/>
          <a:headEnd/>
          <a:tailEnd/>
        </a:ln>
      </xdr:spPr>
    </xdr:pic>
    <xdr:clientData/>
  </xdr:twoCellAnchor>
  <xdr:twoCellAnchor editAs="oneCell">
    <xdr:from>
      <xdr:col>19</xdr:col>
      <xdr:colOff>447675</xdr:colOff>
      <xdr:row>0</xdr:row>
      <xdr:rowOff>219075</xdr:rowOff>
    </xdr:from>
    <xdr:to>
      <xdr:col>19</xdr:col>
      <xdr:colOff>1425575</xdr:colOff>
      <xdr:row>2</xdr:row>
      <xdr:rowOff>114300</xdr:rowOff>
    </xdr:to>
    <xdr:pic>
      <xdr:nvPicPr>
        <xdr:cNvPr id="4" name="3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21974175" y="219075"/>
          <a:ext cx="97790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AppData\Roaming\Microsoft\Excel\Formatos%20Obras%20Publicas%20TRANSPARENCIA%20FEBRERO%202017%20(version%2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B88" t="str">
            <v>Licitación por Invitación Restringida</v>
          </cell>
          <cell r="D88" t="str">
            <v>DOPI-MUN-CRM-AP-CI-141-2016</v>
          </cell>
          <cell r="I88" t="str">
            <v>Construcción de linea de conducción de agua potable desde el pozo de La Soledad de Nextipac a la Colonia Fuentesillas, en la localidad de Nextipac; Construccuón de red de drenaje y descargas sanitarias en la Colonia Vinatera, municipio de Zapopan, Jalisco.</v>
          </cell>
          <cell r="T88" t="str">
            <v>Claudio Felipe</v>
          </cell>
          <cell r="U88" t="str">
            <v>Trujillo</v>
          </cell>
          <cell r="V88" t="str">
            <v>Gracián</v>
          </cell>
          <cell r="W88" t="str">
            <v>Desarrolladora Lumadi, S.A. de C.V.</v>
          </cell>
          <cell r="X88" t="str">
            <v>DLU100818F46</v>
          </cell>
          <cell r="AD88">
            <v>42685</v>
          </cell>
          <cell r="AG88">
            <v>5289583.63</v>
          </cell>
          <cell r="AM88">
            <v>42688</v>
          </cell>
          <cell r="AN88">
            <v>42728</v>
          </cell>
          <cell r="AS88" t="str">
            <v>Localidad de Nextipac</v>
          </cell>
        </row>
        <row r="89">
          <cell r="B89" t="str">
            <v>Licitación por Invitación Restringida</v>
          </cell>
          <cell r="D89" t="str">
            <v>DOPI-MUN-CRM-AP-CI-142-2016</v>
          </cell>
          <cell r="I89" t="str">
            <v>Perforación y Equipamiento de pozo profundo en la localidad de Milpillas Mesa de San Juan, municipio de Zapopan, Jalisco</v>
          </cell>
          <cell r="T89" t="str">
            <v>Víctor Saul</v>
          </cell>
          <cell r="U89" t="str">
            <v>Ramos</v>
          </cell>
          <cell r="V89" t="str">
            <v>Morales</v>
          </cell>
          <cell r="W89" t="str">
            <v>Ramper Drilling, S.A. de C.V.</v>
          </cell>
          <cell r="X89" t="str">
            <v>RDR100922131</v>
          </cell>
          <cell r="AD89">
            <v>42685</v>
          </cell>
          <cell r="AG89">
            <v>5113699.54</v>
          </cell>
          <cell r="AM89">
            <v>42688</v>
          </cell>
          <cell r="AN89">
            <v>42759</v>
          </cell>
          <cell r="AS89" t="str">
            <v>Localidad Milpillas</v>
          </cell>
        </row>
        <row r="90">
          <cell r="B90" t="str">
            <v>Licitación por Invitación Restringida</v>
          </cell>
          <cell r="D90" t="str">
            <v>DOPI-MUN-CRM-AP-CI-143-2016</v>
          </cell>
          <cell r="I90" t="str">
            <v>Perforación y equipamiento de pozo profundo en la localidad de Cerca Morada, municipio de Zapopan, Jalisco.</v>
          </cell>
          <cell r="T90" t="str">
            <v>Antonio José Rodolfo</v>
          </cell>
          <cell r="U90" t="str">
            <v>Corcuera</v>
          </cell>
          <cell r="V90" t="str">
            <v>Garza Madero</v>
          </cell>
          <cell r="W90" t="str">
            <v>Alcor de Occidente, S.A. de C.V.</v>
          </cell>
          <cell r="X90" t="str">
            <v>AOC830810TG9</v>
          </cell>
          <cell r="AD90">
            <v>42685</v>
          </cell>
          <cell r="AG90">
            <v>4937334.7300000004</v>
          </cell>
          <cell r="AM90">
            <v>42688</v>
          </cell>
          <cell r="AN90">
            <v>42759</v>
          </cell>
          <cell r="AS90" t="str">
            <v>Localidad Cerca Morada</v>
          </cell>
        </row>
        <row r="91">
          <cell r="B91" t="str">
            <v>Licitación por Invitación Restringida</v>
          </cell>
          <cell r="D91" t="str">
            <v>DOPI-MUN-RM-IS-CI-144-2016</v>
          </cell>
          <cell r="I91" t="str">
            <v>Rehabilitación del área de consultorios, urgencias,mortuario y acabados en general en la Cruz Verde Sur Las Aguilas, ubicada en Av. López Mateos y calle Cruz del Sur en la Colonia Las Aguilas, municipio de Zapopan, Jalisco.</v>
          </cell>
          <cell r="T91" t="str">
            <v>Marco Antonio</v>
          </cell>
          <cell r="U91" t="str">
            <v>Cortés</v>
          </cell>
          <cell r="V91" t="str">
            <v>González</v>
          </cell>
          <cell r="W91" t="str">
            <v>Grupo Taube de México, S.A. de C.V.</v>
          </cell>
          <cell r="X91" t="str">
            <v>GTM050418384</v>
          </cell>
          <cell r="AD91">
            <v>42685</v>
          </cell>
          <cell r="AG91">
            <v>3504992.46</v>
          </cell>
          <cell r="AM91">
            <v>42688</v>
          </cell>
          <cell r="AN91">
            <v>42728</v>
          </cell>
          <cell r="AS91" t="str">
            <v>Colonia Las Aguilas</v>
          </cell>
        </row>
        <row r="92">
          <cell r="B92" t="str">
            <v>Licitación por Invitación Restringida</v>
          </cell>
          <cell r="D92" t="str">
            <v>DOPI-MUN-RM-AP-CI-145-2016</v>
          </cell>
          <cell r="I92" t="str">
            <v>Sustitución de red de agua potable, drenaje sanitario y adecuaciones pluviales en la Avenida Juan Manuel Ruvalcaba en el tramo de la calle Río Amazonas y Pedro Moreno, localidad de Santa Lucia, municipio de Zapopan, Jalisco.</v>
          </cell>
          <cell r="T92" t="str">
            <v>Mario</v>
          </cell>
          <cell r="U92" t="str">
            <v>Beltrán</v>
          </cell>
          <cell r="V92" t="str">
            <v>Rodríguez</v>
          </cell>
          <cell r="W92" t="str">
            <v xml:space="preserve">Constructora y Desarrolladora Barba y Asociados, S. A. de C. V. </v>
          </cell>
          <cell r="X92" t="str">
            <v>CDB0506068Z4</v>
          </cell>
          <cell r="AD92">
            <v>42685</v>
          </cell>
          <cell r="AG92">
            <v>5120884.03</v>
          </cell>
          <cell r="AM92">
            <v>42688</v>
          </cell>
          <cell r="AN92">
            <v>42728</v>
          </cell>
          <cell r="AS92" t="str">
            <v>Localidad de Santa Lucia</v>
          </cell>
        </row>
        <row r="93">
          <cell r="B93" t="str">
            <v>Licitación por Invitación Restringida</v>
          </cell>
          <cell r="D93" t="str">
            <v>DOPI-MUN-RM-IE-CI-146-2016</v>
          </cell>
          <cell r="I93"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3" t="str">
            <v>Gustavo</v>
          </cell>
          <cell r="U93" t="str">
            <v>Durán</v>
          </cell>
          <cell r="V93" t="str">
            <v>Jiménez</v>
          </cell>
          <cell r="W93" t="str">
            <v>Durán Jiménez Arquitectos y Asociados, S.A. de C.V.</v>
          </cell>
          <cell r="X93" t="str">
            <v>DJA9405184G7</v>
          </cell>
          <cell r="AD93">
            <v>42685</v>
          </cell>
          <cell r="AG93">
            <v>4839304.3099999996</v>
          </cell>
          <cell r="AM93">
            <v>42688</v>
          </cell>
          <cell r="AN93">
            <v>42728</v>
          </cell>
          <cell r="AS93" t="str">
            <v>Colonia Centro, El Vigia, Santa Ana Tepetitlán, Jardines del Valle, Lomas de Tabachines, Paraisos del Colli y Vicente Guerrero</v>
          </cell>
        </row>
        <row r="94">
          <cell r="B94" t="str">
            <v>Licitación por Invitación Restringida</v>
          </cell>
          <cell r="D94" t="str">
            <v>DOPI-MUN-RM-AP-CI-147-2016</v>
          </cell>
          <cell r="I94" t="str">
            <v>Perforación y equipamiento de pozo en el ejido de Copalita.</v>
          </cell>
          <cell r="T94" t="str">
            <v>Karla Mariana</v>
          </cell>
          <cell r="U94" t="str">
            <v>Méndez</v>
          </cell>
          <cell r="V94" t="str">
            <v>Rodríguez</v>
          </cell>
          <cell r="W94" t="str">
            <v>Grupo la Fuente, S.A. de C.V.</v>
          </cell>
          <cell r="X94" t="str">
            <v>GFU021009BC1</v>
          </cell>
          <cell r="AD94">
            <v>42685</v>
          </cell>
          <cell r="AG94">
            <v>5204600.13</v>
          </cell>
          <cell r="AM94">
            <v>42688</v>
          </cell>
          <cell r="AN94">
            <v>42759</v>
          </cell>
          <cell r="AS94" t="str">
            <v>Ejido Copalita</v>
          </cell>
        </row>
        <row r="95">
          <cell r="B95" t="str">
            <v>Licitación por Invitación Restringida</v>
          </cell>
          <cell r="D95" t="str">
            <v>DOPI-MUN-R33-ELE-CI-148-2016</v>
          </cell>
          <cell r="I95"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5" t="str">
            <v>Héctor Alejandro</v>
          </cell>
          <cell r="U95" t="str">
            <v>Ortega</v>
          </cell>
          <cell r="V95" t="str">
            <v>Rosales</v>
          </cell>
          <cell r="W95" t="str">
            <v xml:space="preserve">IME Servicios y Suministros, S. A. de C. V. </v>
          </cell>
          <cell r="X95" t="str">
            <v>ISS920330811</v>
          </cell>
          <cell r="AD95">
            <v>42685</v>
          </cell>
          <cell r="AG95">
            <v>4251366.43</v>
          </cell>
          <cell r="AM95">
            <v>42688</v>
          </cell>
          <cell r="AN95">
            <v>42728</v>
          </cell>
          <cell r="AS95" t="str">
            <v>Varias colonias del Municipio</v>
          </cell>
        </row>
        <row r="96">
          <cell r="B96" t="str">
            <v>Licitación por Invitación Restringida</v>
          </cell>
          <cell r="D96" t="str">
            <v>DOPI-MUN-R33-AP-CI-149-2016</v>
          </cell>
          <cell r="I96"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6" t="str">
            <v>Eduardo</v>
          </cell>
          <cell r="U96" t="str">
            <v>Romero</v>
          </cell>
          <cell r="V96" t="str">
            <v>Lugo</v>
          </cell>
          <cell r="W96" t="str">
            <v>RS Obras y Servicios, S.A. de C.V.</v>
          </cell>
          <cell r="X96" t="str">
            <v>ROS120904PV9</v>
          </cell>
          <cell r="AD96">
            <v>42727</v>
          </cell>
          <cell r="AG96">
            <v>4456704.66</v>
          </cell>
          <cell r="AM96">
            <v>42730</v>
          </cell>
          <cell r="AN96">
            <v>42831</v>
          </cell>
          <cell r="AS96" t="str">
            <v>Colonia Mesa Colorada Oriente y colonia Mesa de los Ocotes</v>
          </cell>
        </row>
        <row r="97">
          <cell r="B97" t="str">
            <v>Licitación por Invitación Restringida</v>
          </cell>
          <cell r="D97" t="str">
            <v>DOPI-MUN-RM-PAV-CI-150-2016</v>
          </cell>
          <cell r="I97"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7" t="str">
            <v>David Eduardo</v>
          </cell>
          <cell r="U97" t="str">
            <v>Lara</v>
          </cell>
          <cell r="V97" t="str">
            <v>Ochoa</v>
          </cell>
          <cell r="W97" t="str">
            <v xml:space="preserve">Construcciones ICU, S.A. de C.V. </v>
          </cell>
          <cell r="X97" t="str">
            <v>CIC080626ER2</v>
          </cell>
          <cell r="AD97">
            <v>42685</v>
          </cell>
          <cell r="AG97">
            <v>4960902.49</v>
          </cell>
          <cell r="AM97">
            <v>42688</v>
          </cell>
          <cell r="AN97">
            <v>42728</v>
          </cell>
          <cell r="AS97" t="str">
            <v>San Juan de Ocotán</v>
          </cell>
        </row>
        <row r="98">
          <cell r="B98" t="str">
            <v>Licitación por Invitación Restringida</v>
          </cell>
          <cell r="D98" t="str">
            <v>DOPI-MUN-RM-PAV-CI-151-2016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8" t="str">
            <v>Luis Armando</v>
          </cell>
          <cell r="U98" t="str">
            <v>Linares</v>
          </cell>
          <cell r="V98" t="str">
            <v>Cacho</v>
          </cell>
          <cell r="W98" t="str">
            <v>Urbanizadora y Constructora Roal, S.A. de C.V.</v>
          </cell>
          <cell r="X98" t="str">
            <v>URC160310857</v>
          </cell>
          <cell r="AD98">
            <v>42685</v>
          </cell>
          <cell r="AG98">
            <v>4130342.71</v>
          </cell>
          <cell r="AM98">
            <v>42688</v>
          </cell>
          <cell r="AN98">
            <v>42728</v>
          </cell>
          <cell r="AS98" t="str">
            <v>San Juan de Ocotán</v>
          </cell>
        </row>
        <row r="99">
          <cell r="B99" t="str">
            <v>Licitación por Invitación Restringida</v>
          </cell>
          <cell r="D99" t="str">
            <v>DOPI-MUN-RM-PAV-CI-152-2016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99" t="str">
            <v>Carlos Ignacio</v>
          </cell>
          <cell r="U99" t="str">
            <v>Curiel</v>
          </cell>
          <cell r="V99" t="str">
            <v>Dueñas</v>
          </cell>
          <cell r="W99" t="str">
            <v>Constructora Cecuchi, S.A. de C.V.</v>
          </cell>
          <cell r="X99" t="str">
            <v>CCE130723IR7</v>
          </cell>
          <cell r="AD99">
            <v>42685</v>
          </cell>
          <cell r="AG99">
            <v>5069996.18</v>
          </cell>
          <cell r="AM99">
            <v>42688</v>
          </cell>
          <cell r="AN99">
            <v>42728</v>
          </cell>
          <cell r="AS99" t="str">
            <v>San Juan de Ocotán</v>
          </cell>
        </row>
        <row r="100">
          <cell r="B100" t="str">
            <v>Licitación por Invitación Restringida</v>
          </cell>
          <cell r="D100" t="str">
            <v>DOPI-MUN-RM-PAV-CI-153-2016</v>
          </cell>
          <cell r="I100"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0" t="str">
            <v xml:space="preserve"> Martha </v>
          </cell>
          <cell r="U100" t="str">
            <v>Jiménez</v>
          </cell>
          <cell r="V100" t="str">
            <v>López</v>
          </cell>
          <cell r="W100" t="str">
            <v>Inmobiliaria Bochum S. de R.L. de C.V.</v>
          </cell>
          <cell r="X100" t="str">
            <v>IBO090918ET9</v>
          </cell>
          <cell r="AD100">
            <v>42685</v>
          </cell>
          <cell r="AG100">
            <v>7253719.3200000003</v>
          </cell>
          <cell r="AM100">
            <v>42688</v>
          </cell>
          <cell r="AN100">
            <v>42728</v>
          </cell>
          <cell r="AS100" t="str">
            <v>Localidad de Tesistán</v>
          </cell>
        </row>
        <row r="101">
          <cell r="B101" t="str">
            <v>Licitación por Invitación Restringida</v>
          </cell>
          <cell r="D101" t="str">
            <v>DOPI-MUN-RM-PAV-CI-154-2016</v>
          </cell>
          <cell r="I101"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1" t="str">
            <v>Carlos</v>
          </cell>
          <cell r="U101" t="str">
            <v>Pérez</v>
          </cell>
          <cell r="V101" t="str">
            <v>Cruz</v>
          </cell>
          <cell r="W101" t="str">
            <v>Constructora Pecru, S.A. de C.V.</v>
          </cell>
          <cell r="X101" t="str">
            <v>CPE070123PD4</v>
          </cell>
          <cell r="AD101">
            <v>42685</v>
          </cell>
          <cell r="AG101">
            <v>3382310.92</v>
          </cell>
          <cell r="AM101">
            <v>42688</v>
          </cell>
          <cell r="AN101">
            <v>42728</v>
          </cell>
          <cell r="AS101" t="str">
            <v>Colonia La Calma</v>
          </cell>
        </row>
        <row r="102">
          <cell r="B102" t="str">
            <v>Licitación por Invitación Restringida</v>
          </cell>
          <cell r="D102" t="str">
            <v>DOPI-MUN-RM-PAV-CI-155-2016</v>
          </cell>
          <cell r="I102" t="str">
            <v>Construcción de empedrado tradicional y huellas de rodamiento de concreto hidráulico MR-42, cunetas, guarniciones, banquetas, señalamiento vertical y horizontal en el camino al Arenero, municipio de Zapopan, Jalisco.</v>
          </cell>
          <cell r="T102" t="str">
            <v>Arturo</v>
          </cell>
          <cell r="U102" t="str">
            <v>Rangel</v>
          </cell>
          <cell r="V102" t="str">
            <v>Paez</v>
          </cell>
          <cell r="W102" t="str">
            <v>Constructora Lasa, S.A. de C.V.</v>
          </cell>
          <cell r="X102" t="str">
            <v>CLA890925ER5</v>
          </cell>
          <cell r="AD102">
            <v>42685</v>
          </cell>
          <cell r="AG102">
            <v>7468157.6799999997</v>
          </cell>
          <cell r="AM102">
            <v>42688</v>
          </cell>
          <cell r="AN102">
            <v>42728</v>
          </cell>
          <cell r="AS102" t="str">
            <v>Colonia Bajío</v>
          </cell>
        </row>
        <row r="103">
          <cell r="B103" t="str">
            <v>Licitación por Invitación Restringida</v>
          </cell>
          <cell r="D103" t="str">
            <v>DOPI-MUN-RM-IE-CI-156-2016</v>
          </cell>
          <cell r="I103"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3" t="str">
            <v>Eduardo</v>
          </cell>
          <cell r="U103" t="str">
            <v>Cruz</v>
          </cell>
          <cell r="V103" t="str">
            <v>Moguel</v>
          </cell>
          <cell r="W103" t="str">
            <v>Balken, S.A. de C.V.</v>
          </cell>
          <cell r="X103" t="str">
            <v>BAL990803661</v>
          </cell>
          <cell r="AD103">
            <v>42685</v>
          </cell>
          <cell r="AG103">
            <v>4189228.4</v>
          </cell>
          <cell r="AM103">
            <v>42688</v>
          </cell>
          <cell r="AN103">
            <v>42728</v>
          </cell>
          <cell r="AS103" t="str">
            <v>Varias colonias del Municipio</v>
          </cell>
        </row>
        <row r="104">
          <cell r="B104" t="str">
            <v>Licitación por Invitación Restringida</v>
          </cell>
          <cell r="D104" t="str">
            <v>DOPI-MUN-RM-IE-CI-157-2016</v>
          </cell>
          <cell r="I104"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4" t="str">
            <v>Vicente</v>
          </cell>
          <cell r="U104" t="str">
            <v>Mendoza</v>
          </cell>
          <cell r="V104" t="str">
            <v>Lamas</v>
          </cell>
          <cell r="W104" t="str">
            <v>Constructora y Urbanizadora Arista, S.A. de C.V.</v>
          </cell>
          <cell r="X104" t="str">
            <v>CUA130425I70</v>
          </cell>
          <cell r="AD104">
            <v>42685</v>
          </cell>
          <cell r="AG104">
            <v>3269771.91</v>
          </cell>
          <cell r="AM104">
            <v>42688</v>
          </cell>
          <cell r="AN104">
            <v>42728</v>
          </cell>
          <cell r="AS104" t="str">
            <v>Varias colonias del Municipio</v>
          </cell>
        </row>
        <row r="105">
          <cell r="B105" t="str">
            <v>Licitación por Invitación Restringida</v>
          </cell>
          <cell r="D105" t="str">
            <v>DOPI-MUN-RM-IE-CI-158-2016</v>
          </cell>
          <cell r="I105"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5" t="str">
            <v>J. Gerardo</v>
          </cell>
          <cell r="U105" t="str">
            <v>Nicanor</v>
          </cell>
          <cell r="V105" t="str">
            <v>Mejia Mariscal</v>
          </cell>
          <cell r="W105" t="str">
            <v>Ineco Construye, S.A. de C.V.</v>
          </cell>
          <cell r="X105" t="str">
            <v>ICO980722M04</v>
          </cell>
          <cell r="AD105">
            <v>42685</v>
          </cell>
          <cell r="AG105">
            <v>3328458.75</v>
          </cell>
          <cell r="AM105">
            <v>42688</v>
          </cell>
          <cell r="AN105">
            <v>42728</v>
          </cell>
          <cell r="AS105" t="str">
            <v>Varias colonias del Municipio</v>
          </cell>
        </row>
        <row r="106">
          <cell r="B106" t="str">
            <v>Licitación Pública</v>
          </cell>
          <cell r="D106" t="str">
            <v>DOPI-MUN-RM-IM-LP-173-2016</v>
          </cell>
          <cell r="I106" t="str">
            <v>Rehabilitación de la instalación eléctrica, iluminación y alumbrado público en el mercado municipal de Atemajac, municipio de Zapopan, Jalisco.</v>
          </cell>
          <cell r="T106" t="str">
            <v>Amalia</v>
          </cell>
          <cell r="U106" t="str">
            <v>Moreno</v>
          </cell>
          <cell r="V106" t="str">
            <v>Maldonado</v>
          </cell>
          <cell r="W106" t="str">
            <v>Grupo Constructor los Muros, S.A. de C.V.</v>
          </cell>
          <cell r="X106" t="str">
            <v>GCM020226F28</v>
          </cell>
          <cell r="AD106">
            <v>42726</v>
          </cell>
          <cell r="AG106">
            <v>8929443.7100000009</v>
          </cell>
          <cell r="AM106">
            <v>42727</v>
          </cell>
          <cell r="AN106">
            <v>42816</v>
          </cell>
          <cell r="AS106" t="str">
            <v>Atemajac</v>
          </cell>
        </row>
        <row r="107">
          <cell r="B107" t="str">
            <v>Licitación Pública</v>
          </cell>
          <cell r="D107" t="str">
            <v>DOPI-MUN-RM-IM-LP-174-2016</v>
          </cell>
          <cell r="I107" t="str">
            <v>Rehabilitación de la red hidrosanitaria, instalación de la red contra incendio, obra civil, elevador y acabados en el mercado municipal de Atemajac, municipio de Zapopan , Jalisco.</v>
          </cell>
          <cell r="T107" t="str">
            <v xml:space="preserve">Leobardo </v>
          </cell>
          <cell r="U107" t="str">
            <v>Preciado</v>
          </cell>
          <cell r="V107" t="str">
            <v>Zepeda</v>
          </cell>
          <cell r="W107" t="str">
            <v xml:space="preserve">Consorcio Constructor Adobes, S. A. de C. V. </v>
          </cell>
          <cell r="X107" t="str">
            <v>CCA971126QC9</v>
          </cell>
          <cell r="AD107">
            <v>42726</v>
          </cell>
          <cell r="AG107">
            <v>10276943.060000001</v>
          </cell>
          <cell r="AM107">
            <v>42727</v>
          </cell>
          <cell r="AN107">
            <v>42816</v>
          </cell>
          <cell r="AS107" t="str">
            <v>Atemajac</v>
          </cell>
        </row>
        <row r="108">
          <cell r="B108" t="str">
            <v>Licitación Pública</v>
          </cell>
          <cell r="D108" t="str">
            <v>DOPI-MUN-RM-DP-LP-175-2016</v>
          </cell>
          <cell r="I108" t="str">
            <v>Sustitución de rejillas de bocas de tormenta en diferentes vialidades del municipio.</v>
          </cell>
          <cell r="T108" t="str">
            <v>José Omar</v>
          </cell>
          <cell r="U108" t="str">
            <v>Fernández</v>
          </cell>
          <cell r="V108" t="str">
            <v>Vázquez</v>
          </cell>
          <cell r="W108" t="str">
            <v>José Omar Fernández Vázquez</v>
          </cell>
          <cell r="X108" t="str">
            <v>FEVO740619686</v>
          </cell>
          <cell r="AD108">
            <v>42726</v>
          </cell>
          <cell r="AG108">
            <v>2998448.3</v>
          </cell>
          <cell r="AM108">
            <v>42727</v>
          </cell>
          <cell r="AN108">
            <v>42846</v>
          </cell>
          <cell r="AS108" t="str">
            <v>Varias colonias del Municipio</v>
          </cell>
        </row>
        <row r="109">
          <cell r="B109" t="str">
            <v>Licitación Pública</v>
          </cell>
          <cell r="D109" t="str">
            <v>DOPI-MUN-RM-ID-LP-176-2016</v>
          </cell>
          <cell r="I109" t="str">
            <v>Rehabilitación de las instalaciones y equipamiento deportivo de la Unidad Deportiva Miramar, municipio de Zapopan, Jalisco</v>
          </cell>
          <cell r="T109" t="str">
            <v>José Antonio</v>
          </cell>
          <cell r="U109" t="str">
            <v>Álvarez</v>
          </cell>
          <cell r="V109" t="str">
            <v>Garcia</v>
          </cell>
          <cell r="W109" t="str">
            <v>Urcoma 1970, S.A. de C.V.</v>
          </cell>
          <cell r="X109" t="str">
            <v>UMN160125869</v>
          </cell>
          <cell r="AD109">
            <v>42726</v>
          </cell>
          <cell r="AG109">
            <v>7420078.3799999999</v>
          </cell>
          <cell r="AM109">
            <v>42727</v>
          </cell>
          <cell r="AN109">
            <v>42816</v>
          </cell>
          <cell r="AS109" t="str">
            <v>Colonia Miramar</v>
          </cell>
        </row>
        <row r="110">
          <cell r="B110" t="str">
            <v>Licitación Pública</v>
          </cell>
          <cell r="D110" t="str">
            <v>DOPI-MUN-RM-ID-LP-177-2016</v>
          </cell>
          <cell r="I110" t="str">
            <v>Rehabilitación de las Instalaciones y equipamiento deportivo de la Unidad Deportiva Paseos del Briseño, municipio de Zapopan, Jalisco</v>
          </cell>
          <cell r="T110" t="str">
            <v>Francisco Javier</v>
          </cell>
          <cell r="U110" t="str">
            <v>Diaz</v>
          </cell>
          <cell r="V110" t="str">
            <v>Ruiz</v>
          </cell>
          <cell r="W110" t="str">
            <v>Constructora Diru, S.A. de C.V.</v>
          </cell>
          <cell r="X110" t="str">
            <v>CDI950714B79</v>
          </cell>
          <cell r="AD110">
            <v>42726</v>
          </cell>
          <cell r="AG110">
            <v>8768312.9199999999</v>
          </cell>
          <cell r="AM110">
            <v>42727</v>
          </cell>
          <cell r="AN110">
            <v>42816</v>
          </cell>
          <cell r="AS110" t="str">
            <v>Colonia Paseos del Briseño</v>
          </cell>
        </row>
        <row r="111">
          <cell r="B111" t="str">
            <v>Licitación Pública</v>
          </cell>
          <cell r="D111" t="str">
            <v>DOPI-MUN-RM-ID-LP-178-2016</v>
          </cell>
          <cell r="I111" t="str">
            <v>Rehabilitación de las Instalaciones y equipamiento deportivo de la Unidad Deportiva San Juan de Ocotán, municipio de Zapopan, Jalisco</v>
          </cell>
          <cell r="T111" t="str">
            <v>Eduardo</v>
          </cell>
          <cell r="U111" t="str">
            <v>Romero</v>
          </cell>
          <cell r="V111" t="str">
            <v>Lugo</v>
          </cell>
          <cell r="W111" t="str">
            <v>RS Obras y Servicios S.A. de C.V.</v>
          </cell>
          <cell r="X111" t="str">
            <v>ROS120904PV9</v>
          </cell>
          <cell r="AD111">
            <v>42726</v>
          </cell>
          <cell r="AG111">
            <v>7913055.7999999998</v>
          </cell>
          <cell r="AM111">
            <v>42727</v>
          </cell>
          <cell r="AN111">
            <v>42794</v>
          </cell>
          <cell r="AS111" t="str">
            <v>Colonia San Juan de Ocotán</v>
          </cell>
        </row>
        <row r="112">
          <cell r="B112" t="str">
            <v>Licitación Pública</v>
          </cell>
          <cell r="D112" t="str">
            <v>DOPI-MUN-RM-MOV-LP-179-2016</v>
          </cell>
          <cell r="I112" t="str">
            <v>Construcción de cruceros seguros, incluye señaletica horizontal y vertical, acceso universal en esquinas,semaforización y paradas de autobús en diferentes cruceros, zona 1 del Municipio de Zapopan, Jallisco</v>
          </cell>
          <cell r="T112" t="str">
            <v>José Omar</v>
          </cell>
          <cell r="U112" t="str">
            <v>Fernández</v>
          </cell>
          <cell r="V112" t="str">
            <v>Vázquez</v>
          </cell>
          <cell r="W112" t="str">
            <v>José Omar Fernández Vázquez</v>
          </cell>
          <cell r="X112" t="str">
            <v>FEVO740619686</v>
          </cell>
          <cell r="AD112">
            <v>42726</v>
          </cell>
          <cell r="AG112">
            <v>3582511.3</v>
          </cell>
          <cell r="AM112">
            <v>42727</v>
          </cell>
          <cell r="AN112">
            <v>42846</v>
          </cell>
          <cell r="AS112" t="str">
            <v>Varias colonias del Municipio</v>
          </cell>
        </row>
        <row r="113">
          <cell r="B113" t="str">
            <v>Licitación Pública</v>
          </cell>
          <cell r="D113" t="str">
            <v>DOPI-MUN-RM-MOV-LP-180-2016</v>
          </cell>
          <cell r="I113" t="str">
            <v>Construcción de cruceros seguros, incluye señaletica horizontal y vertical, acceso universal en esquinas,semaforización y paradas de autobús en diferentes cruceros, zona 2 del Municipio de Zapopan, Jallisco</v>
          </cell>
          <cell r="T113" t="str">
            <v>José Jaime</v>
          </cell>
          <cell r="U113" t="str">
            <v>Camarena</v>
          </cell>
          <cell r="V113" t="str">
            <v>Correa</v>
          </cell>
          <cell r="W113" t="str">
            <v>Firmitas Constructa, S.A de C.V.</v>
          </cell>
          <cell r="X113" t="str">
            <v>FCO110711N24</v>
          </cell>
          <cell r="AD113">
            <v>42726</v>
          </cell>
          <cell r="AG113">
            <v>4703307.2300000004</v>
          </cell>
          <cell r="AM113">
            <v>42727</v>
          </cell>
          <cell r="AN113">
            <v>42846</v>
          </cell>
          <cell r="AS113" t="str">
            <v>Varias colonias del Municipio</v>
          </cell>
        </row>
        <row r="114">
          <cell r="D114" t="str">
            <v>DOPI-FED-R23-IM-LP-188-2016</v>
          </cell>
          <cell r="T114" t="str">
            <v>Luis German</v>
          </cell>
          <cell r="U114" t="str">
            <v xml:space="preserve">Delgadillo </v>
          </cell>
          <cell r="V114" t="str">
            <v>Alcazar</v>
          </cell>
          <cell r="W114" t="str">
            <v>Axioma Proyectos e Ingeniería, S. A. de C. V.</v>
          </cell>
          <cell r="X114" t="str">
            <v>APE111122MI0</v>
          </cell>
          <cell r="AD114">
            <v>42704</v>
          </cell>
          <cell r="AG114">
            <v>18435309.59</v>
          </cell>
          <cell r="AL114" t="str">
            <v>Construcción de la primera etapa del centro comunitario, Centro de Emprendimiento, en Miramar, frente 1.</v>
          </cell>
          <cell r="AM114">
            <v>42705</v>
          </cell>
          <cell r="AN114">
            <v>42735</v>
          </cell>
          <cell r="AS114" t="str">
            <v>Colonia Miramar</v>
          </cell>
        </row>
        <row r="115">
          <cell r="D115" t="str">
            <v>DOPI-FED-R23-IM-LP-189-2016</v>
          </cell>
          <cell r="T115" t="str">
            <v>Gustavo Alejandro</v>
          </cell>
          <cell r="U115" t="str">
            <v>Ledezma</v>
          </cell>
          <cell r="V115" t="str">
            <v xml:space="preserve"> Cervantes</v>
          </cell>
          <cell r="W115" t="str">
            <v>Edificaciones y Proyectos Roca, S.A. de C.V.</v>
          </cell>
          <cell r="X115" t="str">
            <v>EPR131016I71</v>
          </cell>
          <cell r="AD115">
            <v>42704</v>
          </cell>
          <cell r="AG115">
            <v>4817658.4800000004</v>
          </cell>
          <cell r="AL115" t="str">
            <v>Construcción de la primera etapa del centro comunitario, Centro de Emprendimiento, en Miramar, frente 2.</v>
          </cell>
          <cell r="AM115">
            <v>42705</v>
          </cell>
          <cell r="AN115">
            <v>42735</v>
          </cell>
          <cell r="AS115" t="str">
            <v>Colonia Miramar</v>
          </cell>
        </row>
        <row r="116">
          <cell r="D116" t="str">
            <v>DOPI-FED-PR-PAV-LP-190-2016</v>
          </cell>
          <cell r="T116" t="str">
            <v>Blanca Estela</v>
          </cell>
          <cell r="U116" t="str">
            <v>Moreno</v>
          </cell>
          <cell r="V116" t="str">
            <v>Lemus</v>
          </cell>
          <cell r="W116" t="str">
            <v xml:space="preserve">Estudios, Proyectos y Construcciones de Guadalajara, S.A. de C.V. </v>
          </cell>
          <cell r="X116" t="str">
            <v>EPC7107236R1</v>
          </cell>
          <cell r="AD116">
            <v>42704</v>
          </cell>
          <cell r="AG116">
            <v>2963838.41</v>
          </cell>
          <cell r="AL116" t="str">
            <v>Pavimentación con concreto hidráulico de la Calle Rizo Ayala, incluye: red de agua potable y alcantarillado, alumbrado público y guarniciones, banquetas, renivelación de pozos y cajas, señalamiento horizontal y vertical, municipio de Zapopan, Jalisco.</v>
          </cell>
          <cell r="AM116">
            <v>42705</v>
          </cell>
          <cell r="AN116">
            <v>42735</v>
          </cell>
          <cell r="AS116" t="str">
            <v>Colonia La Martinica</v>
          </cell>
        </row>
        <row r="117">
          <cell r="D117" t="str">
            <v>DOPI-FED-PR-PAV-LP-191-2016</v>
          </cell>
          <cell r="T117" t="str">
            <v>Sergio Cesar</v>
          </cell>
          <cell r="U117" t="str">
            <v>Diaz</v>
          </cell>
          <cell r="V117" t="str">
            <v>Quiroz</v>
          </cell>
          <cell r="W117" t="str">
            <v>Grupo Unicreto S.A. de C.V.</v>
          </cell>
          <cell r="X117" t="str">
            <v>GUN880613NY1</v>
          </cell>
          <cell r="AD117">
            <v>42704</v>
          </cell>
          <cell r="AG117">
            <v>9700078.7599999998</v>
          </cell>
          <cell r="AL117" t="str">
            <v>Reencarpetamiento de vialidad Calle Pípila con concreto hidráulico desde la Calle Felipe Ángeles a la Calle Rizo Ayala, incluye: guarniciones, banquetas, renivelación de pozos y cajas, señalamiento vertical y horizontal, Municipio de Zapopan, Jalisco</v>
          </cell>
          <cell r="AM117">
            <v>42705</v>
          </cell>
          <cell r="AN117">
            <v>42735</v>
          </cell>
          <cell r="AS117" t="str">
            <v>Colonia La Martinica</v>
          </cell>
        </row>
        <row r="118">
          <cell r="D118" t="str">
            <v>DOPI-FED-PR-PAV-LP-192-2016</v>
          </cell>
          <cell r="T118" t="str">
            <v>José</v>
          </cell>
          <cell r="U118" t="str">
            <v>Plascencia</v>
          </cell>
          <cell r="V118" t="str">
            <v>Casillas</v>
          </cell>
          <cell r="W118" t="str">
            <v>PyP Constructora, S.A. de C.V.</v>
          </cell>
          <cell r="X118" t="str">
            <v>PPC980828SY4</v>
          </cell>
          <cell r="AD118">
            <v>42704</v>
          </cell>
          <cell r="AG118">
            <v>9006202.9700000007</v>
          </cell>
          <cell r="AL118"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8">
            <v>42705</v>
          </cell>
          <cell r="AN118">
            <v>42735</v>
          </cell>
          <cell r="AS118" t="str">
            <v>Colonia Parque del Auditorio</v>
          </cell>
        </row>
        <row r="119">
          <cell r="D119" t="str">
            <v>DOPI-FED-PR-PAV-LP-193-2016</v>
          </cell>
          <cell r="T119" t="str">
            <v>Erick</v>
          </cell>
          <cell r="U119" t="str">
            <v>Villaseñor</v>
          </cell>
          <cell r="V119" t="str">
            <v>Gutiérrez</v>
          </cell>
          <cell r="W119" t="str">
            <v>Pixide Constructora, S.A. de C.V.</v>
          </cell>
          <cell r="X119" t="str">
            <v>PCO140829425</v>
          </cell>
          <cell r="AD119">
            <v>42704</v>
          </cell>
          <cell r="AG119">
            <v>1879618.12</v>
          </cell>
          <cell r="AL119"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19">
            <v>42705</v>
          </cell>
          <cell r="AN119">
            <v>42735</v>
          </cell>
          <cell r="AS119" t="str">
            <v>Colonia Mesa Colorada Oriente</v>
          </cell>
        </row>
        <row r="120">
          <cell r="D120" t="str">
            <v>DOPI-FED-SM-RS-LP-194-2016</v>
          </cell>
          <cell r="T120" t="str">
            <v>Héctor</v>
          </cell>
          <cell r="U120" t="str">
            <v>Gaytán</v>
          </cell>
          <cell r="V120" t="str">
            <v>Galicia</v>
          </cell>
          <cell r="W120" t="str">
            <v>Secoi Construcciones y Servicios, S.A. de C.V.</v>
          </cell>
          <cell r="X120" t="str">
            <v>SCS1301173MA</v>
          </cell>
          <cell r="AD120">
            <v>42704</v>
          </cell>
          <cell r="AG120">
            <v>53876349.590000004</v>
          </cell>
          <cell r="AL120" t="str">
            <v>Construcción de la celda V y primera fase del equipamiento de la planta de separación y alta compactación para el relleno sanitario Picachos del municipio de Zapopan, Jalisco.</v>
          </cell>
          <cell r="AM120">
            <v>42705</v>
          </cell>
          <cell r="AN120">
            <v>42735</v>
          </cell>
          <cell r="AS120" t="str">
            <v>Relleno Sanitario de Picachos</v>
          </cell>
        </row>
        <row r="121">
          <cell r="D121" t="str">
            <v>DOPI-EST-FC-IS-LP-195-2016</v>
          </cell>
          <cell r="T121" t="str">
            <v>Luis Armando</v>
          </cell>
          <cell r="U121" t="str">
            <v>Linares</v>
          </cell>
          <cell r="V121" t="str">
            <v>Cacho</v>
          </cell>
          <cell r="W121" t="str">
            <v>Urbanizadora y Constructora Roal, S.A. de C.V.</v>
          </cell>
          <cell r="X121" t="str">
            <v>URC160310857</v>
          </cell>
          <cell r="AD121">
            <v>42726</v>
          </cell>
          <cell r="AG121">
            <v>4495293.74</v>
          </cell>
          <cell r="AL121" t="str">
            <v>Rehabilitación de Cruz Verde Federalismo, Municipio de Zapopan, Jalisco.</v>
          </cell>
          <cell r="AM121">
            <v>42727</v>
          </cell>
          <cell r="AN121">
            <v>42816</v>
          </cell>
          <cell r="AS121" t="str">
            <v>Colonia Auditorio</v>
          </cell>
        </row>
        <row r="122">
          <cell r="D122" t="str">
            <v>DOPI-EST-CR-IM-LP-196-2016</v>
          </cell>
          <cell r="T122" t="str">
            <v>José Antonio</v>
          </cell>
          <cell r="U122" t="str">
            <v>Álvarez</v>
          </cell>
          <cell r="V122" t="str">
            <v>García</v>
          </cell>
          <cell r="W122" t="str">
            <v>Urcoma 1970, S.A. de C.V.</v>
          </cell>
          <cell r="X122" t="str">
            <v>UMN160125869</v>
          </cell>
          <cell r="AD122">
            <v>42726</v>
          </cell>
          <cell r="AG122">
            <v>14395555.26</v>
          </cell>
          <cell r="AL122" t="str">
            <v>Construcción del Centro Cultural en Villa de Guadalupe.</v>
          </cell>
          <cell r="AM122">
            <v>42727</v>
          </cell>
          <cell r="AN122">
            <v>42846</v>
          </cell>
          <cell r="AS122" t="str">
            <v>Colonia Villa de Guadalupe</v>
          </cell>
        </row>
        <row r="123">
          <cell r="D123" t="str">
            <v>DOPI‐MUN‐PP‐EP‐CI‐198‐2016</v>
          </cell>
          <cell r="T123" t="str">
            <v>Amalia</v>
          </cell>
          <cell r="U123" t="str">
            <v>Moreno</v>
          </cell>
          <cell r="V123" t="str">
            <v>Maldonado</v>
          </cell>
          <cell r="W123" t="str">
            <v>Grupo Constructor los Muros, S.A. de C.V.</v>
          </cell>
          <cell r="X123" t="str">
            <v>GCM020226F28</v>
          </cell>
          <cell r="AD123">
            <v>42727</v>
          </cell>
          <cell r="AG123">
            <v>8110239.25</v>
          </cell>
          <cell r="AL123" t="str">
            <v>Mejoramiento de la imagen urbana de la plaza pública de localidad de Tesistán municipio de Zapopan, Jalisco.</v>
          </cell>
          <cell r="AM123">
            <v>42730</v>
          </cell>
          <cell r="AN123">
            <v>42831</v>
          </cell>
          <cell r="AS123" t="str">
            <v>Localidad de Tesistán</v>
          </cell>
        </row>
        <row r="124">
          <cell r="D124" t="str">
            <v>DOPI‐MUN‐PP‐IS‐LP‐199‐2016</v>
          </cell>
          <cell r="T124" t="str">
            <v>Ernesto</v>
          </cell>
          <cell r="U124" t="str">
            <v>Olivares</v>
          </cell>
          <cell r="V124" t="str">
            <v>Álvarez</v>
          </cell>
          <cell r="W124" t="str">
            <v>Servicios Metropolitanos de Jalisco, S.A. de C.V.</v>
          </cell>
          <cell r="X124" t="str">
            <v>SMJ090317FS9</v>
          </cell>
          <cell r="AD124">
            <v>42754</v>
          </cell>
          <cell r="AG124">
            <v>28125202.050000001</v>
          </cell>
          <cell r="AL124" t="str">
            <v>Construcción de la cruz verde Villa de Guadalupe, en la zona de las mesas, municipio de Zapopan, Jalisco.</v>
          </cell>
          <cell r="AM124">
            <v>42755</v>
          </cell>
          <cell r="AN124">
            <v>42874</v>
          </cell>
          <cell r="AS124" t="str">
            <v>Zona de Las Mesas</v>
          </cell>
        </row>
        <row r="125">
          <cell r="D125" t="str">
            <v>DOPI-MUN-PP-ID-CI-200-2016</v>
          </cell>
          <cell r="T125" t="str">
            <v>Carlos Alberto</v>
          </cell>
          <cell r="U125" t="str">
            <v>Villaseñor</v>
          </cell>
          <cell r="V125" t="str">
            <v>Núñez</v>
          </cell>
          <cell r="W125" t="str">
            <v>MTQ de México, S.A. de C.V.</v>
          </cell>
          <cell r="X125" t="str">
            <v>MME011214IV5</v>
          </cell>
          <cell r="AD125">
            <v>42727</v>
          </cell>
          <cell r="AG125">
            <v>6502584.6699999999</v>
          </cell>
          <cell r="AL125" t="str">
            <v>Rehabilitación de las instalaciones y equipamiento deportivo de la Unidad Deportiva Lomas de Tabachines, municipio de Zapopan, Jalisco.</v>
          </cell>
          <cell r="AM125">
            <v>42730</v>
          </cell>
          <cell r="AN125">
            <v>42820</v>
          </cell>
          <cell r="AS125" t="str">
            <v>Colonia Lomas de Tabachines</v>
          </cell>
        </row>
        <row r="126">
          <cell r="D126" t="str">
            <v>DOPI-MUN-RM-ID-CI-201-2016</v>
          </cell>
          <cell r="T126" t="str">
            <v>Juan José</v>
          </cell>
          <cell r="U126" t="str">
            <v>Gutiérrez</v>
          </cell>
          <cell r="V126" t="str">
            <v>Contreras</v>
          </cell>
          <cell r="W126" t="str">
            <v>Rencoist Construcciones, S.A. de C.V.</v>
          </cell>
          <cell r="X126" t="str">
            <v>RCO130920JX9</v>
          </cell>
          <cell r="AD126">
            <v>42727</v>
          </cell>
          <cell r="AG126">
            <v>7474586.25</v>
          </cell>
          <cell r="AL126" t="str">
            <v>Rehabilitación de las instalaciones y equipamiento deportivo de la Unidad Deportiva Santa María del Pueblito, municipio de Zapopan, Jalisco.</v>
          </cell>
          <cell r="AM126">
            <v>42730</v>
          </cell>
          <cell r="AN126">
            <v>42850</v>
          </cell>
          <cell r="AS126" t="str">
            <v>Colonia Santa Maria del Pueblito</v>
          </cell>
        </row>
        <row r="127">
          <cell r="D127" t="str">
            <v>DOPI-EST-CM-PAV-LP-202-2016</v>
          </cell>
          <cell r="T127" t="str">
            <v>Ignacio Javier</v>
          </cell>
          <cell r="U127" t="str">
            <v>Curiel</v>
          </cell>
          <cell r="V127" t="str">
            <v>Dueñas</v>
          </cell>
          <cell r="W127" t="str">
            <v>TC Construcción y Mantenimiento, S.A. de C.V.</v>
          </cell>
          <cell r="X127" t="str">
            <v>TCM100915HA1</v>
          </cell>
          <cell r="AD127">
            <v>42754</v>
          </cell>
          <cell r="AG127">
            <v>16710004.48</v>
          </cell>
          <cell r="AL127" t="str">
            <v>Renovación urbana en área habitacional y de zona comercial del Andador 20 de Noviembre en el Centro de Zapopan, Jalisco.</v>
          </cell>
          <cell r="AM127">
            <v>42755</v>
          </cell>
          <cell r="AN127">
            <v>42834</v>
          </cell>
          <cell r="AS127" t="str">
            <v>Zapopan Centro</v>
          </cell>
        </row>
        <row r="128">
          <cell r="D128" t="str">
            <v>DOPI-EST-CM-PAV-LP-203-2016</v>
          </cell>
          <cell r="T128" t="str">
            <v>Felipe Daniel</v>
          </cell>
          <cell r="U128" t="str">
            <v>Nuñez</v>
          </cell>
          <cell r="V128" t="str">
            <v>Hernández</v>
          </cell>
          <cell r="W128" t="str">
            <v>Grupo Constructor Felca, S.A. de C.V.</v>
          </cell>
          <cell r="X128" t="str">
            <v>GCF8504255B8</v>
          </cell>
          <cell r="AD128">
            <v>42754</v>
          </cell>
          <cell r="AG128">
            <v>12580210.390000001</v>
          </cell>
          <cell r="AL128" t="str">
            <v>Renovación urbana de área habitacional y de zona comercial de laterales de Av. Aviación, del tramo de Juan Gil Preciado a Camino Antiguo a Tesistán, en Zapopan, Jalisco.</v>
          </cell>
          <cell r="AM128">
            <v>42755</v>
          </cell>
          <cell r="AN128">
            <v>42834</v>
          </cell>
          <cell r="AS128" t="str">
            <v>Col. Nuevo México</v>
          </cell>
        </row>
        <row r="129">
          <cell r="D129" t="str">
            <v>DOPI-EST-CM-PAV-LP-204-2016</v>
          </cell>
          <cell r="T129" t="str">
            <v>Andrés Eduardo</v>
          </cell>
          <cell r="U129" t="str">
            <v>Aceves</v>
          </cell>
          <cell r="V129" t="str">
            <v>Castañeda</v>
          </cell>
          <cell r="W129" t="str">
            <v>Secri Constructora, S.A. de C.V.</v>
          </cell>
          <cell r="X129" t="str">
            <v>SCO100609EVA</v>
          </cell>
          <cell r="AD129">
            <v>42754</v>
          </cell>
          <cell r="AG129">
            <v>44287096.670000002</v>
          </cell>
          <cell r="AL129" t="str">
            <v>Renovación urbana de área habitacional y de zona comercial de Av. Aviación, del tramo del Ingreso de Base Aérea No. 2 a Camino Antiguo a Tesistán, en Zapopan, Jalisco.</v>
          </cell>
          <cell r="AM129">
            <v>42755</v>
          </cell>
          <cell r="AN129">
            <v>42834</v>
          </cell>
          <cell r="AS129" t="str">
            <v>Col. Nuevo México</v>
          </cell>
        </row>
        <row r="130">
          <cell r="D130" t="str">
            <v>DOPI-EST-CM-PAV-LP-205-2016</v>
          </cell>
          <cell r="T130" t="str">
            <v>Mario</v>
          </cell>
          <cell r="U130" t="str">
            <v>Beltrán</v>
          </cell>
          <cell r="V130" t="str">
            <v>Rodríguez</v>
          </cell>
          <cell r="W130" t="str">
            <v xml:space="preserve">Constructora y Desarrolladora Barba y Asociados, S. A. de C. V. </v>
          </cell>
          <cell r="X130" t="str">
            <v>CDB0506068Z4</v>
          </cell>
          <cell r="AD130">
            <v>42754</v>
          </cell>
          <cell r="AG130">
            <v>18744083.59</v>
          </cell>
          <cell r="AL130"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0">
            <v>42755</v>
          </cell>
          <cell r="AN130">
            <v>42834</v>
          </cell>
          <cell r="AS130" t="str">
            <v>Col. San Juan de Ocotán</v>
          </cell>
        </row>
        <row r="131">
          <cell r="D131" t="str">
            <v>DOPI-MUN-RM-ID-CI-206-2016</v>
          </cell>
          <cell r="T131" t="str">
            <v>Apolinar</v>
          </cell>
          <cell r="U131" t="str">
            <v>Gómez</v>
          </cell>
          <cell r="V131" t="str">
            <v>Alonso</v>
          </cell>
          <cell r="W131" t="str">
            <v>Edificaciones y Transformaciones Técnicas, S.A. de C.V.</v>
          </cell>
          <cell r="X131" t="str">
            <v>ETT9302049B2</v>
          </cell>
          <cell r="AD131">
            <v>42727</v>
          </cell>
          <cell r="AG131">
            <v>7998190.21</v>
          </cell>
          <cell r="AL131" t="str">
            <v>Rehabilitación de las instalaciones y equipamiento deportivo de la Unidad Deportiva Miguel de la Madrid, municipio de Zapopan, Jalisco.</v>
          </cell>
          <cell r="AM131">
            <v>42730</v>
          </cell>
          <cell r="AN131">
            <v>42850</v>
          </cell>
          <cell r="AS131" t="str">
            <v>Colonia Miguel de la Madrid</v>
          </cell>
        </row>
        <row r="132">
          <cell r="D132" t="str">
            <v>DOPI-MUN-RM-ID-CI-207-2016</v>
          </cell>
          <cell r="T132" t="str">
            <v xml:space="preserve">Leobardo </v>
          </cell>
          <cell r="U132" t="str">
            <v>Preciado</v>
          </cell>
          <cell r="V132" t="str">
            <v>Zepeda</v>
          </cell>
          <cell r="W132" t="str">
            <v>Consorcio Constructor Adobes, S. A. de C. V.</v>
          </cell>
          <cell r="X132" t="str">
            <v>CCA971126QC9</v>
          </cell>
          <cell r="AD132">
            <v>42727</v>
          </cell>
          <cell r="AG132">
            <v>7900442.7599999998</v>
          </cell>
          <cell r="AL132" t="str">
            <v>Rehabilitación de las instalaciones y equipamiento deportivo de la Unidad Deportiva Villas de Guadalupe, municipio de Zapopan, Jalisco.</v>
          </cell>
          <cell r="AM132">
            <v>42730</v>
          </cell>
          <cell r="AN132">
            <v>42850</v>
          </cell>
          <cell r="AS132" t="str">
            <v>Colonia Villa de Guadalupe</v>
          </cell>
        </row>
        <row r="133">
          <cell r="D133" t="str">
            <v>DOPI-MUN-RM-ID-CI-208-2016</v>
          </cell>
          <cell r="T133" t="str">
            <v>David</v>
          </cell>
          <cell r="U133" t="str">
            <v>Hernández</v>
          </cell>
          <cell r="V133" t="str">
            <v>Flores</v>
          </cell>
          <cell r="W133" t="str">
            <v>Constructora San Sebastián, S.A. de C.V.</v>
          </cell>
          <cell r="X133" t="str">
            <v>CSS8303089S9</v>
          </cell>
          <cell r="AD133">
            <v>42727</v>
          </cell>
          <cell r="AG133">
            <v>7996437.3600000003</v>
          </cell>
          <cell r="AL133" t="str">
            <v>Rehabilitación de las instalaciones y equipamiento deportivo de la Unidad Deportiva Santa Margarita, municipio de Zapopan, Jalisco.</v>
          </cell>
          <cell r="AM133">
            <v>42730</v>
          </cell>
          <cell r="AN133">
            <v>42850</v>
          </cell>
          <cell r="AS133" t="str">
            <v>Colonia Santa Margarita</v>
          </cell>
        </row>
        <row r="134">
          <cell r="D134" t="str">
            <v>DOPI-MUN-RM-PAV-CI-209-2016</v>
          </cell>
          <cell r="T134" t="str">
            <v>Jorge Alfredo</v>
          </cell>
          <cell r="U134" t="str">
            <v>Ochoa</v>
          </cell>
          <cell r="V134" t="str">
            <v>González</v>
          </cell>
          <cell r="W134" t="str">
            <v>Aedificant, S.A. de C.V.</v>
          </cell>
          <cell r="X134" t="str">
            <v>AED890925181</v>
          </cell>
          <cell r="AD134">
            <v>42727</v>
          </cell>
          <cell r="AG134">
            <v>5570941.0800000001</v>
          </cell>
          <cell r="AL134" t="str">
            <v>Construcción de pavimento de concreto hidráulico MR-45 y jardinería, en la Glorieta Venustiano Carranza en la colonia Constitución, municipio de Zapopan, Jalisco</v>
          </cell>
          <cell r="AM134">
            <v>42730</v>
          </cell>
          <cell r="AN134">
            <v>42762</v>
          </cell>
          <cell r="AS134" t="str">
            <v>Colonia Constitución</v>
          </cell>
        </row>
        <row r="135">
          <cell r="D135" t="str">
            <v>DOPI-MUN-RM-PAV-CI-210-2016</v>
          </cell>
          <cell r="T135" t="str">
            <v>Elvia Alejandra</v>
          </cell>
          <cell r="U135" t="str">
            <v>Torres</v>
          </cell>
          <cell r="V135" t="str">
            <v>Villa</v>
          </cell>
          <cell r="W135" t="str">
            <v>Procourza, S.A. de C.V.</v>
          </cell>
          <cell r="X135" t="str">
            <v>PRO0205208F2</v>
          </cell>
          <cell r="AD135">
            <v>42727</v>
          </cell>
          <cell r="AG135">
            <v>7995338.8700000001</v>
          </cell>
          <cell r="AL135"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5">
            <v>42730</v>
          </cell>
          <cell r="AN135">
            <v>42820</v>
          </cell>
          <cell r="AS135" t="str">
            <v>Colonia Belenes Norte</v>
          </cell>
        </row>
        <row r="136">
          <cell r="D136" t="str">
            <v>DOPI-MUN-RM-AP-CI-211-2016</v>
          </cell>
          <cell r="T136" t="str">
            <v>Rosalba Edilia</v>
          </cell>
          <cell r="U136" t="str">
            <v>Sandoval</v>
          </cell>
          <cell r="V136" t="str">
            <v>Huizar</v>
          </cell>
          <cell r="W136" t="str">
            <v>Infraestructura San Miguel, S.A. de C.V.</v>
          </cell>
          <cell r="X136" t="str">
            <v>ISM0112209Y5</v>
          </cell>
          <cell r="AD136">
            <v>42727</v>
          </cell>
          <cell r="AG136">
            <v>2591650.5499999998</v>
          </cell>
          <cell r="AL136" t="str">
            <v>Construcción de línea de agua potable, drenaje sanitario, preparación para instalaciones de Telmex y CFE, pozos de absorción, en la Glorieta Venustiano Carranza en la colonia Constitución, municipio de Zapopan, Jalisco</v>
          </cell>
          <cell r="AM136">
            <v>42730</v>
          </cell>
          <cell r="AN136">
            <v>42760</v>
          </cell>
          <cell r="AS136" t="str">
            <v>Colonia Constitución</v>
          </cell>
        </row>
        <row r="137">
          <cell r="D137" t="str">
            <v>DOPI-FED-HAB-PAV-CI-214-2016</v>
          </cell>
          <cell r="T137" t="str">
            <v>Miguel Ángel</v>
          </cell>
          <cell r="U137" t="str">
            <v>Romero</v>
          </cell>
          <cell r="V137" t="str">
            <v>Lugo</v>
          </cell>
          <cell r="W137" t="str">
            <v>Obras y Comercialización de la Construcción, S.A. de C.V.</v>
          </cell>
          <cell r="X137" t="str">
            <v>OCC940714PB0</v>
          </cell>
          <cell r="AD137">
            <v>42717</v>
          </cell>
          <cell r="AG137">
            <v>6282745.2800000003</v>
          </cell>
          <cell r="AL137" t="str">
            <v>Pavimentación de concreto hidráulico en la calle Casiano Torres Poniente, municipio de Zapopan, Jalisco.</v>
          </cell>
          <cell r="AM137">
            <v>42718</v>
          </cell>
          <cell r="AN137">
            <v>42735</v>
          </cell>
          <cell r="AS137" t="str">
            <v>Colonia Vista Hermosa</v>
          </cell>
        </row>
        <row r="138">
          <cell r="D138" t="str">
            <v>DOPI-MUN-RM-IM-CI-225-2016</v>
          </cell>
          <cell r="T138" t="str">
            <v>Edgardo</v>
          </cell>
          <cell r="U138" t="str">
            <v>Zúñiga</v>
          </cell>
          <cell r="V138" t="str">
            <v>Beristaín</v>
          </cell>
          <cell r="W138" t="str">
            <v>Proyección Integral Zure, S.A. de C.V.</v>
          </cell>
          <cell r="X138" t="str">
            <v>PIZ070717DX6</v>
          </cell>
          <cell r="AD138">
            <v>42727</v>
          </cell>
          <cell r="AG138">
            <v>2484449.75</v>
          </cell>
          <cell r="AL138" t="str">
            <v>Rehabilitación de la Unidad Administrativa Las Águilas (cubierta, pintura, instalaciones eléctricas, instalaciones hidráulicas, nave central, impermeabilización, accesibilidad, baños, puertas de acceso principal) Frente 2</v>
          </cell>
          <cell r="AM138">
            <v>42730</v>
          </cell>
          <cell r="AN138">
            <v>42820</v>
          </cell>
        </row>
        <row r="139">
          <cell r="D139" t="str">
            <v>DOPI-MUN-RM-MOV-CI-226-2016</v>
          </cell>
          <cell r="T139" t="str">
            <v>Bernardo</v>
          </cell>
          <cell r="U139" t="str">
            <v>Saenz</v>
          </cell>
          <cell r="V139" t="str">
            <v>Barba</v>
          </cell>
          <cell r="W139" t="str">
            <v>Grupo Edificador Mayab, S.A. de C.V.</v>
          </cell>
          <cell r="X139" t="str">
            <v>GEM070112PX8</v>
          </cell>
          <cell r="AD139">
            <v>42727</v>
          </cell>
          <cell r="AG139">
            <v>3949999.31</v>
          </cell>
          <cell r="AL139" t="str">
            <v>Rehabilitación de ciclovía Santa Margarita e iluminación, municipio de Zapopan, Jalisco.</v>
          </cell>
          <cell r="AM139">
            <v>42730</v>
          </cell>
          <cell r="AN139">
            <v>42820</v>
          </cell>
        </row>
        <row r="140">
          <cell r="B140" t="str">
            <v>Licitación por Invitación Restringida</v>
          </cell>
          <cell r="D140" t="str">
            <v>DOPI-MUN-R33-AP-CI-228-2016</v>
          </cell>
          <cell r="T140" t="str">
            <v>Karla Mariana</v>
          </cell>
          <cell r="U140" t="str">
            <v>Méndez</v>
          </cell>
          <cell r="V140" t="str">
            <v>Rodríguez</v>
          </cell>
          <cell r="W140" t="str">
            <v>Grupo la Fuente, S.A. de C.V.</v>
          </cell>
          <cell r="X140" t="str">
            <v>GFU021009BC1</v>
          </cell>
          <cell r="AD140">
            <v>42727</v>
          </cell>
          <cell r="AG140">
            <v>6196741.5800000001</v>
          </cell>
          <cell r="AL140" t="str">
            <v xml:space="preserve">Perforación y equipamiento de pozo en la localidad de Los Patios, en el municipio de Zapopan, Jalisco. </v>
          </cell>
          <cell r="AM140">
            <v>42730</v>
          </cell>
          <cell r="AN140">
            <v>42850</v>
          </cell>
          <cell r="AS140" t="str">
            <v>Localidad Los Patios</v>
          </cell>
        </row>
        <row r="141">
          <cell r="B141" t="str">
            <v>Licitación por Invitación Restringida</v>
          </cell>
          <cell r="D141" t="str">
            <v>DOPI-MUN-R33-AP-CI-229-2016</v>
          </cell>
          <cell r="T141" t="str">
            <v>José Antonio</v>
          </cell>
          <cell r="U141" t="str">
            <v>Álvarez</v>
          </cell>
          <cell r="V141" t="str">
            <v>García</v>
          </cell>
          <cell r="W141" t="str">
            <v>Urcoma 1970, S.A. de C.V.</v>
          </cell>
          <cell r="X141" t="str">
            <v>UMN160125869</v>
          </cell>
          <cell r="AD141">
            <v>42727</v>
          </cell>
          <cell r="AG141">
            <v>3453426.13</v>
          </cell>
          <cell r="AL141" t="str">
            <v>Construcción de línea de conducción de agua potable de 3" de tubería galvanizada, en la localidad San José, en el municipio de Zapopan, Jalisco.</v>
          </cell>
          <cell r="AM141">
            <v>42730</v>
          </cell>
          <cell r="AN141">
            <v>42850</v>
          </cell>
          <cell r="AS141" t="str">
            <v>Localidad San José</v>
          </cell>
        </row>
        <row r="142">
          <cell r="B142" t="str">
            <v>Licitación por Invitación Restringida</v>
          </cell>
          <cell r="D142" t="str">
            <v>DOPI-MUN-R33-AP-CI-230-2016</v>
          </cell>
          <cell r="T142" t="str">
            <v>Ernesto</v>
          </cell>
          <cell r="U142" t="str">
            <v>Zamora</v>
          </cell>
          <cell r="V142" t="str">
            <v>Corona</v>
          </cell>
          <cell r="W142" t="str">
            <v>Keops Ingenieria y Construccion, S.A. de C.V.</v>
          </cell>
          <cell r="X142" t="str">
            <v>KIC040617JIA</v>
          </cell>
          <cell r="AD142">
            <v>42727</v>
          </cell>
          <cell r="AG142">
            <v>1996402.43</v>
          </cell>
          <cell r="AL142" t="str">
            <v>Construcción de línea de agua potable en la Carretera a San Esteban de Carretera a Saltillo a calle Norte, en la localidad de San Isidro, en el municipio de Zapopan, Jalisco.</v>
          </cell>
          <cell r="AM142">
            <v>42730</v>
          </cell>
          <cell r="AN142">
            <v>42820</v>
          </cell>
          <cell r="AS142" t="str">
            <v>Localidad San Isidro</v>
          </cell>
        </row>
        <row r="143">
          <cell r="B143" t="str">
            <v>Licitación por Invitación Restringida</v>
          </cell>
          <cell r="D143" t="str">
            <v>DOPI-MUN-R33-AP-CI-231-2016</v>
          </cell>
          <cell r="T143" t="str">
            <v>Adalberto</v>
          </cell>
          <cell r="U143" t="str">
            <v>Medina</v>
          </cell>
          <cell r="V143" t="str">
            <v>Morales</v>
          </cell>
          <cell r="W143" t="str">
            <v>Urdem, S.A. de C.V.</v>
          </cell>
          <cell r="X143" t="str">
            <v>URD130830U21</v>
          </cell>
          <cell r="AD143">
            <v>42727</v>
          </cell>
          <cell r="AG143">
            <v>3589467.88</v>
          </cell>
          <cell r="AL143" t="str">
            <v>Construcción de la primera etapa de línea de agua potable en la colonia Colinas del Rio, en el municipio de Zapopan, Jalisco.</v>
          </cell>
          <cell r="AM143">
            <v>42730</v>
          </cell>
          <cell r="AN143">
            <v>42850</v>
          </cell>
          <cell r="AS143" t="str">
            <v>Colonia Colinas del Rio</v>
          </cell>
        </row>
        <row r="144">
          <cell r="B144" t="str">
            <v>Licitación por Invitación Restringida</v>
          </cell>
          <cell r="D144" t="str">
            <v>DOPI-MUN-R33-PAV-CI-232-2016</v>
          </cell>
          <cell r="T144" t="str">
            <v>Edwin</v>
          </cell>
          <cell r="U144" t="str">
            <v>Aguiar</v>
          </cell>
          <cell r="V144" t="str">
            <v>Escatel</v>
          </cell>
          <cell r="W144" t="str">
            <v>Manjarrez Urbanizaciones, S.A. de C.V.</v>
          </cell>
          <cell r="X144" t="str">
            <v>MUR090325P33</v>
          </cell>
          <cell r="AD144">
            <v>42727</v>
          </cell>
          <cell r="AG144">
            <v>3867999.72</v>
          </cell>
          <cell r="AL144" t="str">
            <v>Pavimentación con concreto hidráulico, línea de agua potable, drenaje sanitario y alumbrado público, en la calle Abel Salgado, de Carretera a Saltillo a calle Ojo de Agua, en la colonia Agua Fría, municipio de Zapopan Jalisco, frente 1.</v>
          </cell>
          <cell r="AM144">
            <v>42730</v>
          </cell>
          <cell r="AN144">
            <v>42880</v>
          </cell>
          <cell r="AS144" t="str">
            <v>Colonia Agua Fria</v>
          </cell>
        </row>
        <row r="145">
          <cell r="B145" t="str">
            <v>Licitación por Invitación Restringida</v>
          </cell>
          <cell r="D145" t="str">
            <v>DOPI-MUN-R33-PAV-CI-233-2016</v>
          </cell>
          <cell r="T145" t="str">
            <v>Clarissa Gabriela</v>
          </cell>
          <cell r="U145" t="str">
            <v>Valdez</v>
          </cell>
          <cell r="V145" t="str">
            <v>Manjarrez</v>
          </cell>
          <cell r="W145" t="str">
            <v>Tekton Grupo Empresarial, S.A. de C.V.</v>
          </cell>
          <cell r="X145" t="str">
            <v>TGE101215JI6</v>
          </cell>
          <cell r="AD145">
            <v>42727</v>
          </cell>
          <cell r="AG145">
            <v>3638106.52</v>
          </cell>
          <cell r="AL145" t="str">
            <v>Pavimentación con concreto hidráulico, línea de agua potable, drenaje sanitario y alumbrado público,  en la calle Abel Salgado, de Carretera a Saltillo a calle Ojo de Agua, en la colonia Agua Fría, municipio de Zapopan Jalisco, frente 2.</v>
          </cell>
          <cell r="AM145">
            <v>42730</v>
          </cell>
          <cell r="AN145">
            <v>42880</v>
          </cell>
          <cell r="AS145" t="str">
            <v>Colonia Agua Fria</v>
          </cell>
        </row>
        <row r="146">
          <cell r="B146" t="str">
            <v>Licitación por Invitación Restringida</v>
          </cell>
          <cell r="D146" t="str">
            <v>DOPI-MUN-R33-PAV-CI-238-2016</v>
          </cell>
          <cell r="T146" t="str">
            <v>Hugo Armando</v>
          </cell>
          <cell r="U146" t="str">
            <v>Prieto</v>
          </cell>
          <cell r="V146" t="str">
            <v>Jiménez</v>
          </cell>
          <cell r="W146" t="str">
            <v>Constructora Rural del Pais, S.A. de C.V.</v>
          </cell>
          <cell r="X146" t="str">
            <v>CRP870708I62</v>
          </cell>
          <cell r="AD146">
            <v>42727</v>
          </cell>
          <cell r="AG146">
            <v>2216780.09</v>
          </cell>
          <cell r="AL146" t="str">
            <v>Pavimentación con empedrado zampeado en la calle Mármol, de calle Cantera al arroyo y calle Obsidiana, de calle Opalo a calle Coral, en la colonia Pedregal de Zapopan (Loma el Pedregal), en Zapopan, Jalisco</v>
          </cell>
          <cell r="AM146">
            <v>42730</v>
          </cell>
          <cell r="AN146">
            <v>42880</v>
          </cell>
          <cell r="AS146" t="str">
            <v>Colonia Loma el Pedregal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2/DOPI_MUN_RP_PAV_LP_023_16.pdf" TargetMode="External"/><Relationship Id="rId13" Type="http://schemas.openxmlformats.org/officeDocument/2006/relationships/hyperlink" Target="http://www.zapopan.gob.mx/wp-content/uploads/2017/01/027_16.pdf" TargetMode="External"/><Relationship Id="rId18" Type="http://schemas.openxmlformats.org/officeDocument/2006/relationships/hyperlink" Target="http://www.zapopan.gob.mx/wp-content/uploads/2017/02/DOPI_MUN_RP_OC_AD_034_16.pdf" TargetMode="External"/><Relationship Id="rId26" Type="http://schemas.openxmlformats.org/officeDocument/2006/relationships/hyperlink" Target="http://www.zapopan.gob.mx/wp-content/uploads/2017/05/Contrato_033_2016.pdf" TargetMode="External"/><Relationship Id="rId39" Type="http://schemas.openxmlformats.org/officeDocument/2006/relationships/hyperlink" Target="http://www.zapopan.gob.mx/wp-content/uploads/2017/06/DOPI_232_2015.pdf" TargetMode="External"/><Relationship Id="rId3" Type="http://schemas.openxmlformats.org/officeDocument/2006/relationships/hyperlink" Target="http://www.zapopan.gob.mx/wp-content/uploads/2017/02/DOPI_MUN_RP_PROY_CI_017_16.pdf" TargetMode="External"/><Relationship Id="rId21" Type="http://schemas.openxmlformats.org/officeDocument/2006/relationships/hyperlink" Target="http://www.zapopan.gob.mx/wp-content/uploads/2017/05/Contrato_019_2016.pdf" TargetMode="External"/><Relationship Id="rId34" Type="http://schemas.openxmlformats.org/officeDocument/2006/relationships/hyperlink" Target="http://www.zapopan.gob.mx/wp-content/uploads/2017/06/DOPI_105_2016.pdf" TargetMode="External"/><Relationship Id="rId42" Type="http://schemas.openxmlformats.org/officeDocument/2006/relationships/hyperlink" Target="http://www.zapopan.gob.mx/wp-content/uploads/2017/06/DOPI_239_2015.pdf" TargetMode="External"/><Relationship Id="rId47" Type="http://schemas.openxmlformats.org/officeDocument/2006/relationships/drawing" Target="../drawings/drawing1.xml"/><Relationship Id="rId7" Type="http://schemas.openxmlformats.org/officeDocument/2006/relationships/hyperlink" Target="http://www.zapopan.gob.mx/wp-content/uploads/2017/02/DOPI_MUN_RP_PAV_LP_023_16.pdf" TargetMode="External"/><Relationship Id="rId12" Type="http://schemas.openxmlformats.org/officeDocument/2006/relationships/hyperlink" Target="http://www.zapopan.gob.mx/wp-content/uploads/2017/02/DOPI_MUN_RP_PAV_LP_026_16.pdf" TargetMode="External"/><Relationship Id="rId17" Type="http://schemas.openxmlformats.org/officeDocument/2006/relationships/hyperlink" Target="http://www.zapopan.gob.mx/wp-content/uploads/2017/02/DOPI_MUN_RP_OC_AD_034_16.pdf" TargetMode="External"/><Relationship Id="rId25" Type="http://schemas.openxmlformats.org/officeDocument/2006/relationships/hyperlink" Target="http://www.zapopan.gob.mx/wp-content/uploads/2017/05/Contrato_030_2016.pdf" TargetMode="External"/><Relationship Id="rId33" Type="http://schemas.openxmlformats.org/officeDocument/2006/relationships/hyperlink" Target="http://www.zapopan.gob.mx/wp-content/uploads/2017/06/DOPI_102_2016.pdf" TargetMode="External"/><Relationship Id="rId38" Type="http://schemas.openxmlformats.org/officeDocument/2006/relationships/hyperlink" Target="http://www.zapopan.gob.mx/wp-content/uploads/2017/06/DOPI_231_2015.pdf" TargetMode="External"/><Relationship Id="rId46" Type="http://schemas.openxmlformats.org/officeDocument/2006/relationships/printerSettings" Target="../printerSettings/printerSettings1.bin"/><Relationship Id="rId2" Type="http://schemas.openxmlformats.org/officeDocument/2006/relationships/hyperlink" Target="http://www.zapopan.gob.mx/wp-content/uploads/2016/11/DOPI_MUN_RP_EP_AD_015_16.pdf" TargetMode="External"/><Relationship Id="rId16" Type="http://schemas.openxmlformats.org/officeDocument/2006/relationships/hyperlink" Target="http://www.zapopan.gob.mx/wp-content/uploads/2016/11/DOPI_MUN_RP_EP_AD_028_16.pdf" TargetMode="External"/><Relationship Id="rId20" Type="http://schemas.openxmlformats.org/officeDocument/2006/relationships/hyperlink" Target="http://www.zapopan.gob.mx/wp-content/uploads/2017/05/Contrato_013_2016.pdf" TargetMode="External"/><Relationship Id="rId29" Type="http://schemas.openxmlformats.org/officeDocument/2006/relationships/hyperlink" Target="http://www.zapopan.gob.mx/wp-content/uploads/2017/05/Contrato_108_2016.pdf" TargetMode="External"/><Relationship Id="rId41" Type="http://schemas.openxmlformats.org/officeDocument/2006/relationships/hyperlink" Target="http://www.zapopan.gob.mx/wp-content/uploads/2017/06/DOPI_237_2015.pdf" TargetMode="External"/><Relationship Id="rId1" Type="http://schemas.openxmlformats.org/officeDocument/2006/relationships/hyperlink" Target="http://www.zapopan.gob.mx/wp-content/uploads/2017/01/015_16.pdf" TargetMode="External"/><Relationship Id="rId6" Type="http://schemas.openxmlformats.org/officeDocument/2006/relationships/hyperlink" Target="http://www.zapopan.gob.mx/wp-content/uploads/2016/11/DOPI_MUN_RP_EP_AD_021_16.pdf" TargetMode="External"/><Relationship Id="rId11" Type="http://schemas.openxmlformats.org/officeDocument/2006/relationships/hyperlink" Target="http://www.zapopan.gob.mx/wp-content/uploads/2017/02/DOPI_MUN_RP_PAV_LP_025_16.pdf" TargetMode="External"/><Relationship Id="rId24" Type="http://schemas.openxmlformats.org/officeDocument/2006/relationships/hyperlink" Target="http://www.zapopan.gob.mx/wp-content/uploads/2017/05/Contrato_024_2016.pdf" TargetMode="External"/><Relationship Id="rId32" Type="http://schemas.openxmlformats.org/officeDocument/2006/relationships/hyperlink" Target="http://www.zapopan.gob.mx/wp-content/uploads/2017/06/DOPI_054_2016.pdf" TargetMode="External"/><Relationship Id="rId37" Type="http://schemas.openxmlformats.org/officeDocument/2006/relationships/hyperlink" Target="http://www.zapopan.gob.mx/wp-content/uploads/2017/06/DOPI_230_2015.pdf" TargetMode="External"/><Relationship Id="rId40" Type="http://schemas.openxmlformats.org/officeDocument/2006/relationships/hyperlink" Target="http://www.zapopan.gob.mx/wp-content/uploads/2017/06/DOPI_236_2015.pdf" TargetMode="External"/><Relationship Id="rId45" Type="http://schemas.openxmlformats.org/officeDocument/2006/relationships/hyperlink" Target="http://www.zapopan.gob.mx/wp-content/uploads/2017/06/DOPI_243_2015.pdf" TargetMode="External"/><Relationship Id="rId5" Type="http://schemas.openxmlformats.org/officeDocument/2006/relationships/hyperlink" Target="http://www.zapopan.gob.mx/wp-content/uploads/2017/01/021_16.pdf" TargetMode="External"/><Relationship Id="rId15" Type="http://schemas.openxmlformats.org/officeDocument/2006/relationships/hyperlink" Target="http://www.zapopan.gob.mx/wp-content/uploads/2017/01/028_16.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5/Contrato_064_2016.pdf" TargetMode="External"/><Relationship Id="rId36" Type="http://schemas.openxmlformats.org/officeDocument/2006/relationships/hyperlink" Target="http://www.zapopan.gob.mx/wp-content/uploads/2017/06/DOPI_119_2016.pdf" TargetMode="External"/><Relationship Id="rId10" Type="http://schemas.openxmlformats.org/officeDocument/2006/relationships/hyperlink" Target="http://www.zapopan.gob.mx/wp-content/uploads/2017/02/DOPI_MUN_RP_PAV_LP_026_16.pdf" TargetMode="External"/><Relationship Id="rId19" Type="http://schemas.openxmlformats.org/officeDocument/2006/relationships/hyperlink" Target="http://www.zapopan.gob.mx/wp-content/uploads/2017/05/Contrato_007_2016.pdf" TargetMode="External"/><Relationship Id="rId31" Type="http://schemas.openxmlformats.org/officeDocument/2006/relationships/hyperlink" Target="http://www.zapopan.gob.mx/wp-content/uploads/2017/06/DOPI_012_2016.pdf" TargetMode="External"/><Relationship Id="rId44" Type="http://schemas.openxmlformats.org/officeDocument/2006/relationships/hyperlink" Target="http://www.zapopan.gob.mx/wp-content/uploads/2017/06/DOPI_241_2015.pdf" TargetMode="External"/><Relationship Id="rId4" Type="http://schemas.openxmlformats.org/officeDocument/2006/relationships/hyperlink" Target="http://www.zapopan.gob.mx/wp-content/uploads/2017/02/DOPI_MUN_RP_PROY_CI_017_16.pdf" TargetMode="External"/><Relationship Id="rId9" Type="http://schemas.openxmlformats.org/officeDocument/2006/relationships/hyperlink" Target="http://www.zapopan.gob.mx/wp-content/uploads/2017/02/DOPI_MUN_RP_PAV_LP_025_16.pdf" TargetMode="External"/><Relationship Id="rId14" Type="http://schemas.openxmlformats.org/officeDocument/2006/relationships/hyperlink" Target="http://www.zapopan.gob.mx/wp-content/uploads/2016/11/DOPI_MUN_RP_EP_AD_027_16.pdf" TargetMode="External"/><Relationship Id="rId22" Type="http://schemas.openxmlformats.org/officeDocument/2006/relationships/hyperlink" Target="http://www.zapopan.gob.mx/wp-content/uploads/2017/05/Contrato_020_2016.pdf" TargetMode="External"/><Relationship Id="rId27" Type="http://schemas.openxmlformats.org/officeDocument/2006/relationships/hyperlink" Target="http://www.zapopan.gob.mx/wp-content/uploads/2017/05/Contrato_035_2016.pdf" TargetMode="External"/><Relationship Id="rId30" Type="http://schemas.openxmlformats.org/officeDocument/2006/relationships/hyperlink" Target="http://www.zapopan.gob.mx/wp-content/uploads/2017/06/DOPI_005_2016.pdf" TargetMode="External"/><Relationship Id="rId35" Type="http://schemas.openxmlformats.org/officeDocument/2006/relationships/hyperlink" Target="http://www.zapopan.gob.mx/wp-content/uploads/2017/06/DOPI_107_2016.pdf" TargetMode="External"/><Relationship Id="rId43" Type="http://schemas.openxmlformats.org/officeDocument/2006/relationships/hyperlink" Target="http://www.zapopan.gob.mx/wp-content/uploads/2017/06/DOPI_240_2015.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B347"/>
  <sheetViews>
    <sheetView tabSelected="1" zoomScaleNormal="100" zoomScaleSheetLayoutView="100" workbookViewId="0">
      <selection activeCell="A4" sqref="A4:A5"/>
    </sheetView>
  </sheetViews>
  <sheetFormatPr baseColWidth="10" defaultColWidth="11.42578125" defaultRowHeight="15.75"/>
  <cols>
    <col min="1" max="1" width="12.7109375" style="1" customWidth="1"/>
    <col min="2" max="2" width="19.42578125" style="2" customWidth="1"/>
    <col min="3" max="3" width="35.28515625" style="2" customWidth="1"/>
    <col min="4" max="4" width="12.7109375" style="2" customWidth="1"/>
    <col min="5" max="5" width="41.28515625" style="2" customWidth="1"/>
    <col min="6" max="6" width="16.5703125" style="2" customWidth="1"/>
    <col min="7" max="7" width="13.42578125" style="2" customWidth="1"/>
    <col min="8" max="8" width="15.140625" style="2" customWidth="1"/>
    <col min="9" max="9" width="18" style="2" customWidth="1"/>
    <col min="10" max="11" width="12.7109375" style="2" customWidth="1"/>
    <col min="12" max="12" width="20.7109375" style="2" customWidth="1"/>
    <col min="13" max="13" width="15.140625" style="2" customWidth="1"/>
    <col min="14" max="14" width="13.42578125" style="2" customWidth="1"/>
    <col min="15" max="15" width="12.7109375" style="76" customWidth="1"/>
    <col min="16" max="19" width="12.7109375" style="2" customWidth="1"/>
    <col min="20" max="20" width="26.28515625" style="2" customWidth="1"/>
    <col min="21" max="21" width="18.7109375" style="2" customWidth="1"/>
    <col min="22" max="23" width="12.7109375" style="2" customWidth="1"/>
    <col min="24" max="24" width="20" style="2" customWidth="1"/>
    <col min="25" max="26" width="12.7109375" style="2" customWidth="1"/>
    <col min="27" max="27" width="25.140625" style="54" customWidth="1"/>
    <col min="28" max="28" width="12.7109375" style="2" customWidth="1"/>
  </cols>
  <sheetData>
    <row r="1" spans="1:28" ht="42" customHeight="1">
      <c r="A1" s="83"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5"/>
    </row>
    <row r="2" spans="1:28" ht="36.75" customHeight="1">
      <c r="A2" s="86"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8"/>
    </row>
    <row r="3" spans="1:28" ht="39" customHeight="1">
      <c r="A3" s="89" t="s">
        <v>1382</v>
      </c>
      <c r="B3" s="90"/>
      <c r="C3" s="90"/>
      <c r="D3" s="90"/>
      <c r="E3" s="90"/>
      <c r="F3" s="90"/>
      <c r="G3" s="90"/>
      <c r="H3" s="90"/>
      <c r="I3" s="90"/>
      <c r="J3" s="90"/>
      <c r="K3" s="90"/>
      <c r="L3" s="90"/>
      <c r="M3" s="90"/>
      <c r="N3" s="90"/>
      <c r="O3" s="90"/>
      <c r="P3" s="90"/>
      <c r="Q3" s="90"/>
      <c r="R3" s="90"/>
      <c r="S3" s="90"/>
      <c r="T3" s="90"/>
      <c r="U3" s="90"/>
      <c r="V3" s="90"/>
      <c r="W3" s="90"/>
      <c r="X3" s="90"/>
      <c r="Y3" s="90"/>
      <c r="Z3" s="90"/>
      <c r="AA3" s="90"/>
      <c r="AB3" s="91"/>
    </row>
    <row r="4" spans="1:28" ht="40.5" customHeight="1">
      <c r="A4" s="82" t="s">
        <v>2</v>
      </c>
      <c r="B4" s="82" t="s">
        <v>3</v>
      </c>
      <c r="C4" s="82" t="s">
        <v>4</v>
      </c>
      <c r="D4" s="82" t="s">
        <v>5</v>
      </c>
      <c r="E4" s="82" t="s">
        <v>6</v>
      </c>
      <c r="F4" s="82" t="s">
        <v>7</v>
      </c>
      <c r="G4" s="82" t="s">
        <v>8</v>
      </c>
      <c r="H4" s="82" t="s">
        <v>9</v>
      </c>
      <c r="I4" s="82" t="s">
        <v>10</v>
      </c>
      <c r="J4" s="82"/>
      <c r="K4" s="82"/>
      <c r="L4" s="82"/>
      <c r="M4" s="82"/>
      <c r="N4" s="82" t="s">
        <v>11</v>
      </c>
      <c r="O4" s="82" t="s">
        <v>12</v>
      </c>
      <c r="P4" s="82" t="s">
        <v>13</v>
      </c>
      <c r="Q4" s="82" t="s">
        <v>14</v>
      </c>
      <c r="R4" s="82" t="s">
        <v>15</v>
      </c>
      <c r="S4" s="82" t="s">
        <v>16</v>
      </c>
      <c r="T4" s="82" t="s">
        <v>17</v>
      </c>
      <c r="U4" s="82" t="s">
        <v>18</v>
      </c>
      <c r="V4" s="82" t="s">
        <v>19</v>
      </c>
      <c r="W4" s="82"/>
      <c r="X4" s="82" t="s">
        <v>20</v>
      </c>
      <c r="Y4" s="82"/>
      <c r="Z4" s="82"/>
      <c r="AA4" s="92" t="s">
        <v>21</v>
      </c>
      <c r="AB4" s="82" t="s">
        <v>22</v>
      </c>
    </row>
    <row r="5" spans="1:28" ht="67.5">
      <c r="A5" s="82"/>
      <c r="B5" s="82"/>
      <c r="C5" s="82"/>
      <c r="D5" s="82"/>
      <c r="E5" s="82"/>
      <c r="F5" s="82"/>
      <c r="G5" s="82"/>
      <c r="H5" s="82"/>
      <c r="I5" s="3" t="s">
        <v>23</v>
      </c>
      <c r="J5" s="3" t="s">
        <v>24</v>
      </c>
      <c r="K5" s="3" t="s">
        <v>25</v>
      </c>
      <c r="L5" s="3" t="s">
        <v>26</v>
      </c>
      <c r="M5" s="3" t="s">
        <v>27</v>
      </c>
      <c r="N5" s="82"/>
      <c r="O5" s="82"/>
      <c r="P5" s="82"/>
      <c r="Q5" s="82"/>
      <c r="R5" s="82"/>
      <c r="S5" s="82"/>
      <c r="T5" s="82"/>
      <c r="U5" s="82"/>
      <c r="V5" s="3" t="s">
        <v>28</v>
      </c>
      <c r="W5" s="3" t="s">
        <v>29</v>
      </c>
      <c r="X5" s="3" t="s">
        <v>23</v>
      </c>
      <c r="Y5" s="3" t="s">
        <v>24</v>
      </c>
      <c r="Z5" s="3" t="s">
        <v>25</v>
      </c>
      <c r="AA5" s="92"/>
      <c r="AB5" s="82"/>
    </row>
    <row r="6" spans="1:28" s="17" customFormat="1" ht="54" customHeight="1">
      <c r="A6" s="5">
        <v>2017</v>
      </c>
      <c r="B6" s="7" t="s">
        <v>800</v>
      </c>
      <c r="C6" s="79" t="s">
        <v>927</v>
      </c>
      <c r="D6" s="12">
        <v>42790</v>
      </c>
      <c r="E6" s="7" t="s">
        <v>928</v>
      </c>
      <c r="F6" s="7" t="s">
        <v>67</v>
      </c>
      <c r="G6" s="8">
        <v>5476517.9699999997</v>
      </c>
      <c r="H6" s="7" t="s">
        <v>917</v>
      </c>
      <c r="I6" s="5" t="s">
        <v>929</v>
      </c>
      <c r="J6" s="5" t="s">
        <v>930</v>
      </c>
      <c r="K6" s="5" t="s">
        <v>931</v>
      </c>
      <c r="L6" s="7" t="s">
        <v>932</v>
      </c>
      <c r="M6" s="5" t="s">
        <v>933</v>
      </c>
      <c r="N6" s="8">
        <v>5476517.9699999997</v>
      </c>
      <c r="O6" s="77" t="s">
        <v>40</v>
      </c>
      <c r="P6" s="9" t="s">
        <v>918</v>
      </c>
      <c r="Q6" s="10">
        <v>310.10860532276331</v>
      </c>
      <c r="R6" s="9" t="s">
        <v>42</v>
      </c>
      <c r="S6" s="13">
        <v>1456</v>
      </c>
      <c r="T6" s="7" t="s">
        <v>43</v>
      </c>
      <c r="U6" s="5" t="s">
        <v>565</v>
      </c>
      <c r="V6" s="6">
        <v>42791</v>
      </c>
      <c r="W6" s="6">
        <v>42835</v>
      </c>
      <c r="X6" s="48" t="s">
        <v>544</v>
      </c>
      <c r="Y6" s="5" t="s">
        <v>545</v>
      </c>
      <c r="Z6" s="5" t="s">
        <v>212</v>
      </c>
      <c r="AA6" s="40" t="s">
        <v>40</v>
      </c>
      <c r="AB6" s="5" t="s">
        <v>40</v>
      </c>
    </row>
    <row r="7" spans="1:28" s="17" customFormat="1" ht="54">
      <c r="A7" s="5">
        <v>2017</v>
      </c>
      <c r="B7" s="7" t="s">
        <v>800</v>
      </c>
      <c r="C7" s="79" t="s">
        <v>934</v>
      </c>
      <c r="D7" s="12">
        <v>42790</v>
      </c>
      <c r="E7" s="7" t="s">
        <v>935</v>
      </c>
      <c r="F7" s="7" t="s">
        <v>67</v>
      </c>
      <c r="G7" s="8">
        <v>4994034.3099999996</v>
      </c>
      <c r="H7" s="7" t="s">
        <v>866</v>
      </c>
      <c r="I7" s="5" t="s">
        <v>936</v>
      </c>
      <c r="J7" s="5" t="s">
        <v>937</v>
      </c>
      <c r="K7" s="5" t="s">
        <v>938</v>
      </c>
      <c r="L7" s="7" t="s">
        <v>939</v>
      </c>
      <c r="M7" s="5" t="s">
        <v>940</v>
      </c>
      <c r="N7" s="8">
        <v>4994034.3099999996</v>
      </c>
      <c r="O7" s="77" t="s">
        <v>40</v>
      </c>
      <c r="P7" s="9" t="s">
        <v>919</v>
      </c>
      <c r="Q7" s="10">
        <v>2937.6672411764703</v>
      </c>
      <c r="R7" s="9" t="s">
        <v>42</v>
      </c>
      <c r="S7" s="13">
        <v>25400</v>
      </c>
      <c r="T7" s="7" t="s">
        <v>43</v>
      </c>
      <c r="U7" s="5" t="s">
        <v>565</v>
      </c>
      <c r="V7" s="6">
        <v>42791</v>
      </c>
      <c r="W7" s="6">
        <v>42835</v>
      </c>
      <c r="X7" s="48" t="s">
        <v>650</v>
      </c>
      <c r="Y7" s="5" t="s">
        <v>651</v>
      </c>
      <c r="Z7" s="5" t="s">
        <v>652</v>
      </c>
      <c r="AA7" s="40" t="s">
        <v>40</v>
      </c>
      <c r="AB7" s="5" t="s">
        <v>40</v>
      </c>
    </row>
    <row r="8" spans="1:28" s="17" customFormat="1" ht="81">
      <c r="A8" s="5">
        <v>2017</v>
      </c>
      <c r="B8" s="7" t="s">
        <v>800</v>
      </c>
      <c r="C8" s="79" t="s">
        <v>941</v>
      </c>
      <c r="D8" s="12">
        <v>42790</v>
      </c>
      <c r="E8" s="7" t="s">
        <v>942</v>
      </c>
      <c r="F8" s="7" t="s">
        <v>67</v>
      </c>
      <c r="G8" s="8">
        <v>2493488.7200000002</v>
      </c>
      <c r="H8" s="7" t="s">
        <v>943</v>
      </c>
      <c r="I8" s="5" t="s">
        <v>944</v>
      </c>
      <c r="J8" s="5" t="s">
        <v>945</v>
      </c>
      <c r="K8" s="5" t="s">
        <v>946</v>
      </c>
      <c r="L8" s="7" t="s">
        <v>947</v>
      </c>
      <c r="M8" s="5" t="s">
        <v>948</v>
      </c>
      <c r="N8" s="8">
        <v>2493488.7200000002</v>
      </c>
      <c r="O8" s="77" t="s">
        <v>40</v>
      </c>
      <c r="P8" s="9" t="s">
        <v>920</v>
      </c>
      <c r="Q8" s="10">
        <v>3608.5220260492042</v>
      </c>
      <c r="R8" s="9" t="s">
        <v>42</v>
      </c>
      <c r="S8" s="13">
        <v>279130</v>
      </c>
      <c r="T8" s="7" t="s">
        <v>43</v>
      </c>
      <c r="U8" s="5" t="s">
        <v>565</v>
      </c>
      <c r="V8" s="6">
        <v>42791</v>
      </c>
      <c r="W8" s="6">
        <v>42850</v>
      </c>
      <c r="X8" s="48" t="s">
        <v>733</v>
      </c>
      <c r="Y8" s="5" t="s">
        <v>822</v>
      </c>
      <c r="Z8" s="5" t="s">
        <v>735</v>
      </c>
      <c r="AA8" s="40" t="s">
        <v>40</v>
      </c>
      <c r="AB8" s="5" t="s">
        <v>40</v>
      </c>
    </row>
    <row r="9" spans="1:28" s="17" customFormat="1" ht="71.25" customHeight="1">
      <c r="A9" s="5">
        <v>2017</v>
      </c>
      <c r="B9" s="5" t="s">
        <v>64</v>
      </c>
      <c r="C9" s="79" t="s">
        <v>949</v>
      </c>
      <c r="D9" s="12">
        <v>42793</v>
      </c>
      <c r="E9" s="7" t="s">
        <v>950</v>
      </c>
      <c r="F9" s="7" t="s">
        <v>184</v>
      </c>
      <c r="G9" s="8">
        <v>1496360.35</v>
      </c>
      <c r="H9" s="7" t="s">
        <v>583</v>
      </c>
      <c r="I9" s="5" t="s">
        <v>951</v>
      </c>
      <c r="J9" s="5" t="s">
        <v>952</v>
      </c>
      <c r="K9" s="5" t="s">
        <v>953</v>
      </c>
      <c r="L9" s="7" t="s">
        <v>954</v>
      </c>
      <c r="M9" s="5" t="s">
        <v>955</v>
      </c>
      <c r="N9" s="8">
        <v>1496360.35</v>
      </c>
      <c r="O9" s="77" t="s">
        <v>40</v>
      </c>
      <c r="P9" s="9" t="s">
        <v>921</v>
      </c>
      <c r="Q9" s="10">
        <v>71255.254761904769</v>
      </c>
      <c r="R9" s="9" t="s">
        <v>232</v>
      </c>
      <c r="S9" s="13" t="s">
        <v>232</v>
      </c>
      <c r="T9" s="7" t="s">
        <v>43</v>
      </c>
      <c r="U9" s="5" t="s">
        <v>565</v>
      </c>
      <c r="V9" s="6">
        <v>42795</v>
      </c>
      <c r="W9" s="6">
        <v>42947</v>
      </c>
      <c r="X9" s="48" t="s">
        <v>915</v>
      </c>
      <c r="Y9" s="5" t="s">
        <v>916</v>
      </c>
      <c r="Z9" s="5" t="s">
        <v>263</v>
      </c>
      <c r="AA9" s="40" t="s">
        <v>40</v>
      </c>
      <c r="AB9" s="5" t="s">
        <v>40</v>
      </c>
    </row>
    <row r="10" spans="1:28" s="17" customFormat="1" ht="94.5">
      <c r="A10" s="5">
        <v>2017</v>
      </c>
      <c r="B10" s="5" t="s">
        <v>64</v>
      </c>
      <c r="C10" s="79" t="s">
        <v>956</v>
      </c>
      <c r="D10" s="12">
        <v>42793</v>
      </c>
      <c r="E10" s="7" t="s">
        <v>957</v>
      </c>
      <c r="F10" s="7" t="s">
        <v>922</v>
      </c>
      <c r="G10" s="8">
        <v>812650.35</v>
      </c>
      <c r="H10" s="7" t="s">
        <v>583</v>
      </c>
      <c r="I10" s="5" t="s">
        <v>951</v>
      </c>
      <c r="J10" s="5" t="s">
        <v>952</v>
      </c>
      <c r="K10" s="5" t="s">
        <v>953</v>
      </c>
      <c r="L10" s="7" t="s">
        <v>954</v>
      </c>
      <c r="M10" s="5" t="s">
        <v>955</v>
      </c>
      <c r="N10" s="8">
        <v>812650.35</v>
      </c>
      <c r="O10" s="77" t="s">
        <v>40</v>
      </c>
      <c r="P10" s="9" t="s">
        <v>923</v>
      </c>
      <c r="Q10" s="10">
        <v>162530.07</v>
      </c>
      <c r="R10" s="9" t="s">
        <v>232</v>
      </c>
      <c r="S10" s="13" t="s">
        <v>232</v>
      </c>
      <c r="T10" s="7" t="s">
        <v>43</v>
      </c>
      <c r="U10" s="5" t="s">
        <v>565</v>
      </c>
      <c r="V10" s="6">
        <v>42795</v>
      </c>
      <c r="W10" s="6">
        <v>42886</v>
      </c>
      <c r="X10" s="48" t="s">
        <v>915</v>
      </c>
      <c r="Y10" s="5" t="s">
        <v>916</v>
      </c>
      <c r="Z10" s="5" t="s">
        <v>263</v>
      </c>
      <c r="AA10" s="40" t="s">
        <v>40</v>
      </c>
      <c r="AB10" s="5" t="s">
        <v>40</v>
      </c>
    </row>
    <row r="11" spans="1:28" s="17" customFormat="1" ht="54">
      <c r="A11" s="20">
        <v>2017</v>
      </c>
      <c r="B11" s="20" t="s">
        <v>64</v>
      </c>
      <c r="C11" s="79" t="s">
        <v>958</v>
      </c>
      <c r="D11" s="26">
        <v>42811</v>
      </c>
      <c r="E11" s="22" t="s">
        <v>959</v>
      </c>
      <c r="F11" s="22" t="s">
        <v>922</v>
      </c>
      <c r="G11" s="23">
        <v>1498350.24</v>
      </c>
      <c r="H11" s="22" t="s">
        <v>960</v>
      </c>
      <c r="I11" s="22" t="s">
        <v>61</v>
      </c>
      <c r="J11" s="20" t="s">
        <v>196</v>
      </c>
      <c r="K11" s="20" t="s">
        <v>961</v>
      </c>
      <c r="L11" s="22" t="s">
        <v>962</v>
      </c>
      <c r="M11" s="20" t="s">
        <v>963</v>
      </c>
      <c r="N11" s="23">
        <v>1498350.24</v>
      </c>
      <c r="O11" s="77" t="s">
        <v>40</v>
      </c>
      <c r="P11" s="24" t="s">
        <v>964</v>
      </c>
      <c r="Q11" s="25">
        <v>1498350.24</v>
      </c>
      <c r="R11" s="24" t="s">
        <v>232</v>
      </c>
      <c r="S11" s="27" t="s">
        <v>232</v>
      </c>
      <c r="T11" s="22" t="s">
        <v>43</v>
      </c>
      <c r="U11" s="20" t="s">
        <v>565</v>
      </c>
      <c r="V11" s="21">
        <v>42809</v>
      </c>
      <c r="W11" s="21">
        <v>43008</v>
      </c>
      <c r="X11" s="48"/>
      <c r="Y11" s="20"/>
      <c r="Z11" s="20"/>
      <c r="AA11" s="40" t="s">
        <v>40</v>
      </c>
      <c r="AB11" s="20" t="s">
        <v>40</v>
      </c>
    </row>
    <row r="12" spans="1:28" s="17" customFormat="1" ht="54">
      <c r="A12" s="20">
        <v>2017</v>
      </c>
      <c r="B12" s="20" t="s">
        <v>64</v>
      </c>
      <c r="C12" s="79" t="s">
        <v>965</v>
      </c>
      <c r="D12" s="26">
        <v>42793</v>
      </c>
      <c r="E12" s="22" t="s">
        <v>966</v>
      </c>
      <c r="F12" s="22" t="s">
        <v>67</v>
      </c>
      <c r="G12" s="23">
        <v>1485041.89</v>
      </c>
      <c r="H12" s="22" t="s">
        <v>967</v>
      </c>
      <c r="I12" s="22" t="s">
        <v>125</v>
      </c>
      <c r="J12" s="20" t="s">
        <v>126</v>
      </c>
      <c r="K12" s="20" t="s">
        <v>968</v>
      </c>
      <c r="L12" s="22" t="s">
        <v>969</v>
      </c>
      <c r="M12" s="20" t="s">
        <v>129</v>
      </c>
      <c r="N12" s="23">
        <v>1485041.89</v>
      </c>
      <c r="O12" s="77" t="s">
        <v>40</v>
      </c>
      <c r="P12" s="24" t="s">
        <v>970</v>
      </c>
      <c r="Q12" s="25">
        <v>2475.0698166666666</v>
      </c>
      <c r="R12" s="24" t="s">
        <v>42</v>
      </c>
      <c r="S12" s="27">
        <v>3189</v>
      </c>
      <c r="T12" s="22" t="s">
        <v>43</v>
      </c>
      <c r="U12" s="20" t="s">
        <v>565</v>
      </c>
      <c r="V12" s="21">
        <v>42793</v>
      </c>
      <c r="W12" s="21">
        <v>42858</v>
      </c>
      <c r="X12" s="48" t="s">
        <v>591</v>
      </c>
      <c r="Y12" s="20" t="s">
        <v>355</v>
      </c>
      <c r="Z12" s="20" t="s">
        <v>47</v>
      </c>
      <c r="AA12" s="40" t="s">
        <v>40</v>
      </c>
      <c r="AB12" s="20" t="s">
        <v>40</v>
      </c>
    </row>
    <row r="13" spans="1:28" s="17" customFormat="1" ht="54">
      <c r="A13" s="20">
        <v>2017</v>
      </c>
      <c r="B13" s="20" t="s">
        <v>64</v>
      </c>
      <c r="C13" s="79" t="s">
        <v>971</v>
      </c>
      <c r="D13" s="26">
        <v>42811</v>
      </c>
      <c r="E13" s="22" t="s">
        <v>972</v>
      </c>
      <c r="F13" s="22" t="s">
        <v>973</v>
      </c>
      <c r="G13" s="23">
        <v>985746.57</v>
      </c>
      <c r="H13" s="22" t="s">
        <v>583</v>
      </c>
      <c r="I13" s="22" t="s">
        <v>974</v>
      </c>
      <c r="J13" s="20" t="s">
        <v>206</v>
      </c>
      <c r="K13" s="20" t="s">
        <v>975</v>
      </c>
      <c r="L13" s="22" t="s">
        <v>976</v>
      </c>
      <c r="M13" s="20" t="s">
        <v>977</v>
      </c>
      <c r="N13" s="23">
        <v>985746.57</v>
      </c>
      <c r="O13" s="77" t="s">
        <v>40</v>
      </c>
      <c r="P13" s="24" t="s">
        <v>231</v>
      </c>
      <c r="Q13" s="25" t="s">
        <v>231</v>
      </c>
      <c r="R13" s="24" t="s">
        <v>232</v>
      </c>
      <c r="S13" s="27" t="s">
        <v>232</v>
      </c>
      <c r="T13" s="22" t="s">
        <v>43</v>
      </c>
      <c r="U13" s="20" t="s">
        <v>565</v>
      </c>
      <c r="V13" s="21">
        <v>42814</v>
      </c>
      <c r="W13" s="21">
        <v>42977</v>
      </c>
      <c r="X13" s="48" t="s">
        <v>978</v>
      </c>
      <c r="Y13" s="20" t="s">
        <v>755</v>
      </c>
      <c r="Z13" s="20" t="s">
        <v>756</v>
      </c>
      <c r="AA13" s="40" t="s">
        <v>40</v>
      </c>
      <c r="AB13" s="20" t="s">
        <v>40</v>
      </c>
    </row>
    <row r="14" spans="1:28" s="17" customFormat="1" ht="40.5">
      <c r="A14" s="20">
        <v>2017</v>
      </c>
      <c r="B14" s="20" t="s">
        <v>64</v>
      </c>
      <c r="C14" s="79" t="s">
        <v>979</v>
      </c>
      <c r="D14" s="26">
        <v>42797</v>
      </c>
      <c r="E14" s="22" t="s">
        <v>980</v>
      </c>
      <c r="F14" s="22" t="s">
        <v>973</v>
      </c>
      <c r="G14" s="23">
        <v>1002698.13</v>
      </c>
      <c r="H14" s="22" t="s">
        <v>231</v>
      </c>
      <c r="I14" s="22" t="s">
        <v>981</v>
      </c>
      <c r="J14" s="20" t="s">
        <v>982</v>
      </c>
      <c r="K14" s="20" t="s">
        <v>983</v>
      </c>
      <c r="L14" s="22" t="s">
        <v>984</v>
      </c>
      <c r="M14" s="20" t="s">
        <v>948</v>
      </c>
      <c r="N14" s="23">
        <v>1002698.13</v>
      </c>
      <c r="O14" s="77" t="s">
        <v>40</v>
      </c>
      <c r="P14" s="24" t="s">
        <v>231</v>
      </c>
      <c r="Q14" s="25" t="s">
        <v>231</v>
      </c>
      <c r="R14" s="24" t="s">
        <v>232</v>
      </c>
      <c r="S14" s="27" t="s">
        <v>232</v>
      </c>
      <c r="T14" s="22" t="s">
        <v>43</v>
      </c>
      <c r="U14" s="20" t="s">
        <v>565</v>
      </c>
      <c r="V14" s="21">
        <v>42814</v>
      </c>
      <c r="W14" s="21">
        <v>42977</v>
      </c>
      <c r="X14" s="48"/>
      <c r="Y14" s="20"/>
      <c r="Z14" s="20"/>
      <c r="AA14" s="40" t="s">
        <v>40</v>
      </c>
      <c r="AB14" s="20" t="s">
        <v>40</v>
      </c>
    </row>
    <row r="15" spans="1:28" s="19" customFormat="1" ht="67.5">
      <c r="A15" s="29">
        <v>2017</v>
      </c>
      <c r="B15" s="29" t="s">
        <v>64</v>
      </c>
      <c r="C15" s="79" t="s">
        <v>985</v>
      </c>
      <c r="D15" s="35">
        <v>42811</v>
      </c>
      <c r="E15" s="31" t="s">
        <v>986</v>
      </c>
      <c r="F15" s="31" t="s">
        <v>973</v>
      </c>
      <c r="G15" s="32">
        <v>472500.2</v>
      </c>
      <c r="H15" s="31" t="s">
        <v>987</v>
      </c>
      <c r="I15" s="31" t="s">
        <v>988</v>
      </c>
      <c r="J15" s="29" t="s">
        <v>989</v>
      </c>
      <c r="K15" s="29" t="s">
        <v>172</v>
      </c>
      <c r="L15" s="31" t="s">
        <v>990</v>
      </c>
      <c r="M15" s="29" t="s">
        <v>991</v>
      </c>
      <c r="N15" s="32">
        <v>472500.2</v>
      </c>
      <c r="O15" s="77" t="s">
        <v>40</v>
      </c>
      <c r="P15" s="33" t="s">
        <v>964</v>
      </c>
      <c r="Q15" s="34">
        <v>472500.2</v>
      </c>
      <c r="R15" s="33" t="s">
        <v>232</v>
      </c>
      <c r="S15" s="37" t="s">
        <v>232</v>
      </c>
      <c r="T15" s="31" t="s">
        <v>43</v>
      </c>
      <c r="U15" s="29" t="s">
        <v>565</v>
      </c>
      <c r="V15" s="30">
        <v>42795</v>
      </c>
      <c r="W15" s="30">
        <v>42886</v>
      </c>
      <c r="X15" s="48"/>
      <c r="Y15" s="29"/>
      <c r="Z15" s="29"/>
      <c r="AA15" s="40" t="s">
        <v>40</v>
      </c>
      <c r="AB15" s="29" t="s">
        <v>40</v>
      </c>
    </row>
    <row r="16" spans="1:28" s="19" customFormat="1" ht="40.5">
      <c r="A16" s="29">
        <v>2017</v>
      </c>
      <c r="B16" s="29" t="s">
        <v>64</v>
      </c>
      <c r="C16" s="79" t="s">
        <v>992</v>
      </c>
      <c r="D16" s="35">
        <v>42811</v>
      </c>
      <c r="E16" s="31" t="s">
        <v>993</v>
      </c>
      <c r="F16" s="31" t="s">
        <v>973</v>
      </c>
      <c r="G16" s="32">
        <v>1045280.32</v>
      </c>
      <c r="H16" s="31" t="s">
        <v>845</v>
      </c>
      <c r="I16" s="31" t="s">
        <v>994</v>
      </c>
      <c r="J16" s="29" t="s">
        <v>995</v>
      </c>
      <c r="K16" s="29" t="s">
        <v>996</v>
      </c>
      <c r="L16" s="31" t="s">
        <v>997</v>
      </c>
      <c r="M16" s="29" t="s">
        <v>636</v>
      </c>
      <c r="N16" s="32">
        <v>1045280.32</v>
      </c>
      <c r="O16" s="77" t="s">
        <v>40</v>
      </c>
      <c r="P16" s="33" t="s">
        <v>998</v>
      </c>
      <c r="Q16" s="34">
        <v>2133.2251428571426</v>
      </c>
      <c r="R16" s="33" t="s">
        <v>42</v>
      </c>
      <c r="S16" s="37">
        <v>6963</v>
      </c>
      <c r="T16" s="31" t="s">
        <v>43</v>
      </c>
      <c r="U16" s="29" t="s">
        <v>565</v>
      </c>
      <c r="V16" s="30">
        <v>42814</v>
      </c>
      <c r="W16" s="30">
        <v>42886</v>
      </c>
      <c r="X16" s="48" t="s">
        <v>999</v>
      </c>
      <c r="Y16" s="29" t="s">
        <v>840</v>
      </c>
      <c r="Z16" s="29" t="s">
        <v>841</v>
      </c>
      <c r="AA16" s="40" t="s">
        <v>40</v>
      </c>
      <c r="AB16" s="29" t="s">
        <v>40</v>
      </c>
    </row>
    <row r="17" spans="1:28" s="19" customFormat="1" ht="54">
      <c r="A17" s="29">
        <v>2017</v>
      </c>
      <c r="B17" s="29" t="s">
        <v>64</v>
      </c>
      <c r="C17" s="79" t="s">
        <v>1000</v>
      </c>
      <c r="D17" s="35">
        <v>42811</v>
      </c>
      <c r="E17" s="31" t="s">
        <v>1001</v>
      </c>
      <c r="F17" s="31" t="s">
        <v>973</v>
      </c>
      <c r="G17" s="32">
        <v>603813.25</v>
      </c>
      <c r="H17" s="31" t="s">
        <v>289</v>
      </c>
      <c r="I17" s="31" t="s">
        <v>1002</v>
      </c>
      <c r="J17" s="29" t="s">
        <v>1003</v>
      </c>
      <c r="K17" s="29" t="s">
        <v>1004</v>
      </c>
      <c r="L17" s="31" t="s">
        <v>1005</v>
      </c>
      <c r="M17" s="29" t="s">
        <v>1006</v>
      </c>
      <c r="N17" s="32">
        <v>603813.25</v>
      </c>
      <c r="O17" s="77" t="s">
        <v>40</v>
      </c>
      <c r="P17" s="33" t="s">
        <v>1007</v>
      </c>
      <c r="Q17" s="34">
        <v>7547.6656249999996</v>
      </c>
      <c r="R17" s="33" t="s">
        <v>42</v>
      </c>
      <c r="S17" s="37">
        <v>2184</v>
      </c>
      <c r="T17" s="31" t="s">
        <v>43</v>
      </c>
      <c r="U17" s="29" t="s">
        <v>565</v>
      </c>
      <c r="V17" s="30">
        <v>42800</v>
      </c>
      <c r="W17" s="30">
        <v>42886</v>
      </c>
      <c r="X17" s="48" t="s">
        <v>1008</v>
      </c>
      <c r="Y17" s="29" t="s">
        <v>305</v>
      </c>
      <c r="Z17" s="29" t="s">
        <v>254</v>
      </c>
      <c r="AA17" s="40" t="s">
        <v>40</v>
      </c>
      <c r="AB17" s="29" t="s">
        <v>40</v>
      </c>
    </row>
    <row r="18" spans="1:28" s="19" customFormat="1" ht="40.5">
      <c r="A18" s="29">
        <v>2017</v>
      </c>
      <c r="B18" s="29" t="s">
        <v>64</v>
      </c>
      <c r="C18" s="79" t="s">
        <v>1009</v>
      </c>
      <c r="D18" s="35">
        <v>42811</v>
      </c>
      <c r="E18" s="31" t="s">
        <v>1010</v>
      </c>
      <c r="F18" s="31" t="s">
        <v>973</v>
      </c>
      <c r="G18" s="32">
        <v>1377688.14</v>
      </c>
      <c r="H18" s="31" t="s">
        <v>289</v>
      </c>
      <c r="I18" s="31" t="s">
        <v>1011</v>
      </c>
      <c r="J18" s="29" t="s">
        <v>1012</v>
      </c>
      <c r="K18" s="29" t="s">
        <v>1013</v>
      </c>
      <c r="L18" s="31" t="s">
        <v>1014</v>
      </c>
      <c r="M18" s="29" t="s">
        <v>1015</v>
      </c>
      <c r="N18" s="32">
        <v>1377688.14</v>
      </c>
      <c r="O18" s="77" t="s">
        <v>40</v>
      </c>
      <c r="P18" s="33" t="s">
        <v>1016</v>
      </c>
      <c r="Q18" s="34">
        <v>34442.203499999996</v>
      </c>
      <c r="R18" s="33" t="s">
        <v>42</v>
      </c>
      <c r="S18" s="37">
        <v>2184</v>
      </c>
      <c r="T18" s="31" t="s">
        <v>43</v>
      </c>
      <c r="U18" s="29" t="s">
        <v>565</v>
      </c>
      <c r="V18" s="30">
        <v>42814</v>
      </c>
      <c r="W18" s="30">
        <v>42886</v>
      </c>
      <c r="X18" s="48" t="s">
        <v>1008</v>
      </c>
      <c r="Y18" s="29" t="s">
        <v>305</v>
      </c>
      <c r="Z18" s="29" t="s">
        <v>254</v>
      </c>
      <c r="AA18" s="40" t="s">
        <v>40</v>
      </c>
      <c r="AB18" s="29" t="s">
        <v>40</v>
      </c>
    </row>
    <row r="19" spans="1:28" s="19" customFormat="1" ht="67.5">
      <c r="A19" s="29">
        <v>2017</v>
      </c>
      <c r="B19" s="29" t="s">
        <v>64</v>
      </c>
      <c r="C19" s="79" t="s">
        <v>1017</v>
      </c>
      <c r="D19" s="35">
        <v>42811</v>
      </c>
      <c r="E19" s="31" t="s">
        <v>1018</v>
      </c>
      <c r="F19" s="31" t="s">
        <v>973</v>
      </c>
      <c r="G19" s="32">
        <v>1502150.14</v>
      </c>
      <c r="H19" s="31" t="s">
        <v>289</v>
      </c>
      <c r="I19" s="31" t="s">
        <v>1019</v>
      </c>
      <c r="J19" s="29" t="s">
        <v>1020</v>
      </c>
      <c r="K19" s="29" t="s">
        <v>1021</v>
      </c>
      <c r="L19" s="31" t="s">
        <v>1022</v>
      </c>
      <c r="M19" s="29" t="s">
        <v>1023</v>
      </c>
      <c r="N19" s="32">
        <v>1502150.14</v>
      </c>
      <c r="O19" s="77" t="s">
        <v>40</v>
      </c>
      <c r="P19" s="33" t="s">
        <v>1024</v>
      </c>
      <c r="Q19" s="34">
        <v>2980.4566269841266</v>
      </c>
      <c r="R19" s="33" t="s">
        <v>42</v>
      </c>
      <c r="S19" s="37">
        <v>2184</v>
      </c>
      <c r="T19" s="31" t="s">
        <v>43</v>
      </c>
      <c r="U19" s="29" t="s">
        <v>565</v>
      </c>
      <c r="V19" s="30">
        <v>42814</v>
      </c>
      <c r="W19" s="30">
        <v>42886</v>
      </c>
      <c r="X19" s="48" t="s">
        <v>1008</v>
      </c>
      <c r="Y19" s="29" t="s">
        <v>305</v>
      </c>
      <c r="Z19" s="29" t="s">
        <v>254</v>
      </c>
      <c r="AA19" s="40" t="s">
        <v>40</v>
      </c>
      <c r="AB19" s="29" t="s">
        <v>40</v>
      </c>
    </row>
    <row r="20" spans="1:28" s="19" customFormat="1" ht="54">
      <c r="A20" s="29">
        <v>2017</v>
      </c>
      <c r="B20" s="29" t="s">
        <v>64</v>
      </c>
      <c r="C20" s="79" t="s">
        <v>1025</v>
      </c>
      <c r="D20" s="35">
        <v>42804</v>
      </c>
      <c r="E20" s="31" t="s">
        <v>1026</v>
      </c>
      <c r="F20" s="31" t="s">
        <v>973</v>
      </c>
      <c r="G20" s="32">
        <v>1415754.87</v>
      </c>
      <c r="H20" s="31" t="s">
        <v>583</v>
      </c>
      <c r="I20" s="31" t="s">
        <v>1027</v>
      </c>
      <c r="J20" s="29" t="s">
        <v>1028</v>
      </c>
      <c r="K20" s="29" t="s">
        <v>1029</v>
      </c>
      <c r="L20" s="31" t="s">
        <v>1030</v>
      </c>
      <c r="M20" s="29" t="s">
        <v>1031</v>
      </c>
      <c r="N20" s="32">
        <v>1415754.87</v>
      </c>
      <c r="O20" s="77" t="s">
        <v>40</v>
      </c>
      <c r="P20" s="33" t="s">
        <v>1032</v>
      </c>
      <c r="Q20" s="34">
        <v>1246.2630897887325</v>
      </c>
      <c r="R20" s="33" t="s">
        <v>42</v>
      </c>
      <c r="S20" s="37">
        <v>1465</v>
      </c>
      <c r="T20" s="31" t="s">
        <v>43</v>
      </c>
      <c r="U20" s="29" t="s">
        <v>565</v>
      </c>
      <c r="V20" s="30">
        <v>42814</v>
      </c>
      <c r="W20" s="30">
        <v>42916</v>
      </c>
      <c r="X20" s="48" t="s">
        <v>1033</v>
      </c>
      <c r="Y20" s="29" t="s">
        <v>807</v>
      </c>
      <c r="Z20" s="29" t="s">
        <v>268</v>
      </c>
      <c r="AA20" s="40" t="s">
        <v>40</v>
      </c>
      <c r="AB20" s="29" t="s">
        <v>40</v>
      </c>
    </row>
    <row r="21" spans="1:28" s="19" customFormat="1" ht="54">
      <c r="A21" s="29">
        <v>2017</v>
      </c>
      <c r="B21" s="29" t="s">
        <v>64</v>
      </c>
      <c r="C21" s="79" t="s">
        <v>1034</v>
      </c>
      <c r="D21" s="35">
        <v>42804</v>
      </c>
      <c r="E21" s="31" t="s">
        <v>1035</v>
      </c>
      <c r="F21" s="31" t="s">
        <v>973</v>
      </c>
      <c r="G21" s="32">
        <v>1358967.17</v>
      </c>
      <c r="H21" s="31" t="s">
        <v>583</v>
      </c>
      <c r="I21" s="31" t="s">
        <v>1036</v>
      </c>
      <c r="J21" s="29" t="s">
        <v>1037</v>
      </c>
      <c r="K21" s="29" t="s">
        <v>1038</v>
      </c>
      <c r="L21" s="31" t="s">
        <v>1039</v>
      </c>
      <c r="M21" s="29" t="s">
        <v>1040</v>
      </c>
      <c r="N21" s="32">
        <v>1358967.17</v>
      </c>
      <c r="O21" s="77" t="s">
        <v>40</v>
      </c>
      <c r="P21" s="33" t="s">
        <v>1041</v>
      </c>
      <c r="Q21" s="34">
        <v>240.01539561992229</v>
      </c>
      <c r="R21" s="33" t="s">
        <v>42</v>
      </c>
      <c r="S21" s="37">
        <v>12983</v>
      </c>
      <c r="T21" s="31" t="s">
        <v>43</v>
      </c>
      <c r="U21" s="29" t="s">
        <v>565</v>
      </c>
      <c r="V21" s="30">
        <v>42814</v>
      </c>
      <c r="W21" s="30">
        <v>42855</v>
      </c>
      <c r="X21" s="48" t="s">
        <v>1042</v>
      </c>
      <c r="Y21" s="29" t="s">
        <v>651</v>
      </c>
      <c r="Z21" s="29" t="s">
        <v>652</v>
      </c>
      <c r="AA21" s="40" t="s">
        <v>40</v>
      </c>
      <c r="AB21" s="29" t="s">
        <v>40</v>
      </c>
    </row>
    <row r="22" spans="1:28" s="19" customFormat="1" ht="108">
      <c r="A22" s="29">
        <v>2017</v>
      </c>
      <c r="B22" s="29" t="s">
        <v>64</v>
      </c>
      <c r="C22" s="79" t="s">
        <v>1043</v>
      </c>
      <c r="D22" s="35">
        <v>42804</v>
      </c>
      <c r="E22" s="31" t="s">
        <v>1044</v>
      </c>
      <c r="F22" s="31" t="s">
        <v>973</v>
      </c>
      <c r="G22" s="32">
        <v>1475115.16</v>
      </c>
      <c r="H22" s="31" t="s">
        <v>583</v>
      </c>
      <c r="I22" s="31" t="s">
        <v>1045</v>
      </c>
      <c r="J22" s="29" t="s">
        <v>1046</v>
      </c>
      <c r="K22" s="29" t="s">
        <v>1047</v>
      </c>
      <c r="L22" s="31" t="s">
        <v>1048</v>
      </c>
      <c r="M22" s="29" t="s">
        <v>1049</v>
      </c>
      <c r="N22" s="32">
        <v>1475115.16</v>
      </c>
      <c r="O22" s="77" t="s">
        <v>40</v>
      </c>
      <c r="P22" s="33" t="s">
        <v>1050</v>
      </c>
      <c r="Q22" s="34">
        <v>212.36901238122658</v>
      </c>
      <c r="R22" s="33" t="s">
        <v>42</v>
      </c>
      <c r="S22" s="37">
        <v>1315</v>
      </c>
      <c r="T22" s="31" t="s">
        <v>43</v>
      </c>
      <c r="U22" s="29" t="s">
        <v>565</v>
      </c>
      <c r="V22" s="30">
        <v>42814</v>
      </c>
      <c r="W22" s="30">
        <v>42916</v>
      </c>
      <c r="X22" s="48" t="s">
        <v>668</v>
      </c>
      <c r="Y22" s="29" t="s">
        <v>88</v>
      </c>
      <c r="Z22" s="29" t="s">
        <v>89</v>
      </c>
      <c r="AA22" s="40" t="s">
        <v>40</v>
      </c>
      <c r="AB22" s="29" t="s">
        <v>40</v>
      </c>
    </row>
    <row r="23" spans="1:28" s="19" customFormat="1" ht="54">
      <c r="A23" s="29">
        <v>2017</v>
      </c>
      <c r="B23" s="29" t="s">
        <v>64</v>
      </c>
      <c r="C23" s="79" t="s">
        <v>1051</v>
      </c>
      <c r="D23" s="35">
        <v>42804</v>
      </c>
      <c r="E23" s="31" t="s">
        <v>1052</v>
      </c>
      <c r="F23" s="31" t="s">
        <v>973</v>
      </c>
      <c r="G23" s="32">
        <v>1515350.23</v>
      </c>
      <c r="H23" s="31" t="s">
        <v>1053</v>
      </c>
      <c r="I23" s="31" t="s">
        <v>1054</v>
      </c>
      <c r="J23" s="29" t="s">
        <v>1055</v>
      </c>
      <c r="K23" s="29" t="s">
        <v>1056</v>
      </c>
      <c r="L23" s="31" t="s">
        <v>1057</v>
      </c>
      <c r="M23" s="29" t="s">
        <v>1058</v>
      </c>
      <c r="N23" s="32">
        <v>1515350.23</v>
      </c>
      <c r="O23" s="77" t="s">
        <v>40</v>
      </c>
      <c r="P23" s="33" t="s">
        <v>1059</v>
      </c>
      <c r="Q23" s="34">
        <v>700.9020490286772</v>
      </c>
      <c r="R23" s="33" t="s">
        <v>42</v>
      </c>
      <c r="S23" s="37">
        <v>4048</v>
      </c>
      <c r="T23" s="31" t="s">
        <v>43</v>
      </c>
      <c r="U23" s="29" t="s">
        <v>565</v>
      </c>
      <c r="V23" s="30">
        <v>42807</v>
      </c>
      <c r="W23" s="30">
        <v>42870</v>
      </c>
      <c r="X23" s="48" t="s">
        <v>1060</v>
      </c>
      <c r="Y23" s="29" t="s">
        <v>1061</v>
      </c>
      <c r="Z23" s="29" t="s">
        <v>462</v>
      </c>
      <c r="AA23" s="40" t="s">
        <v>40</v>
      </c>
      <c r="AB23" s="29" t="s">
        <v>40</v>
      </c>
    </row>
    <row r="24" spans="1:28" s="19" customFormat="1" ht="54">
      <c r="A24" s="29">
        <v>2017</v>
      </c>
      <c r="B24" s="29" t="s">
        <v>64</v>
      </c>
      <c r="C24" s="79" t="s">
        <v>1062</v>
      </c>
      <c r="D24" s="35">
        <v>42804</v>
      </c>
      <c r="E24" s="31" t="s">
        <v>1063</v>
      </c>
      <c r="F24" s="31" t="s">
        <v>973</v>
      </c>
      <c r="G24" s="32">
        <v>1405369.66</v>
      </c>
      <c r="H24" s="36" t="s">
        <v>1064</v>
      </c>
      <c r="I24" s="31" t="s">
        <v>1065</v>
      </c>
      <c r="J24" s="29" t="s">
        <v>1012</v>
      </c>
      <c r="K24" s="29" t="s">
        <v>1066</v>
      </c>
      <c r="L24" s="31" t="s">
        <v>1067</v>
      </c>
      <c r="M24" s="29" t="s">
        <v>534</v>
      </c>
      <c r="N24" s="32">
        <v>1405369.66</v>
      </c>
      <c r="O24" s="77" t="s">
        <v>40</v>
      </c>
      <c r="P24" s="33" t="s">
        <v>1068</v>
      </c>
      <c r="Q24" s="34">
        <v>385.56094924554179</v>
      </c>
      <c r="R24" s="33" t="s">
        <v>42</v>
      </c>
      <c r="S24" s="37">
        <v>11771</v>
      </c>
      <c r="T24" s="31" t="s">
        <v>43</v>
      </c>
      <c r="U24" s="29" t="s">
        <v>565</v>
      </c>
      <c r="V24" s="30">
        <v>42807</v>
      </c>
      <c r="W24" s="30">
        <v>42870</v>
      </c>
      <c r="X24" s="48" t="s">
        <v>1069</v>
      </c>
      <c r="Y24" s="29" t="s">
        <v>545</v>
      </c>
      <c r="Z24" s="29" t="s">
        <v>212</v>
      </c>
      <c r="AA24" s="40" t="s">
        <v>40</v>
      </c>
      <c r="AB24" s="29" t="s">
        <v>40</v>
      </c>
    </row>
    <row r="25" spans="1:28" s="19" customFormat="1" ht="40.5">
      <c r="A25" s="29">
        <v>2017</v>
      </c>
      <c r="B25" s="29" t="s">
        <v>64</v>
      </c>
      <c r="C25" s="79" t="s">
        <v>1070</v>
      </c>
      <c r="D25" s="35">
        <v>42804</v>
      </c>
      <c r="E25" s="31" t="s">
        <v>1071</v>
      </c>
      <c r="F25" s="31" t="s">
        <v>973</v>
      </c>
      <c r="G25" s="32">
        <v>1452877.98</v>
      </c>
      <c r="H25" s="36" t="s">
        <v>1064</v>
      </c>
      <c r="I25" s="31" t="s">
        <v>1065</v>
      </c>
      <c r="J25" s="29" t="s">
        <v>1012</v>
      </c>
      <c r="K25" s="29" t="s">
        <v>930</v>
      </c>
      <c r="L25" s="31" t="s">
        <v>1072</v>
      </c>
      <c r="M25" s="29" t="s">
        <v>1073</v>
      </c>
      <c r="N25" s="32">
        <v>1452877.98</v>
      </c>
      <c r="O25" s="77" t="s">
        <v>40</v>
      </c>
      <c r="P25" s="33" t="s">
        <v>1074</v>
      </c>
      <c r="Q25" s="34">
        <v>5587.9922307692304</v>
      </c>
      <c r="R25" s="33" t="s">
        <v>42</v>
      </c>
      <c r="S25" s="37">
        <v>5836</v>
      </c>
      <c r="T25" s="31" t="s">
        <v>43</v>
      </c>
      <c r="U25" s="29" t="s">
        <v>565</v>
      </c>
      <c r="V25" s="30">
        <v>42807</v>
      </c>
      <c r="W25" s="30">
        <v>42870</v>
      </c>
      <c r="X25" s="48" t="s">
        <v>1069</v>
      </c>
      <c r="Y25" s="29" t="s">
        <v>545</v>
      </c>
      <c r="Z25" s="29" t="s">
        <v>212</v>
      </c>
      <c r="AA25" s="40" t="s">
        <v>40</v>
      </c>
      <c r="AB25" s="29" t="s">
        <v>40</v>
      </c>
    </row>
    <row r="26" spans="1:28" s="19" customFormat="1" ht="40.5">
      <c r="A26" s="29">
        <v>2017</v>
      </c>
      <c r="B26" s="29" t="s">
        <v>64</v>
      </c>
      <c r="C26" s="79" t="s">
        <v>1075</v>
      </c>
      <c r="D26" s="35">
        <v>42804</v>
      </c>
      <c r="E26" s="31" t="s">
        <v>1076</v>
      </c>
      <c r="F26" s="31" t="s">
        <v>973</v>
      </c>
      <c r="G26" s="32">
        <v>1383674.16</v>
      </c>
      <c r="H26" s="36" t="s">
        <v>1077</v>
      </c>
      <c r="I26" s="31" t="s">
        <v>1078</v>
      </c>
      <c r="J26" s="29" t="s">
        <v>1079</v>
      </c>
      <c r="K26" s="29" t="s">
        <v>1080</v>
      </c>
      <c r="L26" s="31" t="s">
        <v>627</v>
      </c>
      <c r="M26" s="29" t="s">
        <v>628</v>
      </c>
      <c r="N26" s="32">
        <v>1383674.16</v>
      </c>
      <c r="O26" s="77" t="s">
        <v>40</v>
      </c>
      <c r="P26" s="33" t="s">
        <v>1081</v>
      </c>
      <c r="Q26" s="34">
        <v>305.9195578156091</v>
      </c>
      <c r="R26" s="33" t="s">
        <v>42</v>
      </c>
      <c r="S26" s="37">
        <v>13284</v>
      </c>
      <c r="T26" s="31" t="s">
        <v>43</v>
      </c>
      <c r="U26" s="29" t="s">
        <v>565</v>
      </c>
      <c r="V26" s="30">
        <v>42807</v>
      </c>
      <c r="W26" s="30">
        <v>42870</v>
      </c>
      <c r="X26" s="48" t="s">
        <v>1082</v>
      </c>
      <c r="Y26" s="29" t="s">
        <v>383</v>
      </c>
      <c r="Z26" s="29" t="s">
        <v>300</v>
      </c>
      <c r="AA26" s="40" t="s">
        <v>40</v>
      </c>
      <c r="AB26" s="29" t="s">
        <v>40</v>
      </c>
    </row>
    <row r="27" spans="1:28" s="19" customFormat="1" ht="54">
      <c r="A27" s="29">
        <v>2017</v>
      </c>
      <c r="B27" s="29" t="s">
        <v>64</v>
      </c>
      <c r="C27" s="79" t="s">
        <v>1083</v>
      </c>
      <c r="D27" s="35">
        <v>42811</v>
      </c>
      <c r="E27" s="31" t="s">
        <v>1084</v>
      </c>
      <c r="F27" s="31" t="s">
        <v>973</v>
      </c>
      <c r="G27" s="32">
        <v>1475823.51</v>
      </c>
      <c r="H27" s="36" t="s">
        <v>1085</v>
      </c>
      <c r="I27" s="31" t="s">
        <v>1086</v>
      </c>
      <c r="J27" s="29" t="s">
        <v>1087</v>
      </c>
      <c r="K27" s="29" t="s">
        <v>1021</v>
      </c>
      <c r="L27" s="31" t="s">
        <v>1088</v>
      </c>
      <c r="M27" s="29" t="s">
        <v>1089</v>
      </c>
      <c r="N27" s="32">
        <v>1475823.51</v>
      </c>
      <c r="O27" s="77" t="s">
        <v>40</v>
      </c>
      <c r="P27" s="33" t="s">
        <v>970</v>
      </c>
      <c r="Q27" s="34">
        <v>2459.7058499999998</v>
      </c>
      <c r="R27" s="33" t="s">
        <v>42</v>
      </c>
      <c r="S27" s="37">
        <v>2093</v>
      </c>
      <c r="T27" s="31" t="s">
        <v>43</v>
      </c>
      <c r="U27" s="29" t="s">
        <v>565</v>
      </c>
      <c r="V27" s="30">
        <v>42807</v>
      </c>
      <c r="W27" s="30">
        <v>42870</v>
      </c>
      <c r="X27" s="48" t="s">
        <v>785</v>
      </c>
      <c r="Y27" s="29" t="s">
        <v>76</v>
      </c>
      <c r="Z27" s="29" t="s">
        <v>344</v>
      </c>
      <c r="AA27" s="40" t="s">
        <v>40</v>
      </c>
      <c r="AB27" s="29" t="s">
        <v>40</v>
      </c>
    </row>
    <row r="28" spans="1:28" s="19" customFormat="1" ht="40.5">
      <c r="A28" s="29">
        <v>2017</v>
      </c>
      <c r="B28" s="29" t="s">
        <v>64</v>
      </c>
      <c r="C28" s="79" t="s">
        <v>1090</v>
      </c>
      <c r="D28" s="35">
        <v>42811</v>
      </c>
      <c r="E28" s="31" t="s">
        <v>1091</v>
      </c>
      <c r="F28" s="31" t="s">
        <v>973</v>
      </c>
      <c r="G28" s="32">
        <v>1350254.48</v>
      </c>
      <c r="H28" s="31" t="s">
        <v>583</v>
      </c>
      <c r="I28" s="31" t="s">
        <v>1092</v>
      </c>
      <c r="J28" s="29" t="s">
        <v>1093</v>
      </c>
      <c r="K28" s="29" t="s">
        <v>1094</v>
      </c>
      <c r="L28" s="31" t="s">
        <v>1095</v>
      </c>
      <c r="M28" s="29" t="s">
        <v>1096</v>
      </c>
      <c r="N28" s="32">
        <v>1350254.48</v>
      </c>
      <c r="O28" s="77" t="s">
        <v>40</v>
      </c>
      <c r="P28" s="33" t="s">
        <v>1097</v>
      </c>
      <c r="Q28" s="34">
        <v>2099.9292068429236</v>
      </c>
      <c r="R28" s="33" t="s">
        <v>42</v>
      </c>
      <c r="S28" s="37">
        <v>4588</v>
      </c>
      <c r="T28" s="31" t="s">
        <v>43</v>
      </c>
      <c r="U28" s="29" t="s">
        <v>565</v>
      </c>
      <c r="V28" s="30">
        <v>42807</v>
      </c>
      <c r="W28" s="30">
        <v>42931</v>
      </c>
      <c r="X28" s="48" t="s">
        <v>999</v>
      </c>
      <c r="Y28" s="29" t="s">
        <v>840</v>
      </c>
      <c r="Z28" s="29" t="s">
        <v>841</v>
      </c>
      <c r="AA28" s="40" t="s">
        <v>40</v>
      </c>
      <c r="AB28" s="29" t="s">
        <v>40</v>
      </c>
    </row>
    <row r="29" spans="1:28" s="19" customFormat="1" ht="40.5">
      <c r="A29" s="29">
        <v>2017</v>
      </c>
      <c r="B29" s="29" t="s">
        <v>64</v>
      </c>
      <c r="C29" s="79" t="s">
        <v>1098</v>
      </c>
      <c r="D29" s="35">
        <v>42811</v>
      </c>
      <c r="E29" s="31" t="s">
        <v>1099</v>
      </c>
      <c r="F29" s="31" t="s">
        <v>973</v>
      </c>
      <c r="G29" s="32">
        <v>1510624.8</v>
      </c>
      <c r="H29" s="31" t="s">
        <v>1100</v>
      </c>
      <c r="I29" s="31" t="s">
        <v>1101</v>
      </c>
      <c r="J29" s="29" t="s">
        <v>1102</v>
      </c>
      <c r="K29" s="29" t="s">
        <v>1103</v>
      </c>
      <c r="L29" s="31" t="s">
        <v>1104</v>
      </c>
      <c r="M29" s="29" t="s">
        <v>1105</v>
      </c>
      <c r="N29" s="32">
        <v>1510624.8</v>
      </c>
      <c r="O29" s="77" t="s">
        <v>40</v>
      </c>
      <c r="P29" s="33" t="s">
        <v>1106</v>
      </c>
      <c r="Q29" s="34">
        <v>503541.60000000003</v>
      </c>
      <c r="R29" s="33" t="s">
        <v>42</v>
      </c>
      <c r="S29" s="37">
        <v>1332272</v>
      </c>
      <c r="T29" s="31" t="s">
        <v>43</v>
      </c>
      <c r="U29" s="29" t="s">
        <v>565</v>
      </c>
      <c r="V29" s="30">
        <v>42807</v>
      </c>
      <c r="W29" s="30">
        <v>42870</v>
      </c>
      <c r="X29" s="48" t="s">
        <v>699</v>
      </c>
      <c r="Y29" s="29" t="s">
        <v>513</v>
      </c>
      <c r="Z29" s="29" t="s">
        <v>280</v>
      </c>
      <c r="AA29" s="40" t="s">
        <v>40</v>
      </c>
      <c r="AB29" s="29" t="s">
        <v>40</v>
      </c>
    </row>
    <row r="30" spans="1:28" s="19" customFormat="1" ht="67.5">
      <c r="A30" s="29">
        <v>2017</v>
      </c>
      <c r="B30" s="29" t="s">
        <v>64</v>
      </c>
      <c r="C30" s="79" t="s">
        <v>1107</v>
      </c>
      <c r="D30" s="35">
        <v>42797</v>
      </c>
      <c r="E30" s="31" t="s">
        <v>1108</v>
      </c>
      <c r="F30" s="31" t="s">
        <v>973</v>
      </c>
      <c r="G30" s="32">
        <v>917334.92</v>
      </c>
      <c r="H30" s="31" t="s">
        <v>1109</v>
      </c>
      <c r="I30" s="31" t="s">
        <v>1110</v>
      </c>
      <c r="J30" s="29" t="s">
        <v>1111</v>
      </c>
      <c r="K30" s="29" t="s">
        <v>1112</v>
      </c>
      <c r="L30" s="31" t="s">
        <v>1113</v>
      </c>
      <c r="M30" s="29" t="s">
        <v>1114</v>
      </c>
      <c r="N30" s="32">
        <v>917334.92</v>
      </c>
      <c r="O30" s="77" t="s">
        <v>40</v>
      </c>
      <c r="P30" s="33" t="s">
        <v>1115</v>
      </c>
      <c r="Q30" s="34">
        <v>9863.8163440860226</v>
      </c>
      <c r="R30" s="33" t="s">
        <v>42</v>
      </c>
      <c r="S30" s="37">
        <v>6285</v>
      </c>
      <c r="T30" s="31" t="s">
        <v>43</v>
      </c>
      <c r="U30" s="29" t="s">
        <v>565</v>
      </c>
      <c r="V30" s="30">
        <v>42814</v>
      </c>
      <c r="W30" s="30">
        <v>42885</v>
      </c>
      <c r="X30" s="48" t="s">
        <v>1116</v>
      </c>
      <c r="Y30" s="29" t="s">
        <v>1117</v>
      </c>
      <c r="Z30" s="29" t="s">
        <v>1118</v>
      </c>
      <c r="AA30" s="40" t="s">
        <v>40</v>
      </c>
      <c r="AB30" s="29" t="s">
        <v>40</v>
      </c>
    </row>
    <row r="31" spans="1:28" s="19" customFormat="1" ht="67.5">
      <c r="A31" s="29">
        <v>2017</v>
      </c>
      <c r="B31" s="29" t="s">
        <v>64</v>
      </c>
      <c r="C31" s="79" t="s">
        <v>1119</v>
      </c>
      <c r="D31" s="35">
        <v>42811</v>
      </c>
      <c r="E31" s="31" t="s">
        <v>1120</v>
      </c>
      <c r="F31" s="31" t="s">
        <v>973</v>
      </c>
      <c r="G31" s="32">
        <v>1357288.84</v>
      </c>
      <c r="H31" s="36" t="s">
        <v>1121</v>
      </c>
      <c r="I31" s="31" t="s">
        <v>1122</v>
      </c>
      <c r="J31" s="29" t="s">
        <v>1123</v>
      </c>
      <c r="K31" s="29" t="s">
        <v>1124</v>
      </c>
      <c r="L31" s="31" t="s">
        <v>1125</v>
      </c>
      <c r="M31" s="29" t="s">
        <v>1126</v>
      </c>
      <c r="N31" s="32">
        <v>1357288.84</v>
      </c>
      <c r="O31" s="77" t="s">
        <v>40</v>
      </c>
      <c r="P31" s="33" t="s">
        <v>1127</v>
      </c>
      <c r="Q31" s="34">
        <v>1409.4380477673938</v>
      </c>
      <c r="R31" s="33" t="s">
        <v>42</v>
      </c>
      <c r="S31" s="37">
        <v>759</v>
      </c>
      <c r="T31" s="31" t="s">
        <v>43</v>
      </c>
      <c r="U31" s="29" t="s">
        <v>565</v>
      </c>
      <c r="V31" s="30">
        <v>42814</v>
      </c>
      <c r="W31" s="30">
        <v>42901</v>
      </c>
      <c r="X31" s="48" t="s">
        <v>1128</v>
      </c>
      <c r="Y31" s="29" t="s">
        <v>88</v>
      </c>
      <c r="Z31" s="29" t="s">
        <v>89</v>
      </c>
      <c r="AA31" s="40" t="s">
        <v>40</v>
      </c>
      <c r="AB31" s="29" t="s">
        <v>40</v>
      </c>
    </row>
    <row r="32" spans="1:28" s="28" customFormat="1" ht="67.5">
      <c r="A32" s="38">
        <v>2017</v>
      </c>
      <c r="B32" s="38" t="s">
        <v>64</v>
      </c>
      <c r="C32" s="79" t="s">
        <v>1129</v>
      </c>
      <c r="D32" s="44">
        <v>42811</v>
      </c>
      <c r="E32" s="40" t="s">
        <v>1130</v>
      </c>
      <c r="F32" s="40" t="s">
        <v>973</v>
      </c>
      <c r="G32" s="41">
        <v>1374368.14</v>
      </c>
      <c r="H32" s="45" t="s">
        <v>80</v>
      </c>
      <c r="I32" s="40" t="s">
        <v>1131</v>
      </c>
      <c r="J32" s="38" t="s">
        <v>1132</v>
      </c>
      <c r="K32" s="38" t="s">
        <v>996</v>
      </c>
      <c r="L32" s="40" t="s">
        <v>1133</v>
      </c>
      <c r="M32" s="38" t="s">
        <v>1134</v>
      </c>
      <c r="N32" s="41">
        <v>1374368.14</v>
      </c>
      <c r="O32" s="77" t="s">
        <v>40</v>
      </c>
      <c r="P32" s="42" t="s">
        <v>1135</v>
      </c>
      <c r="Q32" s="43">
        <v>1409.6083487179485</v>
      </c>
      <c r="R32" s="42" t="s">
        <v>42</v>
      </c>
      <c r="S32" s="46">
        <v>1372</v>
      </c>
      <c r="T32" s="40" t="s">
        <v>43</v>
      </c>
      <c r="U32" s="38" t="s">
        <v>565</v>
      </c>
      <c r="V32" s="39">
        <v>42814</v>
      </c>
      <c r="W32" s="39">
        <v>42901</v>
      </c>
      <c r="X32" s="48" t="s">
        <v>1128</v>
      </c>
      <c r="Y32" s="38" t="s">
        <v>88</v>
      </c>
      <c r="Z32" s="38" t="s">
        <v>89</v>
      </c>
      <c r="AA32" s="40" t="s">
        <v>40</v>
      </c>
      <c r="AB32" s="38" t="s">
        <v>40</v>
      </c>
    </row>
    <row r="33" spans="1:28" s="28" customFormat="1" ht="40.5">
      <c r="A33" s="38">
        <v>2017</v>
      </c>
      <c r="B33" s="38" t="s">
        <v>64</v>
      </c>
      <c r="C33" s="79" t="s">
        <v>1136</v>
      </c>
      <c r="D33" s="44">
        <v>42811</v>
      </c>
      <c r="E33" s="40" t="s">
        <v>1137</v>
      </c>
      <c r="F33" s="40" t="s">
        <v>973</v>
      </c>
      <c r="G33" s="41">
        <v>975338.12</v>
      </c>
      <c r="H33" s="40" t="s">
        <v>231</v>
      </c>
      <c r="I33" s="40" t="s">
        <v>1138</v>
      </c>
      <c r="J33" s="38" t="s">
        <v>1139</v>
      </c>
      <c r="K33" s="38" t="s">
        <v>1140</v>
      </c>
      <c r="L33" s="40" t="s">
        <v>1141</v>
      </c>
      <c r="M33" s="38" t="s">
        <v>1142</v>
      </c>
      <c r="N33" s="41">
        <v>975338.12</v>
      </c>
      <c r="O33" s="77" t="s">
        <v>40</v>
      </c>
      <c r="P33" s="42" t="s">
        <v>231</v>
      </c>
      <c r="Q33" s="43" t="s">
        <v>231</v>
      </c>
      <c r="R33" s="42" t="s">
        <v>232</v>
      </c>
      <c r="S33" s="46" t="s">
        <v>232</v>
      </c>
      <c r="T33" s="40" t="s">
        <v>43</v>
      </c>
      <c r="U33" s="38" t="s">
        <v>565</v>
      </c>
      <c r="V33" s="39">
        <v>42800</v>
      </c>
      <c r="W33" s="39">
        <v>42978</v>
      </c>
      <c r="X33" s="48" t="s">
        <v>1143</v>
      </c>
      <c r="Y33" s="38" t="s">
        <v>595</v>
      </c>
      <c r="Z33" s="38" t="s">
        <v>596</v>
      </c>
      <c r="AA33" s="40" t="s">
        <v>40</v>
      </c>
      <c r="AB33" s="38" t="s">
        <v>40</v>
      </c>
    </row>
    <row r="34" spans="1:28" s="28" customFormat="1" ht="94.5">
      <c r="A34" s="38">
        <v>2017</v>
      </c>
      <c r="B34" s="38" t="s">
        <v>64</v>
      </c>
      <c r="C34" s="79" t="s">
        <v>1144</v>
      </c>
      <c r="D34" s="44">
        <v>42811</v>
      </c>
      <c r="E34" s="40" t="s">
        <v>1145</v>
      </c>
      <c r="F34" s="40" t="s">
        <v>67</v>
      </c>
      <c r="G34" s="41">
        <v>1115083.45</v>
      </c>
      <c r="H34" s="40" t="s">
        <v>1146</v>
      </c>
      <c r="I34" s="40" t="s">
        <v>1147</v>
      </c>
      <c r="J34" s="38" t="s">
        <v>1148</v>
      </c>
      <c r="K34" s="38" t="s">
        <v>1149</v>
      </c>
      <c r="L34" s="40" t="s">
        <v>1150</v>
      </c>
      <c r="M34" s="38" t="s">
        <v>97</v>
      </c>
      <c r="N34" s="41">
        <v>1115083.45</v>
      </c>
      <c r="O34" s="77" t="s">
        <v>40</v>
      </c>
      <c r="P34" s="42" t="s">
        <v>1151</v>
      </c>
      <c r="Q34" s="43">
        <v>232.30905208333331</v>
      </c>
      <c r="R34" s="42" t="s">
        <v>42</v>
      </c>
      <c r="S34" s="46">
        <v>6694</v>
      </c>
      <c r="T34" s="40" t="s">
        <v>43</v>
      </c>
      <c r="U34" s="38" t="s">
        <v>565</v>
      </c>
      <c r="V34" s="39">
        <v>42814</v>
      </c>
      <c r="W34" s="39">
        <v>42855</v>
      </c>
      <c r="X34" s="48" t="s">
        <v>530</v>
      </c>
      <c r="Y34" s="38" t="s">
        <v>343</v>
      </c>
      <c r="Z34" s="38" t="s">
        <v>344</v>
      </c>
      <c r="AA34" s="40" t="s">
        <v>40</v>
      </c>
      <c r="AB34" s="38" t="s">
        <v>40</v>
      </c>
    </row>
    <row r="35" spans="1:28" s="28" customFormat="1" ht="81">
      <c r="A35" s="38">
        <v>2017</v>
      </c>
      <c r="B35" s="38" t="s">
        <v>64</v>
      </c>
      <c r="C35" s="79" t="s">
        <v>1152</v>
      </c>
      <c r="D35" s="44">
        <v>42811</v>
      </c>
      <c r="E35" s="40" t="s">
        <v>1153</v>
      </c>
      <c r="F35" s="40" t="s">
        <v>67</v>
      </c>
      <c r="G35" s="41">
        <v>1498750.24</v>
      </c>
      <c r="H35" s="40" t="s">
        <v>1154</v>
      </c>
      <c r="I35" s="40" t="s">
        <v>1155</v>
      </c>
      <c r="J35" s="38" t="s">
        <v>1156</v>
      </c>
      <c r="K35" s="38" t="s">
        <v>1157</v>
      </c>
      <c r="L35" s="40" t="s">
        <v>1158</v>
      </c>
      <c r="M35" s="38" t="s">
        <v>1159</v>
      </c>
      <c r="N35" s="41">
        <v>1498750.24</v>
      </c>
      <c r="O35" s="77" t="s">
        <v>40</v>
      </c>
      <c r="P35" s="42" t="s">
        <v>1160</v>
      </c>
      <c r="Q35" s="43">
        <v>374.68756000000002</v>
      </c>
      <c r="R35" s="42" t="s">
        <v>42</v>
      </c>
      <c r="S35" s="46">
        <v>10549</v>
      </c>
      <c r="T35" s="40" t="s">
        <v>43</v>
      </c>
      <c r="U35" s="38" t="s">
        <v>565</v>
      </c>
      <c r="V35" s="39">
        <v>42814</v>
      </c>
      <c r="W35" s="39">
        <v>42855</v>
      </c>
      <c r="X35" s="48" t="s">
        <v>572</v>
      </c>
      <c r="Y35" s="38" t="s">
        <v>573</v>
      </c>
      <c r="Z35" s="38" t="s">
        <v>574</v>
      </c>
      <c r="AA35" s="40" t="s">
        <v>40</v>
      </c>
      <c r="AB35" s="38" t="s">
        <v>40</v>
      </c>
    </row>
    <row r="36" spans="1:28" s="28" customFormat="1" ht="54">
      <c r="A36" s="38">
        <v>2017</v>
      </c>
      <c r="B36" s="38" t="s">
        <v>64</v>
      </c>
      <c r="C36" s="79" t="s">
        <v>1161</v>
      </c>
      <c r="D36" s="44">
        <v>42811</v>
      </c>
      <c r="E36" s="40" t="s">
        <v>1162</v>
      </c>
      <c r="F36" s="40" t="s">
        <v>67</v>
      </c>
      <c r="G36" s="41">
        <v>1015789.16</v>
      </c>
      <c r="H36" s="40" t="s">
        <v>583</v>
      </c>
      <c r="I36" s="40" t="s">
        <v>1147</v>
      </c>
      <c r="J36" s="38" t="s">
        <v>1163</v>
      </c>
      <c r="K36" s="38" t="s">
        <v>1164</v>
      </c>
      <c r="L36" s="40" t="s">
        <v>1165</v>
      </c>
      <c r="M36" s="38" t="s">
        <v>1166</v>
      </c>
      <c r="N36" s="41">
        <v>1015789.16</v>
      </c>
      <c r="O36" s="77" t="s">
        <v>40</v>
      </c>
      <c r="P36" s="42" t="s">
        <v>1167</v>
      </c>
      <c r="Q36" s="43">
        <v>240.02579395085067</v>
      </c>
      <c r="R36" s="42" t="s">
        <v>42</v>
      </c>
      <c r="S36" s="46">
        <v>3523</v>
      </c>
      <c r="T36" s="40" t="s">
        <v>43</v>
      </c>
      <c r="U36" s="38" t="s">
        <v>565</v>
      </c>
      <c r="V36" s="39">
        <v>42814</v>
      </c>
      <c r="W36" s="39">
        <v>42901</v>
      </c>
      <c r="X36" s="48" t="s">
        <v>1168</v>
      </c>
      <c r="Y36" s="38" t="s">
        <v>132</v>
      </c>
      <c r="Z36" s="38" t="s">
        <v>133</v>
      </c>
      <c r="AA36" s="40" t="s">
        <v>40</v>
      </c>
      <c r="AB36" s="38" t="s">
        <v>40</v>
      </c>
    </row>
    <row r="37" spans="1:28" s="28" customFormat="1" ht="40.5">
      <c r="A37" s="38">
        <v>2017</v>
      </c>
      <c r="B37" s="38" t="s">
        <v>64</v>
      </c>
      <c r="C37" s="79" t="s">
        <v>1169</v>
      </c>
      <c r="D37" s="44">
        <v>42811</v>
      </c>
      <c r="E37" s="40" t="s">
        <v>1170</v>
      </c>
      <c r="F37" s="40" t="s">
        <v>67</v>
      </c>
      <c r="G37" s="41">
        <v>954124.73</v>
      </c>
      <c r="H37" s="40" t="s">
        <v>396</v>
      </c>
      <c r="I37" s="40" t="s">
        <v>1171</v>
      </c>
      <c r="J37" s="38" t="s">
        <v>1172</v>
      </c>
      <c r="K37" s="38" t="s">
        <v>1173</v>
      </c>
      <c r="L37" s="40" t="s">
        <v>1174</v>
      </c>
      <c r="M37" s="38" t="s">
        <v>1175</v>
      </c>
      <c r="N37" s="41">
        <v>954124.73</v>
      </c>
      <c r="O37" s="77" t="s">
        <v>40</v>
      </c>
      <c r="P37" s="42" t="s">
        <v>1176</v>
      </c>
      <c r="Q37" s="43">
        <v>239.97100855130785</v>
      </c>
      <c r="R37" s="42" t="s">
        <v>42</v>
      </c>
      <c r="S37" s="46">
        <v>9195</v>
      </c>
      <c r="T37" s="40" t="s">
        <v>43</v>
      </c>
      <c r="U37" s="38" t="s">
        <v>565</v>
      </c>
      <c r="V37" s="39">
        <v>42814</v>
      </c>
      <c r="W37" s="39">
        <v>42855</v>
      </c>
      <c r="X37" s="48" t="s">
        <v>586</v>
      </c>
      <c r="Y37" s="38" t="s">
        <v>404</v>
      </c>
      <c r="Z37" s="38" t="s">
        <v>405</v>
      </c>
      <c r="AA37" s="40" t="s">
        <v>40</v>
      </c>
      <c r="AB37" s="38" t="s">
        <v>40</v>
      </c>
    </row>
    <row r="38" spans="1:28" s="28" customFormat="1" ht="94.5">
      <c r="A38" s="38">
        <v>2017</v>
      </c>
      <c r="B38" s="38" t="s">
        <v>64</v>
      </c>
      <c r="C38" s="79" t="s">
        <v>1177</v>
      </c>
      <c r="D38" s="44">
        <v>42804</v>
      </c>
      <c r="E38" s="40" t="s">
        <v>1178</v>
      </c>
      <c r="F38" s="40" t="s">
        <v>67</v>
      </c>
      <c r="G38" s="41">
        <v>1401225.41</v>
      </c>
      <c r="H38" s="40" t="s">
        <v>1179</v>
      </c>
      <c r="I38" s="40" t="s">
        <v>1180</v>
      </c>
      <c r="J38" s="38" t="s">
        <v>931</v>
      </c>
      <c r="K38" s="38" t="s">
        <v>1181</v>
      </c>
      <c r="L38" s="40" t="s">
        <v>1182</v>
      </c>
      <c r="M38" s="38" t="s">
        <v>1183</v>
      </c>
      <c r="N38" s="41">
        <v>1401225.41</v>
      </c>
      <c r="O38" s="77" t="s">
        <v>40</v>
      </c>
      <c r="P38" s="42" t="s">
        <v>1184</v>
      </c>
      <c r="Q38" s="43">
        <v>1548.3153701657457</v>
      </c>
      <c r="R38" s="42" t="s">
        <v>42</v>
      </c>
      <c r="S38" s="46">
        <v>8178</v>
      </c>
      <c r="T38" s="40" t="s">
        <v>43</v>
      </c>
      <c r="U38" s="38" t="s">
        <v>565</v>
      </c>
      <c r="V38" s="39">
        <v>42814</v>
      </c>
      <c r="W38" s="39">
        <v>42855</v>
      </c>
      <c r="X38" s="48" t="s">
        <v>1069</v>
      </c>
      <c r="Y38" s="38" t="s">
        <v>545</v>
      </c>
      <c r="Z38" s="38" t="s">
        <v>212</v>
      </c>
      <c r="AA38" s="40" t="s">
        <v>40</v>
      </c>
      <c r="AB38" s="38" t="s">
        <v>40</v>
      </c>
    </row>
    <row r="39" spans="1:28" s="28" customFormat="1" ht="54">
      <c r="A39" s="38">
        <v>2017</v>
      </c>
      <c r="B39" s="38" t="s">
        <v>64</v>
      </c>
      <c r="C39" s="79" t="s">
        <v>1185</v>
      </c>
      <c r="D39" s="44">
        <v>42811</v>
      </c>
      <c r="E39" s="40" t="s">
        <v>1186</v>
      </c>
      <c r="F39" s="40" t="s">
        <v>67</v>
      </c>
      <c r="G39" s="41">
        <v>385367</v>
      </c>
      <c r="H39" s="40" t="s">
        <v>1187</v>
      </c>
      <c r="I39" s="40" t="s">
        <v>1188</v>
      </c>
      <c r="J39" s="38" t="s">
        <v>1189</v>
      </c>
      <c r="K39" s="38" t="s">
        <v>1190</v>
      </c>
      <c r="L39" s="40" t="s">
        <v>1191</v>
      </c>
      <c r="M39" s="38" t="s">
        <v>1192</v>
      </c>
      <c r="N39" s="41">
        <v>385367</v>
      </c>
      <c r="O39" s="77" t="s">
        <v>40</v>
      </c>
      <c r="P39" s="42" t="s">
        <v>1193</v>
      </c>
      <c r="Q39" s="43">
        <v>1541.4680000000001</v>
      </c>
      <c r="R39" s="42" t="s">
        <v>42</v>
      </c>
      <c r="S39" s="46">
        <v>17992</v>
      </c>
      <c r="T39" s="40" t="s">
        <v>43</v>
      </c>
      <c r="U39" s="38" t="s">
        <v>565</v>
      </c>
      <c r="V39" s="39">
        <v>42814</v>
      </c>
      <c r="W39" s="39">
        <v>42870</v>
      </c>
      <c r="X39" s="48" t="s">
        <v>1194</v>
      </c>
      <c r="Y39" s="38" t="s">
        <v>383</v>
      </c>
      <c r="Z39" s="38" t="s">
        <v>300</v>
      </c>
      <c r="AA39" s="40" t="s">
        <v>40</v>
      </c>
      <c r="AB39" s="38" t="s">
        <v>40</v>
      </c>
    </row>
    <row r="40" spans="1:28" s="28" customFormat="1" ht="40.5">
      <c r="A40" s="38">
        <v>2017</v>
      </c>
      <c r="B40" s="38" t="s">
        <v>64</v>
      </c>
      <c r="C40" s="79" t="s">
        <v>1195</v>
      </c>
      <c r="D40" s="44">
        <v>42811</v>
      </c>
      <c r="E40" s="40" t="s">
        <v>1196</v>
      </c>
      <c r="F40" s="40" t="s">
        <v>67</v>
      </c>
      <c r="G40" s="41">
        <v>1301166.0900000001</v>
      </c>
      <c r="H40" s="40" t="s">
        <v>1197</v>
      </c>
      <c r="I40" s="40" t="s">
        <v>1036</v>
      </c>
      <c r="J40" s="38" t="s">
        <v>1037</v>
      </c>
      <c r="K40" s="38" t="s">
        <v>1038</v>
      </c>
      <c r="L40" s="40" t="s">
        <v>1198</v>
      </c>
      <c r="M40" s="38" t="s">
        <v>1199</v>
      </c>
      <c r="N40" s="41">
        <v>1301166.0900000001</v>
      </c>
      <c r="O40" s="77" t="s">
        <v>40</v>
      </c>
      <c r="P40" s="42" t="s">
        <v>1200</v>
      </c>
      <c r="Q40" s="43">
        <v>1369.6485157894738</v>
      </c>
      <c r="R40" s="42" t="s">
        <v>42</v>
      </c>
      <c r="S40" s="46">
        <v>8546</v>
      </c>
      <c r="T40" s="40" t="s">
        <v>43</v>
      </c>
      <c r="U40" s="38" t="s">
        <v>565</v>
      </c>
      <c r="V40" s="39">
        <v>42814</v>
      </c>
      <c r="W40" s="39">
        <v>42865</v>
      </c>
      <c r="X40" s="48" t="s">
        <v>1194</v>
      </c>
      <c r="Y40" s="38" t="s">
        <v>383</v>
      </c>
      <c r="Z40" s="38" t="s">
        <v>300</v>
      </c>
      <c r="AA40" s="40" t="s">
        <v>40</v>
      </c>
      <c r="AB40" s="38" t="s">
        <v>40</v>
      </c>
    </row>
    <row r="41" spans="1:28" s="28" customFormat="1" ht="67.5">
      <c r="A41" s="38">
        <v>2017</v>
      </c>
      <c r="B41" s="38" t="s">
        <v>64</v>
      </c>
      <c r="C41" s="79" t="s">
        <v>1201</v>
      </c>
      <c r="D41" s="44">
        <v>42804</v>
      </c>
      <c r="E41" s="40" t="s">
        <v>1202</v>
      </c>
      <c r="F41" s="40" t="s">
        <v>67</v>
      </c>
      <c r="G41" s="41">
        <v>1112558.02</v>
      </c>
      <c r="H41" s="40" t="s">
        <v>910</v>
      </c>
      <c r="I41" s="40" t="s">
        <v>1203</v>
      </c>
      <c r="J41" s="38" t="s">
        <v>1204</v>
      </c>
      <c r="K41" s="38" t="s">
        <v>1205</v>
      </c>
      <c r="L41" s="40" t="s">
        <v>1206</v>
      </c>
      <c r="M41" s="38" t="s">
        <v>59</v>
      </c>
      <c r="N41" s="41">
        <v>1112558.02</v>
      </c>
      <c r="O41" s="77" t="s">
        <v>40</v>
      </c>
      <c r="P41" s="42" t="s">
        <v>673</v>
      </c>
      <c r="Q41" s="43">
        <v>2966.8213866666665</v>
      </c>
      <c r="R41" s="42" t="s">
        <v>42</v>
      </c>
      <c r="S41" s="46">
        <v>2492</v>
      </c>
      <c r="T41" s="40" t="s">
        <v>43</v>
      </c>
      <c r="U41" s="38" t="s">
        <v>565</v>
      </c>
      <c r="V41" s="39">
        <v>42807</v>
      </c>
      <c r="W41" s="39">
        <v>42855</v>
      </c>
      <c r="X41" s="48" t="s">
        <v>556</v>
      </c>
      <c r="Y41" s="38" t="s">
        <v>557</v>
      </c>
      <c r="Z41" s="38" t="s">
        <v>558</v>
      </c>
      <c r="AA41" s="40" t="s">
        <v>40</v>
      </c>
      <c r="AB41" s="38" t="s">
        <v>40</v>
      </c>
    </row>
    <row r="42" spans="1:28" s="28" customFormat="1" ht="54">
      <c r="A42" s="38">
        <v>2017</v>
      </c>
      <c r="B42" s="38" t="s">
        <v>64</v>
      </c>
      <c r="C42" s="79" t="s">
        <v>1207</v>
      </c>
      <c r="D42" s="44">
        <v>42866</v>
      </c>
      <c r="E42" s="40" t="s">
        <v>1208</v>
      </c>
      <c r="F42" s="40" t="s">
        <v>67</v>
      </c>
      <c r="G42" s="41">
        <v>1215075.44</v>
      </c>
      <c r="H42" s="40" t="s">
        <v>583</v>
      </c>
      <c r="I42" s="40" t="s">
        <v>1209</v>
      </c>
      <c r="J42" s="38" t="s">
        <v>1210</v>
      </c>
      <c r="K42" s="38" t="s">
        <v>1047</v>
      </c>
      <c r="L42" s="40" t="s">
        <v>1211</v>
      </c>
      <c r="M42" s="38" t="s">
        <v>1212</v>
      </c>
      <c r="N42" s="41">
        <v>1215075.44</v>
      </c>
      <c r="O42" s="77" t="s">
        <v>40</v>
      </c>
      <c r="P42" s="42" t="s">
        <v>1213</v>
      </c>
      <c r="Q42" s="43">
        <v>9419.1894573643403</v>
      </c>
      <c r="R42" s="42" t="s">
        <v>42</v>
      </c>
      <c r="S42" s="46">
        <v>856</v>
      </c>
      <c r="T42" s="40" t="s">
        <v>43</v>
      </c>
      <c r="U42" s="38" t="s">
        <v>565</v>
      </c>
      <c r="V42" s="39">
        <v>42814</v>
      </c>
      <c r="W42" s="39">
        <v>42886</v>
      </c>
      <c r="X42" s="48" t="s">
        <v>1008</v>
      </c>
      <c r="Y42" s="38" t="s">
        <v>295</v>
      </c>
      <c r="Z42" s="38" t="s">
        <v>254</v>
      </c>
      <c r="AA42" s="40" t="s">
        <v>40</v>
      </c>
      <c r="AB42" s="38" t="s">
        <v>40</v>
      </c>
    </row>
    <row r="43" spans="1:28" s="28" customFormat="1" ht="40.5">
      <c r="A43" s="38">
        <v>2017</v>
      </c>
      <c r="B43" s="38" t="s">
        <v>64</v>
      </c>
      <c r="C43" s="79" t="s">
        <v>1214</v>
      </c>
      <c r="D43" s="44">
        <v>42866</v>
      </c>
      <c r="E43" s="47" t="s">
        <v>1215</v>
      </c>
      <c r="F43" s="40" t="s">
        <v>67</v>
      </c>
      <c r="G43" s="41">
        <v>196108.13</v>
      </c>
      <c r="H43" s="40" t="s">
        <v>1216</v>
      </c>
      <c r="I43" s="40" t="s">
        <v>1217</v>
      </c>
      <c r="J43" s="38" t="s">
        <v>1218</v>
      </c>
      <c r="K43" s="38" t="s">
        <v>1219</v>
      </c>
      <c r="L43" s="40" t="s">
        <v>1220</v>
      </c>
      <c r="M43" s="38" t="s">
        <v>493</v>
      </c>
      <c r="N43" s="41">
        <v>196108.13</v>
      </c>
      <c r="O43" s="77" t="s">
        <v>40</v>
      </c>
      <c r="P43" s="42" t="s">
        <v>1007</v>
      </c>
      <c r="Q43" s="43">
        <v>2451.3516250000002</v>
      </c>
      <c r="R43" s="42" t="s">
        <v>42</v>
      </c>
      <c r="S43" s="46">
        <v>1332272</v>
      </c>
      <c r="T43" s="40" t="s">
        <v>43</v>
      </c>
      <c r="U43" s="38" t="s">
        <v>565</v>
      </c>
      <c r="V43" s="39">
        <v>42814</v>
      </c>
      <c r="W43" s="39">
        <v>42855</v>
      </c>
      <c r="X43" s="48" t="s">
        <v>1008</v>
      </c>
      <c r="Y43" s="38" t="s">
        <v>295</v>
      </c>
      <c r="Z43" s="38" t="s">
        <v>254</v>
      </c>
      <c r="AA43" s="40" t="s">
        <v>40</v>
      </c>
      <c r="AB43" s="38" t="s">
        <v>40</v>
      </c>
    </row>
    <row r="44" spans="1:28" s="19" customFormat="1" ht="74.25" customHeight="1">
      <c r="A44" s="38">
        <v>2017</v>
      </c>
      <c r="B44" s="38" t="s">
        <v>64</v>
      </c>
      <c r="C44" s="79" t="s">
        <v>1221</v>
      </c>
      <c r="D44" s="44">
        <v>42866</v>
      </c>
      <c r="E44" s="40" t="s">
        <v>1222</v>
      </c>
      <c r="F44" s="40" t="s">
        <v>67</v>
      </c>
      <c r="G44" s="41">
        <v>1389276.63</v>
      </c>
      <c r="H44" s="40" t="s">
        <v>136</v>
      </c>
      <c r="I44" s="40" t="s">
        <v>1223</v>
      </c>
      <c r="J44" s="38" t="s">
        <v>1224</v>
      </c>
      <c r="K44" s="38" t="s">
        <v>1225</v>
      </c>
      <c r="L44" s="40" t="s">
        <v>1226</v>
      </c>
      <c r="M44" s="38" t="s">
        <v>1227</v>
      </c>
      <c r="N44" s="41">
        <v>1389276.63</v>
      </c>
      <c r="O44" s="77" t="s">
        <v>40</v>
      </c>
      <c r="P44" s="42" t="s">
        <v>1228</v>
      </c>
      <c r="Q44" s="43">
        <v>3245.9734345794391</v>
      </c>
      <c r="R44" s="42" t="s">
        <v>42</v>
      </c>
      <c r="S44" s="46">
        <v>2782</v>
      </c>
      <c r="T44" s="40" t="s">
        <v>43</v>
      </c>
      <c r="U44" s="38" t="s">
        <v>565</v>
      </c>
      <c r="V44" s="39">
        <v>42807</v>
      </c>
      <c r="W44" s="39">
        <v>42855</v>
      </c>
      <c r="X44" s="48" t="s">
        <v>1229</v>
      </c>
      <c r="Y44" s="38" t="s">
        <v>1230</v>
      </c>
      <c r="Z44" s="38" t="s">
        <v>1231</v>
      </c>
      <c r="AA44" s="40" t="s">
        <v>40</v>
      </c>
      <c r="AB44" s="38" t="s">
        <v>40</v>
      </c>
    </row>
    <row r="45" spans="1:28" s="55" customFormat="1" ht="85.5" customHeight="1">
      <c r="A45" s="67">
        <v>2017</v>
      </c>
      <c r="B45" s="69" t="s">
        <v>800</v>
      </c>
      <c r="C45" s="79" t="s">
        <v>1374</v>
      </c>
      <c r="D45" s="72">
        <v>42877</v>
      </c>
      <c r="E45" s="68" t="s">
        <v>1375</v>
      </c>
      <c r="F45" s="69" t="s">
        <v>973</v>
      </c>
      <c r="G45" s="70">
        <v>2990803.7</v>
      </c>
      <c r="H45" s="68" t="s">
        <v>1376</v>
      </c>
      <c r="I45" s="69" t="s">
        <v>480</v>
      </c>
      <c r="J45" s="69" t="s">
        <v>481</v>
      </c>
      <c r="K45" s="69" t="s">
        <v>482</v>
      </c>
      <c r="L45" s="69" t="s">
        <v>1377</v>
      </c>
      <c r="M45" s="69" t="s">
        <v>484</v>
      </c>
      <c r="N45" s="70">
        <v>2990803.7</v>
      </c>
      <c r="O45" s="77" t="s">
        <v>40</v>
      </c>
      <c r="P45" s="74" t="s">
        <v>1378</v>
      </c>
      <c r="Q45" s="75">
        <v>1135.8920243068744</v>
      </c>
      <c r="R45" s="71" t="s">
        <v>42</v>
      </c>
      <c r="S45" s="73">
        <v>374894</v>
      </c>
      <c r="T45" s="68" t="s">
        <v>43</v>
      </c>
      <c r="U45" s="67" t="s">
        <v>565</v>
      </c>
      <c r="V45" s="72">
        <v>42877</v>
      </c>
      <c r="W45" s="72">
        <v>42996</v>
      </c>
      <c r="X45" s="67" t="s">
        <v>668</v>
      </c>
      <c r="Y45" s="67" t="s">
        <v>476</v>
      </c>
      <c r="Z45" s="67" t="s">
        <v>89</v>
      </c>
      <c r="AA45" s="67" t="s">
        <v>40</v>
      </c>
      <c r="AB45" s="67" t="s">
        <v>40</v>
      </c>
    </row>
    <row r="46" spans="1:28" s="28" customFormat="1" ht="67.5">
      <c r="A46" s="56">
        <v>2017</v>
      </c>
      <c r="B46" s="59" t="s">
        <v>800</v>
      </c>
      <c r="C46" s="79" t="s">
        <v>1243</v>
      </c>
      <c r="D46" s="63">
        <v>42877</v>
      </c>
      <c r="E46" s="58" t="s">
        <v>1244</v>
      </c>
      <c r="F46" s="59" t="s">
        <v>973</v>
      </c>
      <c r="G46" s="60">
        <v>2994800.57</v>
      </c>
      <c r="H46" s="58" t="s">
        <v>1245</v>
      </c>
      <c r="I46" s="59" t="s">
        <v>1246</v>
      </c>
      <c r="J46" s="59" t="s">
        <v>1247</v>
      </c>
      <c r="K46" s="59" t="s">
        <v>1248</v>
      </c>
      <c r="L46" s="59" t="s">
        <v>1249</v>
      </c>
      <c r="M46" s="59" t="s">
        <v>1096</v>
      </c>
      <c r="N46" s="60">
        <v>2994800.57</v>
      </c>
      <c r="O46" s="77" t="s">
        <v>40</v>
      </c>
      <c r="P46" s="65" t="s">
        <v>1250</v>
      </c>
      <c r="Q46" s="66">
        <v>1182.3136873272799</v>
      </c>
      <c r="R46" s="61" t="s">
        <v>42</v>
      </c>
      <c r="S46" s="64">
        <v>396147</v>
      </c>
      <c r="T46" s="58" t="s">
        <v>43</v>
      </c>
      <c r="U46" s="56" t="s">
        <v>565</v>
      </c>
      <c r="V46" s="63">
        <v>42877</v>
      </c>
      <c r="W46" s="63">
        <v>42996</v>
      </c>
      <c r="X46" s="56" t="s">
        <v>839</v>
      </c>
      <c r="Y46" s="56" t="s">
        <v>840</v>
      </c>
      <c r="Z46" s="56" t="s">
        <v>841</v>
      </c>
      <c r="AA46" s="56" t="s">
        <v>40</v>
      </c>
      <c r="AB46" s="56" t="s">
        <v>40</v>
      </c>
    </row>
    <row r="47" spans="1:28" s="28" customFormat="1" ht="67.5">
      <c r="A47" s="56">
        <v>2017</v>
      </c>
      <c r="B47" s="59" t="s">
        <v>800</v>
      </c>
      <c r="C47" s="79" t="s">
        <v>1251</v>
      </c>
      <c r="D47" s="63">
        <v>42868</v>
      </c>
      <c r="E47" s="58" t="s">
        <v>1252</v>
      </c>
      <c r="F47" s="59" t="s">
        <v>67</v>
      </c>
      <c r="G47" s="60">
        <v>7752532.1600000001</v>
      </c>
      <c r="H47" s="58" t="s">
        <v>1253</v>
      </c>
      <c r="I47" s="59" t="s">
        <v>1254</v>
      </c>
      <c r="J47" s="59" t="s">
        <v>253</v>
      </c>
      <c r="K47" s="59" t="s">
        <v>154</v>
      </c>
      <c r="L47" s="59" t="s">
        <v>1255</v>
      </c>
      <c r="M47" s="59" t="s">
        <v>1256</v>
      </c>
      <c r="N47" s="60">
        <v>7752532.1600000001</v>
      </c>
      <c r="O47" s="77" t="s">
        <v>40</v>
      </c>
      <c r="P47" s="65" t="s">
        <v>1257</v>
      </c>
      <c r="Q47" s="66">
        <v>9174.5942721893498</v>
      </c>
      <c r="R47" s="61" t="s">
        <v>42</v>
      </c>
      <c r="S47" s="64">
        <v>6778</v>
      </c>
      <c r="T47" s="58" t="s">
        <v>43</v>
      </c>
      <c r="U47" s="56" t="s">
        <v>565</v>
      </c>
      <c r="V47" s="63">
        <v>42868</v>
      </c>
      <c r="W47" s="63">
        <v>42987</v>
      </c>
      <c r="X47" s="56" t="s">
        <v>544</v>
      </c>
      <c r="Y47" s="56" t="s">
        <v>545</v>
      </c>
      <c r="Z47" s="56" t="s">
        <v>212</v>
      </c>
      <c r="AA47" s="56" t="s">
        <v>40</v>
      </c>
      <c r="AB47" s="56" t="s">
        <v>40</v>
      </c>
    </row>
    <row r="48" spans="1:28" s="28" customFormat="1" ht="40.5">
      <c r="A48" s="56">
        <v>2017</v>
      </c>
      <c r="B48" s="59" t="s">
        <v>800</v>
      </c>
      <c r="C48" s="79" t="s">
        <v>1258</v>
      </c>
      <c r="D48" s="63">
        <v>42868</v>
      </c>
      <c r="E48" s="58" t="s">
        <v>1259</v>
      </c>
      <c r="F48" s="59" t="s">
        <v>67</v>
      </c>
      <c r="G48" s="60">
        <v>3706562.02</v>
      </c>
      <c r="H48" s="58" t="s">
        <v>1253</v>
      </c>
      <c r="I48" s="59" t="s">
        <v>1260</v>
      </c>
      <c r="J48" s="59" t="s">
        <v>1261</v>
      </c>
      <c r="K48" s="59" t="s">
        <v>1262</v>
      </c>
      <c r="L48" s="59" t="s">
        <v>1263</v>
      </c>
      <c r="M48" s="59" t="s">
        <v>1264</v>
      </c>
      <c r="N48" s="60">
        <v>3706562.02</v>
      </c>
      <c r="O48" s="77" t="s">
        <v>40</v>
      </c>
      <c r="P48" s="65" t="s">
        <v>1265</v>
      </c>
      <c r="Q48" s="66">
        <v>25562.496689655174</v>
      </c>
      <c r="R48" s="61" t="s">
        <v>42</v>
      </c>
      <c r="S48" s="64">
        <v>6778</v>
      </c>
      <c r="T48" s="58" t="s">
        <v>43</v>
      </c>
      <c r="U48" s="56" t="s">
        <v>565</v>
      </c>
      <c r="V48" s="63">
        <v>42868</v>
      </c>
      <c r="W48" s="63">
        <v>42987</v>
      </c>
      <c r="X48" s="56" t="s">
        <v>544</v>
      </c>
      <c r="Y48" s="56" t="s">
        <v>545</v>
      </c>
      <c r="Z48" s="56" t="s">
        <v>212</v>
      </c>
      <c r="AA48" s="56" t="s">
        <v>40</v>
      </c>
      <c r="AB48" s="56" t="s">
        <v>40</v>
      </c>
    </row>
    <row r="49" spans="1:28" s="28" customFormat="1" ht="94.5">
      <c r="A49" s="56">
        <v>2017</v>
      </c>
      <c r="B49" s="59" t="s">
        <v>800</v>
      </c>
      <c r="C49" s="79" t="s">
        <v>1266</v>
      </c>
      <c r="D49" s="63">
        <v>42868</v>
      </c>
      <c r="E49" s="58" t="s">
        <v>1267</v>
      </c>
      <c r="F49" s="59" t="s">
        <v>67</v>
      </c>
      <c r="G49" s="60">
        <v>6368591.04</v>
      </c>
      <c r="H49" s="58" t="s">
        <v>1268</v>
      </c>
      <c r="I49" s="59" t="s">
        <v>618</v>
      </c>
      <c r="J49" s="59" t="s">
        <v>619</v>
      </c>
      <c r="K49" s="59" t="s">
        <v>377</v>
      </c>
      <c r="L49" s="59" t="s">
        <v>620</v>
      </c>
      <c r="M49" s="59" t="s">
        <v>621</v>
      </c>
      <c r="N49" s="60">
        <v>6368591.04</v>
      </c>
      <c r="O49" s="77" t="s">
        <v>40</v>
      </c>
      <c r="P49" s="65" t="s">
        <v>1269</v>
      </c>
      <c r="Q49" s="66">
        <v>1037.0609086468003</v>
      </c>
      <c r="R49" s="61" t="s">
        <v>42</v>
      </c>
      <c r="S49" s="64">
        <v>2932</v>
      </c>
      <c r="T49" s="58" t="s">
        <v>43</v>
      </c>
      <c r="U49" s="56" t="s">
        <v>565</v>
      </c>
      <c r="V49" s="63">
        <v>42868</v>
      </c>
      <c r="W49" s="63">
        <v>42987</v>
      </c>
      <c r="X49" s="56" t="s">
        <v>1270</v>
      </c>
      <c r="Y49" s="56" t="s">
        <v>1061</v>
      </c>
      <c r="Z49" s="56" t="s">
        <v>462</v>
      </c>
      <c r="AA49" s="56" t="s">
        <v>40</v>
      </c>
      <c r="AB49" s="56" t="s">
        <v>40</v>
      </c>
    </row>
    <row r="50" spans="1:28" s="28" customFormat="1" ht="94.5">
      <c r="A50" s="56">
        <v>2017</v>
      </c>
      <c r="B50" s="59" t="s">
        <v>800</v>
      </c>
      <c r="C50" s="79" t="s">
        <v>1271</v>
      </c>
      <c r="D50" s="63">
        <v>42868</v>
      </c>
      <c r="E50" s="58" t="s">
        <v>1272</v>
      </c>
      <c r="F50" s="59" t="s">
        <v>67</v>
      </c>
      <c r="G50" s="60">
        <v>5822124.1500000004</v>
      </c>
      <c r="H50" s="58" t="s">
        <v>1268</v>
      </c>
      <c r="I50" s="59" t="s">
        <v>1273</v>
      </c>
      <c r="J50" s="59" t="s">
        <v>1274</v>
      </c>
      <c r="K50" s="59" t="s">
        <v>1275</v>
      </c>
      <c r="L50" s="59" t="s">
        <v>1276</v>
      </c>
      <c r="M50" s="59" t="s">
        <v>1277</v>
      </c>
      <c r="N50" s="60">
        <v>5822124.1500000004</v>
      </c>
      <c r="O50" s="77" t="s">
        <v>40</v>
      </c>
      <c r="P50" s="65" t="s">
        <v>1278</v>
      </c>
      <c r="Q50" s="66">
        <v>1546.7917507970246</v>
      </c>
      <c r="R50" s="61" t="s">
        <v>42</v>
      </c>
      <c r="S50" s="64">
        <v>2932</v>
      </c>
      <c r="T50" s="58" t="s">
        <v>43</v>
      </c>
      <c r="U50" s="56" t="s">
        <v>565</v>
      </c>
      <c r="V50" s="63">
        <v>42868</v>
      </c>
      <c r="W50" s="63">
        <v>42987</v>
      </c>
      <c r="X50" s="56" t="s">
        <v>1270</v>
      </c>
      <c r="Y50" s="56" t="s">
        <v>1061</v>
      </c>
      <c r="Z50" s="56" t="s">
        <v>462</v>
      </c>
      <c r="AA50" s="56" t="s">
        <v>40</v>
      </c>
      <c r="AB50" s="56" t="s">
        <v>40</v>
      </c>
    </row>
    <row r="51" spans="1:28" s="28" customFormat="1" ht="135">
      <c r="A51" s="56">
        <v>2017</v>
      </c>
      <c r="B51" s="59" t="s">
        <v>800</v>
      </c>
      <c r="C51" s="79" t="s">
        <v>1279</v>
      </c>
      <c r="D51" s="63">
        <v>42868</v>
      </c>
      <c r="E51" s="58" t="s">
        <v>1280</v>
      </c>
      <c r="F51" s="59" t="s">
        <v>67</v>
      </c>
      <c r="G51" s="60">
        <v>3722082.59</v>
      </c>
      <c r="H51" s="58" t="s">
        <v>1281</v>
      </c>
      <c r="I51" s="59" t="s">
        <v>116</v>
      </c>
      <c r="J51" s="59" t="s">
        <v>149</v>
      </c>
      <c r="K51" s="59" t="s">
        <v>150</v>
      </c>
      <c r="L51" s="59" t="s">
        <v>554</v>
      </c>
      <c r="M51" s="59" t="s">
        <v>152</v>
      </c>
      <c r="N51" s="60">
        <v>3722082.59</v>
      </c>
      <c r="O51" s="77" t="s">
        <v>40</v>
      </c>
      <c r="P51" s="65" t="s">
        <v>1282</v>
      </c>
      <c r="Q51" s="66">
        <v>1372.9555846551089</v>
      </c>
      <c r="R51" s="61" t="s">
        <v>42</v>
      </c>
      <c r="S51" s="64">
        <v>3334</v>
      </c>
      <c r="T51" s="58" t="s">
        <v>43</v>
      </c>
      <c r="U51" s="56" t="s">
        <v>565</v>
      </c>
      <c r="V51" s="63">
        <v>42868</v>
      </c>
      <c r="W51" s="63">
        <v>42987</v>
      </c>
      <c r="X51" s="56" t="s">
        <v>681</v>
      </c>
      <c r="Y51" s="56" t="s">
        <v>682</v>
      </c>
      <c r="Z51" s="56" t="s">
        <v>683</v>
      </c>
      <c r="AA51" s="56" t="s">
        <v>40</v>
      </c>
      <c r="AB51" s="56" t="s">
        <v>40</v>
      </c>
    </row>
    <row r="52" spans="1:28" s="28" customFormat="1" ht="40.5">
      <c r="A52" s="56">
        <v>2017</v>
      </c>
      <c r="B52" s="59" t="s">
        <v>800</v>
      </c>
      <c r="C52" s="79" t="s">
        <v>1283</v>
      </c>
      <c r="D52" s="63">
        <v>42868</v>
      </c>
      <c r="E52" s="58" t="s">
        <v>1284</v>
      </c>
      <c r="F52" s="59" t="s">
        <v>67</v>
      </c>
      <c r="G52" s="60">
        <v>4544310.46</v>
      </c>
      <c r="H52" s="58" t="s">
        <v>1285</v>
      </c>
      <c r="I52" s="59" t="s">
        <v>1286</v>
      </c>
      <c r="J52" s="59" t="s">
        <v>1287</v>
      </c>
      <c r="K52" s="59" t="s">
        <v>1288</v>
      </c>
      <c r="L52" s="59" t="s">
        <v>1289</v>
      </c>
      <c r="M52" s="59" t="s">
        <v>1290</v>
      </c>
      <c r="N52" s="60">
        <v>4544310.46</v>
      </c>
      <c r="O52" s="77" t="s">
        <v>40</v>
      </c>
      <c r="P52" s="65" t="s">
        <v>731</v>
      </c>
      <c r="Q52" s="66">
        <v>4544310.46</v>
      </c>
      <c r="R52" s="61" t="s">
        <v>42</v>
      </c>
      <c r="S52" s="64">
        <v>5790</v>
      </c>
      <c r="T52" s="58" t="s">
        <v>43</v>
      </c>
      <c r="U52" s="56" t="s">
        <v>565</v>
      </c>
      <c r="V52" s="63">
        <v>42868</v>
      </c>
      <c r="W52" s="63">
        <v>42987</v>
      </c>
      <c r="X52" s="56" t="s">
        <v>1082</v>
      </c>
      <c r="Y52" s="56" t="s">
        <v>383</v>
      </c>
      <c r="Z52" s="56" t="s">
        <v>300</v>
      </c>
      <c r="AA52" s="56" t="s">
        <v>40</v>
      </c>
      <c r="AB52" s="56" t="s">
        <v>40</v>
      </c>
    </row>
    <row r="53" spans="1:28" s="28" customFormat="1" ht="94.5">
      <c r="A53" s="56">
        <v>2017</v>
      </c>
      <c r="B53" s="56" t="s">
        <v>64</v>
      </c>
      <c r="C53" s="79" t="s">
        <v>1291</v>
      </c>
      <c r="D53" s="63">
        <v>42824</v>
      </c>
      <c r="E53" s="58" t="s">
        <v>1292</v>
      </c>
      <c r="F53" s="59" t="s">
        <v>67</v>
      </c>
      <c r="G53" s="60">
        <v>1484671.02</v>
      </c>
      <c r="H53" s="58" t="s">
        <v>1293</v>
      </c>
      <c r="I53" s="59" t="s">
        <v>1294</v>
      </c>
      <c r="J53" s="56" t="s">
        <v>1295</v>
      </c>
      <c r="K53" s="56" t="s">
        <v>1296</v>
      </c>
      <c r="L53" s="58" t="s">
        <v>1297</v>
      </c>
      <c r="M53" s="56" t="s">
        <v>1298</v>
      </c>
      <c r="N53" s="60">
        <v>1484671.02</v>
      </c>
      <c r="O53" s="77" t="s">
        <v>40</v>
      </c>
      <c r="P53" s="65" t="s">
        <v>1299</v>
      </c>
      <c r="Q53" s="66">
        <v>364.78403439803441</v>
      </c>
      <c r="R53" s="61" t="s">
        <v>42</v>
      </c>
      <c r="S53" s="64">
        <v>3191</v>
      </c>
      <c r="T53" s="58" t="s">
        <v>43</v>
      </c>
      <c r="U53" s="56" t="s">
        <v>565</v>
      </c>
      <c r="V53" s="57">
        <v>42826</v>
      </c>
      <c r="W53" s="57">
        <v>42885</v>
      </c>
      <c r="X53" s="56" t="s">
        <v>1300</v>
      </c>
      <c r="Y53" s="56" t="s">
        <v>1301</v>
      </c>
      <c r="Z53" s="56" t="s">
        <v>101</v>
      </c>
      <c r="AA53" s="56" t="s">
        <v>40</v>
      </c>
      <c r="AB53" s="56" t="s">
        <v>40</v>
      </c>
    </row>
    <row r="54" spans="1:28" s="28" customFormat="1" ht="54">
      <c r="A54" s="56">
        <v>2017</v>
      </c>
      <c r="B54" s="56" t="s">
        <v>64</v>
      </c>
      <c r="C54" s="79" t="s">
        <v>1302</v>
      </c>
      <c r="D54" s="63">
        <v>42794</v>
      </c>
      <c r="E54" s="58" t="s">
        <v>1303</v>
      </c>
      <c r="F54" s="59" t="s">
        <v>67</v>
      </c>
      <c r="G54" s="60">
        <v>771128.46</v>
      </c>
      <c r="H54" s="58" t="s">
        <v>786</v>
      </c>
      <c r="I54" s="59" t="s">
        <v>1304</v>
      </c>
      <c r="J54" s="56" t="s">
        <v>1305</v>
      </c>
      <c r="K54" s="56" t="s">
        <v>1306</v>
      </c>
      <c r="L54" s="58" t="s">
        <v>1307</v>
      </c>
      <c r="M54" s="56" t="s">
        <v>1308</v>
      </c>
      <c r="N54" s="60">
        <v>771128.46</v>
      </c>
      <c r="O54" s="77" t="s">
        <v>40</v>
      </c>
      <c r="P54" s="65" t="s">
        <v>1309</v>
      </c>
      <c r="Q54" s="66">
        <v>4911.6462420382168</v>
      </c>
      <c r="R54" s="61" t="s">
        <v>42</v>
      </c>
      <c r="S54" s="64">
        <v>62891</v>
      </c>
      <c r="T54" s="58" t="s">
        <v>43</v>
      </c>
      <c r="U54" s="56" t="s">
        <v>565</v>
      </c>
      <c r="V54" s="57">
        <v>42795</v>
      </c>
      <c r="W54" s="57">
        <v>42855</v>
      </c>
      <c r="X54" s="56" t="s">
        <v>544</v>
      </c>
      <c r="Y54" s="56" t="s">
        <v>545</v>
      </c>
      <c r="Z54" s="56" t="s">
        <v>212</v>
      </c>
      <c r="AA54" s="56" t="s">
        <v>40</v>
      </c>
      <c r="AB54" s="56" t="s">
        <v>40</v>
      </c>
    </row>
    <row r="55" spans="1:28" s="28" customFormat="1" ht="67.5">
      <c r="A55" s="56">
        <v>2017</v>
      </c>
      <c r="B55" s="56" t="s">
        <v>64</v>
      </c>
      <c r="C55" s="79" t="s">
        <v>1310</v>
      </c>
      <c r="D55" s="63">
        <v>42804</v>
      </c>
      <c r="E55" s="58" t="s">
        <v>1311</v>
      </c>
      <c r="F55" s="59" t="s">
        <v>67</v>
      </c>
      <c r="G55" s="60">
        <v>518095.34</v>
      </c>
      <c r="H55" s="58" t="s">
        <v>786</v>
      </c>
      <c r="I55" s="59" t="s">
        <v>1312</v>
      </c>
      <c r="J55" s="56" t="s">
        <v>1313</v>
      </c>
      <c r="K55" s="56" t="s">
        <v>1156</v>
      </c>
      <c r="L55" s="58" t="s">
        <v>1314</v>
      </c>
      <c r="M55" s="56" t="s">
        <v>1315</v>
      </c>
      <c r="N55" s="60">
        <v>518095.34</v>
      </c>
      <c r="O55" s="77" t="s">
        <v>40</v>
      </c>
      <c r="P55" s="65" t="s">
        <v>1316</v>
      </c>
      <c r="Q55" s="66">
        <v>629.52046172539497</v>
      </c>
      <c r="R55" s="61" t="s">
        <v>42</v>
      </c>
      <c r="S55" s="64">
        <v>62891</v>
      </c>
      <c r="T55" s="58" t="s">
        <v>43</v>
      </c>
      <c r="U55" s="56" t="s">
        <v>565</v>
      </c>
      <c r="V55" s="57">
        <v>42809</v>
      </c>
      <c r="W55" s="57">
        <v>42855</v>
      </c>
      <c r="X55" s="56" t="s">
        <v>544</v>
      </c>
      <c r="Y55" s="56" t="s">
        <v>545</v>
      </c>
      <c r="Z55" s="56" t="s">
        <v>212</v>
      </c>
      <c r="AA55" s="56" t="s">
        <v>40</v>
      </c>
      <c r="AB55" s="56" t="s">
        <v>40</v>
      </c>
    </row>
    <row r="56" spans="1:28" s="28" customFormat="1" ht="108">
      <c r="A56" s="56">
        <v>2017</v>
      </c>
      <c r="B56" s="56" t="s">
        <v>64</v>
      </c>
      <c r="C56" s="79" t="s">
        <v>1317</v>
      </c>
      <c r="D56" s="63">
        <v>42818</v>
      </c>
      <c r="E56" s="58" t="s">
        <v>1318</v>
      </c>
      <c r="F56" s="59" t="s">
        <v>973</v>
      </c>
      <c r="G56" s="60">
        <v>1450320.18</v>
      </c>
      <c r="H56" s="58" t="s">
        <v>1319</v>
      </c>
      <c r="I56" s="59" t="s">
        <v>1320</v>
      </c>
      <c r="J56" s="56" t="s">
        <v>1321</v>
      </c>
      <c r="K56" s="56" t="s">
        <v>1322</v>
      </c>
      <c r="L56" s="58" t="s">
        <v>1323</v>
      </c>
      <c r="M56" s="56" t="s">
        <v>276</v>
      </c>
      <c r="N56" s="60">
        <v>1450320.18</v>
      </c>
      <c r="O56" s="77" t="s">
        <v>40</v>
      </c>
      <c r="P56" s="61" t="s">
        <v>1324</v>
      </c>
      <c r="Q56" s="62">
        <v>212.37665544003514</v>
      </c>
      <c r="R56" s="61" t="s">
        <v>42</v>
      </c>
      <c r="S56" s="64">
        <v>4228</v>
      </c>
      <c r="T56" s="58" t="s">
        <v>43</v>
      </c>
      <c r="U56" s="56" t="s">
        <v>565</v>
      </c>
      <c r="V56" s="57">
        <v>42828</v>
      </c>
      <c r="W56" s="57">
        <v>42886</v>
      </c>
      <c r="X56" s="56" t="s">
        <v>1300</v>
      </c>
      <c r="Y56" s="56" t="s">
        <v>100</v>
      </c>
      <c r="Z56" s="56" t="s">
        <v>101</v>
      </c>
      <c r="AA56" s="56" t="s">
        <v>40</v>
      </c>
      <c r="AB56" s="56" t="s">
        <v>40</v>
      </c>
    </row>
    <row r="57" spans="1:28" s="28" customFormat="1" ht="67.5">
      <c r="A57" s="56">
        <v>2017</v>
      </c>
      <c r="B57" s="56" t="s">
        <v>64</v>
      </c>
      <c r="C57" s="79" t="s">
        <v>1325</v>
      </c>
      <c r="D57" s="63">
        <v>42842</v>
      </c>
      <c r="E57" s="58" t="s">
        <v>1326</v>
      </c>
      <c r="F57" s="59" t="s">
        <v>67</v>
      </c>
      <c r="G57" s="60">
        <v>1102435.22</v>
      </c>
      <c r="H57" s="58" t="s">
        <v>786</v>
      </c>
      <c r="I57" s="59" t="s">
        <v>1171</v>
      </c>
      <c r="J57" s="56" t="s">
        <v>1327</v>
      </c>
      <c r="K57" s="56" t="s">
        <v>1328</v>
      </c>
      <c r="L57" s="58" t="s">
        <v>1329</v>
      </c>
      <c r="M57" s="56" t="s">
        <v>1330</v>
      </c>
      <c r="N57" s="60">
        <v>1102435.22</v>
      </c>
      <c r="O57" s="77" t="s">
        <v>40</v>
      </c>
      <c r="P57" s="61" t="s">
        <v>130</v>
      </c>
      <c r="Q57" s="62">
        <v>9186.9601666666658</v>
      </c>
      <c r="R57" s="61" t="s">
        <v>42</v>
      </c>
      <c r="S57" s="64">
        <v>1368</v>
      </c>
      <c r="T57" s="58" t="s">
        <v>43</v>
      </c>
      <c r="U57" s="56" t="s">
        <v>565</v>
      </c>
      <c r="V57" s="57">
        <v>42842</v>
      </c>
      <c r="W57" s="57">
        <v>42901</v>
      </c>
      <c r="X57" s="56" t="s">
        <v>1069</v>
      </c>
      <c r="Y57" s="56" t="s">
        <v>545</v>
      </c>
      <c r="Z57" s="56" t="s">
        <v>212</v>
      </c>
      <c r="AA57" s="56" t="s">
        <v>40</v>
      </c>
      <c r="AB57" s="56" t="s">
        <v>40</v>
      </c>
    </row>
    <row r="58" spans="1:28" s="28" customFormat="1" ht="54">
      <c r="A58" s="56">
        <v>2017</v>
      </c>
      <c r="B58" s="56" t="s">
        <v>64</v>
      </c>
      <c r="C58" s="79" t="s">
        <v>1331</v>
      </c>
      <c r="D58" s="63">
        <v>42846</v>
      </c>
      <c r="E58" s="58" t="s">
        <v>1332</v>
      </c>
      <c r="F58" s="59" t="s">
        <v>67</v>
      </c>
      <c r="G58" s="60">
        <v>955444.17</v>
      </c>
      <c r="H58" s="58" t="s">
        <v>786</v>
      </c>
      <c r="I58" s="59" t="s">
        <v>1122</v>
      </c>
      <c r="J58" s="56" t="s">
        <v>1123</v>
      </c>
      <c r="K58" s="56" t="s">
        <v>1124</v>
      </c>
      <c r="L58" s="58" t="s">
        <v>1333</v>
      </c>
      <c r="M58" s="56" t="s">
        <v>1126</v>
      </c>
      <c r="N58" s="60">
        <v>955444.17</v>
      </c>
      <c r="O58" s="77" t="s">
        <v>40</v>
      </c>
      <c r="P58" s="61" t="s">
        <v>1334</v>
      </c>
      <c r="Q58" s="62">
        <v>77.995442448979588</v>
      </c>
      <c r="R58" s="61" t="s">
        <v>42</v>
      </c>
      <c r="S58" s="64">
        <v>7016</v>
      </c>
      <c r="T58" s="58" t="s">
        <v>43</v>
      </c>
      <c r="U58" s="56" t="s">
        <v>565</v>
      </c>
      <c r="V58" s="57">
        <v>42849</v>
      </c>
      <c r="W58" s="57">
        <v>42896</v>
      </c>
      <c r="X58" s="56" t="s">
        <v>1069</v>
      </c>
      <c r="Y58" s="56" t="s">
        <v>545</v>
      </c>
      <c r="Z58" s="56" t="s">
        <v>212</v>
      </c>
      <c r="AA58" s="56" t="s">
        <v>40</v>
      </c>
      <c r="AB58" s="56" t="s">
        <v>40</v>
      </c>
    </row>
    <row r="59" spans="1:28" s="28" customFormat="1" ht="94.5">
      <c r="A59" s="56">
        <v>2017</v>
      </c>
      <c r="B59" s="56" t="s">
        <v>64</v>
      </c>
      <c r="C59" s="79" t="s">
        <v>1335</v>
      </c>
      <c r="D59" s="63">
        <v>42853</v>
      </c>
      <c r="E59" s="58" t="s">
        <v>1336</v>
      </c>
      <c r="F59" s="59" t="s">
        <v>67</v>
      </c>
      <c r="G59" s="60">
        <v>1493490.23</v>
      </c>
      <c r="H59" s="58" t="s">
        <v>1337</v>
      </c>
      <c r="I59" s="59" t="s">
        <v>1338</v>
      </c>
      <c r="J59" s="56" t="s">
        <v>1339</v>
      </c>
      <c r="K59" s="56" t="s">
        <v>1340</v>
      </c>
      <c r="L59" s="58" t="s">
        <v>1341</v>
      </c>
      <c r="M59" s="56" t="s">
        <v>251</v>
      </c>
      <c r="N59" s="60">
        <v>1493490.23</v>
      </c>
      <c r="O59" s="77" t="s">
        <v>40</v>
      </c>
      <c r="P59" s="61" t="s">
        <v>1342</v>
      </c>
      <c r="Q59" s="62">
        <v>533.38936785714282</v>
      </c>
      <c r="R59" s="61" t="s">
        <v>42</v>
      </c>
      <c r="S59" s="64">
        <v>1743</v>
      </c>
      <c r="T59" s="58" t="s">
        <v>43</v>
      </c>
      <c r="U59" s="56" t="s">
        <v>565</v>
      </c>
      <c r="V59" s="57">
        <v>42857</v>
      </c>
      <c r="W59" s="57">
        <v>42916</v>
      </c>
      <c r="X59" s="56" t="s">
        <v>1008</v>
      </c>
      <c r="Y59" s="56" t="s">
        <v>295</v>
      </c>
      <c r="Z59" s="56" t="s">
        <v>254</v>
      </c>
      <c r="AA59" s="56" t="s">
        <v>40</v>
      </c>
      <c r="AB59" s="56" t="s">
        <v>40</v>
      </c>
    </row>
    <row r="60" spans="1:28" s="28" customFormat="1" ht="40.5">
      <c r="A60" s="56">
        <v>2017</v>
      </c>
      <c r="B60" s="56" t="s">
        <v>64</v>
      </c>
      <c r="C60" s="79" t="s">
        <v>1343</v>
      </c>
      <c r="D60" s="63">
        <v>42846</v>
      </c>
      <c r="E60" s="58" t="s">
        <v>1344</v>
      </c>
      <c r="F60" s="59" t="s">
        <v>973</v>
      </c>
      <c r="G60" s="60">
        <v>1477840.24</v>
      </c>
      <c r="H60" s="58" t="s">
        <v>1345</v>
      </c>
      <c r="I60" s="59" t="s">
        <v>1294</v>
      </c>
      <c r="J60" s="56" t="s">
        <v>1346</v>
      </c>
      <c r="K60" s="56" t="s">
        <v>1205</v>
      </c>
      <c r="L60" s="58" t="s">
        <v>1347</v>
      </c>
      <c r="M60" s="56" t="s">
        <v>1348</v>
      </c>
      <c r="N60" s="60">
        <v>1477840.24</v>
      </c>
      <c r="O60" s="77" t="s">
        <v>40</v>
      </c>
      <c r="P60" s="61" t="s">
        <v>1349</v>
      </c>
      <c r="Q60" s="62">
        <v>593.03380417335472</v>
      </c>
      <c r="R60" s="61" t="s">
        <v>42</v>
      </c>
      <c r="S60" s="64">
        <v>4159</v>
      </c>
      <c r="T60" s="58" t="s">
        <v>43</v>
      </c>
      <c r="U60" s="56" t="s">
        <v>565</v>
      </c>
      <c r="V60" s="57">
        <v>42849</v>
      </c>
      <c r="W60" s="57">
        <v>42946</v>
      </c>
      <c r="X60" s="56" t="s">
        <v>1350</v>
      </c>
      <c r="Y60" s="56" t="s">
        <v>1117</v>
      </c>
      <c r="Z60" s="56" t="s">
        <v>1351</v>
      </c>
      <c r="AA60" s="56" t="s">
        <v>40</v>
      </c>
      <c r="AB60" s="56" t="s">
        <v>40</v>
      </c>
    </row>
    <row r="61" spans="1:28" s="28" customFormat="1" ht="40.5">
      <c r="A61" s="56">
        <v>2017</v>
      </c>
      <c r="B61" s="56" t="s">
        <v>64</v>
      </c>
      <c r="C61" s="79" t="s">
        <v>1352</v>
      </c>
      <c r="D61" s="63">
        <v>42825</v>
      </c>
      <c r="E61" s="58" t="s">
        <v>1353</v>
      </c>
      <c r="F61" s="59" t="s">
        <v>973</v>
      </c>
      <c r="G61" s="60">
        <v>996523.74</v>
      </c>
      <c r="H61" s="58" t="s">
        <v>231</v>
      </c>
      <c r="I61" s="59" t="s">
        <v>1354</v>
      </c>
      <c r="J61" s="56" t="s">
        <v>1355</v>
      </c>
      <c r="K61" s="56" t="s">
        <v>1356</v>
      </c>
      <c r="L61" s="58" t="s">
        <v>1357</v>
      </c>
      <c r="M61" s="56" t="s">
        <v>270</v>
      </c>
      <c r="N61" s="60">
        <v>996523.74</v>
      </c>
      <c r="O61" s="77" t="s">
        <v>40</v>
      </c>
      <c r="P61" s="61" t="s">
        <v>231</v>
      </c>
      <c r="Q61" s="62" t="s">
        <v>231</v>
      </c>
      <c r="R61" s="61" t="s">
        <v>42</v>
      </c>
      <c r="S61" s="64" t="s">
        <v>232</v>
      </c>
      <c r="T61" s="58" t="s">
        <v>43</v>
      </c>
      <c r="U61" s="56" t="s">
        <v>565</v>
      </c>
      <c r="V61" s="57">
        <v>42828</v>
      </c>
      <c r="W61" s="57">
        <v>43008</v>
      </c>
      <c r="X61" s="56" t="s">
        <v>640</v>
      </c>
      <c r="Y61" s="56" t="s">
        <v>641</v>
      </c>
      <c r="Z61" s="56" t="s">
        <v>167</v>
      </c>
      <c r="AA61" s="56" t="s">
        <v>40</v>
      </c>
      <c r="AB61" s="56" t="s">
        <v>40</v>
      </c>
    </row>
    <row r="62" spans="1:28" s="28" customFormat="1" ht="81">
      <c r="A62" s="56">
        <v>2017</v>
      </c>
      <c r="B62" s="56" t="s">
        <v>64</v>
      </c>
      <c r="C62" s="79" t="s">
        <v>1358</v>
      </c>
      <c r="D62" s="63">
        <v>42874</v>
      </c>
      <c r="E62" s="58" t="s">
        <v>1359</v>
      </c>
      <c r="F62" s="59" t="s">
        <v>67</v>
      </c>
      <c r="G62" s="60">
        <v>1510227.11</v>
      </c>
      <c r="H62" s="58" t="s">
        <v>1360</v>
      </c>
      <c r="I62" s="59" t="s">
        <v>1361</v>
      </c>
      <c r="J62" s="56" t="s">
        <v>1362</v>
      </c>
      <c r="K62" s="56" t="s">
        <v>1363</v>
      </c>
      <c r="L62" s="58" t="s">
        <v>1364</v>
      </c>
      <c r="M62" s="56" t="s">
        <v>1365</v>
      </c>
      <c r="N62" s="60">
        <v>1510227.11</v>
      </c>
      <c r="O62" s="77" t="s">
        <v>40</v>
      </c>
      <c r="P62" s="61" t="s">
        <v>834</v>
      </c>
      <c r="Q62" s="62">
        <v>1459.1566280193238</v>
      </c>
      <c r="R62" s="61" t="s">
        <v>42</v>
      </c>
      <c r="S62" s="64">
        <v>1166</v>
      </c>
      <c r="T62" s="58" t="s">
        <v>43</v>
      </c>
      <c r="U62" s="56" t="s">
        <v>565</v>
      </c>
      <c r="V62" s="57">
        <v>42877</v>
      </c>
      <c r="W62" s="57">
        <v>42872</v>
      </c>
      <c r="X62" s="56" t="s">
        <v>544</v>
      </c>
      <c r="Y62" s="56" t="s">
        <v>545</v>
      </c>
      <c r="Z62" s="56" t="s">
        <v>212</v>
      </c>
      <c r="AA62" s="56" t="s">
        <v>40</v>
      </c>
      <c r="AB62" s="56" t="s">
        <v>40</v>
      </c>
    </row>
    <row r="63" spans="1:28" s="28" customFormat="1" ht="94.5">
      <c r="A63" s="56">
        <v>2017</v>
      </c>
      <c r="B63" s="56" t="s">
        <v>64</v>
      </c>
      <c r="C63" s="79" t="s">
        <v>1366</v>
      </c>
      <c r="D63" s="63">
        <v>42874</v>
      </c>
      <c r="E63" s="58" t="s">
        <v>1367</v>
      </c>
      <c r="F63" s="59" t="s">
        <v>67</v>
      </c>
      <c r="G63" s="60">
        <v>1496365.17</v>
      </c>
      <c r="H63" s="58" t="s">
        <v>1368</v>
      </c>
      <c r="I63" s="59" t="s">
        <v>1369</v>
      </c>
      <c r="J63" s="56" t="s">
        <v>1370</v>
      </c>
      <c r="K63" s="56" t="s">
        <v>1066</v>
      </c>
      <c r="L63" s="58" t="s">
        <v>1371</v>
      </c>
      <c r="M63" s="56" t="s">
        <v>1372</v>
      </c>
      <c r="N63" s="60">
        <v>1496365.17</v>
      </c>
      <c r="O63" s="77" t="s">
        <v>40</v>
      </c>
      <c r="P63" s="61" t="s">
        <v>1373</v>
      </c>
      <c r="Q63" s="62">
        <v>1454.1935568513118</v>
      </c>
      <c r="R63" s="61" t="s">
        <v>42</v>
      </c>
      <c r="S63" s="64">
        <v>1543</v>
      </c>
      <c r="T63" s="58" t="s">
        <v>43</v>
      </c>
      <c r="U63" s="56" t="s">
        <v>565</v>
      </c>
      <c r="V63" s="57">
        <v>42877</v>
      </c>
      <c r="W63" s="57">
        <v>42993</v>
      </c>
      <c r="X63" s="56" t="s">
        <v>671</v>
      </c>
      <c r="Y63" s="56" t="s">
        <v>334</v>
      </c>
      <c r="Z63" s="56" t="s">
        <v>133</v>
      </c>
      <c r="AA63" s="56" t="s">
        <v>40</v>
      </c>
      <c r="AB63" s="56" t="s">
        <v>40</v>
      </c>
    </row>
    <row r="64" spans="1:28" ht="72" customHeight="1">
      <c r="A64" s="5">
        <v>2016</v>
      </c>
      <c r="B64" s="5" t="s">
        <v>64</v>
      </c>
      <c r="C64" s="79" t="s">
        <v>156</v>
      </c>
      <c r="D64" s="6">
        <v>42394</v>
      </c>
      <c r="E64" s="7" t="s">
        <v>157</v>
      </c>
      <c r="F64" s="7" t="s">
        <v>67</v>
      </c>
      <c r="G64" s="8">
        <v>999296.99880000006</v>
      </c>
      <c r="H64" s="7" t="s">
        <v>158</v>
      </c>
      <c r="I64" s="5" t="s">
        <v>159</v>
      </c>
      <c r="J64" s="5" t="s">
        <v>160</v>
      </c>
      <c r="K64" s="5" t="s">
        <v>161</v>
      </c>
      <c r="L64" s="7" t="s">
        <v>162</v>
      </c>
      <c r="M64" s="5" t="s">
        <v>163</v>
      </c>
      <c r="N64" s="8">
        <f t="shared" ref="N64:N92" si="0">G64</f>
        <v>999296.99880000006</v>
      </c>
      <c r="O64" s="78">
        <v>953158.19</v>
      </c>
      <c r="P64" s="5" t="s">
        <v>164</v>
      </c>
      <c r="Q64" s="8">
        <f>N64/1960</f>
        <v>509.84540755102046</v>
      </c>
      <c r="R64" s="5" t="s">
        <v>42</v>
      </c>
      <c r="S64" s="11">
        <v>120000</v>
      </c>
      <c r="T64" s="7" t="s">
        <v>43</v>
      </c>
      <c r="U64" s="5" t="s">
        <v>44</v>
      </c>
      <c r="V64" s="6">
        <v>42396</v>
      </c>
      <c r="W64" s="6">
        <v>42429</v>
      </c>
      <c r="X64" s="48" t="s">
        <v>165</v>
      </c>
      <c r="Y64" s="5" t="s">
        <v>166</v>
      </c>
      <c r="Z64" s="5" t="s">
        <v>167</v>
      </c>
      <c r="AA64" s="40" t="s">
        <v>40</v>
      </c>
      <c r="AB64" s="5" t="s">
        <v>40</v>
      </c>
    </row>
    <row r="65" spans="1:28" ht="72.599999999999994" customHeight="1">
      <c r="A65" s="5">
        <v>2016</v>
      </c>
      <c r="B65" s="5" t="s">
        <v>64</v>
      </c>
      <c r="C65" s="79" t="s">
        <v>168</v>
      </c>
      <c r="D65" s="12">
        <v>42387</v>
      </c>
      <c r="E65" s="7" t="s">
        <v>169</v>
      </c>
      <c r="F65" s="7" t="s">
        <v>67</v>
      </c>
      <c r="G65" s="8">
        <v>1615350.24</v>
      </c>
      <c r="H65" s="7" t="s">
        <v>170</v>
      </c>
      <c r="I65" s="5" t="s">
        <v>171</v>
      </c>
      <c r="J65" s="5" t="s">
        <v>107</v>
      </c>
      <c r="K65" s="5" t="s">
        <v>172</v>
      </c>
      <c r="L65" s="7" t="s">
        <v>173</v>
      </c>
      <c r="M65" s="5" t="s">
        <v>174</v>
      </c>
      <c r="N65" s="8">
        <f t="shared" si="0"/>
        <v>1615350.24</v>
      </c>
      <c r="O65" s="78">
        <v>1615350.24</v>
      </c>
      <c r="P65" s="5" t="s">
        <v>175</v>
      </c>
      <c r="Q65" s="8">
        <f>N65/6297</f>
        <v>256.52695569318723</v>
      </c>
      <c r="R65" s="5" t="s">
        <v>42</v>
      </c>
      <c r="S65" s="11">
        <v>25642</v>
      </c>
      <c r="T65" s="7" t="s">
        <v>43</v>
      </c>
      <c r="U65" s="5" t="s">
        <v>44</v>
      </c>
      <c r="V65" s="6">
        <v>42388</v>
      </c>
      <c r="W65" s="6">
        <v>42429</v>
      </c>
      <c r="X65" s="48" t="s">
        <v>87</v>
      </c>
      <c r="Y65" s="5" t="s">
        <v>88</v>
      </c>
      <c r="Z65" s="5" t="s">
        <v>89</v>
      </c>
      <c r="AA65" s="40" t="s">
        <v>40</v>
      </c>
      <c r="AB65" s="5" t="s">
        <v>40</v>
      </c>
    </row>
    <row r="66" spans="1:28" ht="81">
      <c r="A66" s="5">
        <v>2016</v>
      </c>
      <c r="B66" s="5" t="s">
        <v>64</v>
      </c>
      <c r="C66" s="79" t="s">
        <v>176</v>
      </c>
      <c r="D66" s="12">
        <v>42387</v>
      </c>
      <c r="E66" s="7" t="s">
        <v>177</v>
      </c>
      <c r="F66" s="7" t="s">
        <v>67</v>
      </c>
      <c r="G66" s="8">
        <v>1245297.3500000001</v>
      </c>
      <c r="H66" s="7" t="s">
        <v>170</v>
      </c>
      <c r="I66" s="5" t="s">
        <v>178</v>
      </c>
      <c r="J66" s="5" t="s">
        <v>70</v>
      </c>
      <c r="K66" s="5" t="s">
        <v>71</v>
      </c>
      <c r="L66" s="7" t="s">
        <v>179</v>
      </c>
      <c r="M66" s="5" t="s">
        <v>180</v>
      </c>
      <c r="N66" s="8">
        <f t="shared" si="0"/>
        <v>1245297.3500000001</v>
      </c>
      <c r="O66" s="78">
        <v>1184976.27</v>
      </c>
      <c r="P66" s="5" t="s">
        <v>181</v>
      </c>
      <c r="Q66" s="8">
        <f>N66/6297</f>
        <v>197.7604176592028</v>
      </c>
      <c r="R66" s="5" t="s">
        <v>42</v>
      </c>
      <c r="S66" s="11">
        <v>25642</v>
      </c>
      <c r="T66" s="7" t="s">
        <v>43</v>
      </c>
      <c r="U66" s="5" t="s">
        <v>44</v>
      </c>
      <c r="V66" s="6">
        <v>42388</v>
      </c>
      <c r="W66" s="6">
        <v>42429</v>
      </c>
      <c r="X66" s="48" t="s">
        <v>87</v>
      </c>
      <c r="Y66" s="5" t="s">
        <v>88</v>
      </c>
      <c r="Z66" s="5" t="s">
        <v>89</v>
      </c>
      <c r="AA66" s="40" t="s">
        <v>40</v>
      </c>
      <c r="AB66" s="5" t="s">
        <v>40</v>
      </c>
    </row>
    <row r="67" spans="1:28" ht="148.5">
      <c r="A67" s="5">
        <v>2016</v>
      </c>
      <c r="B67" s="5" t="s">
        <v>64</v>
      </c>
      <c r="C67" s="79" t="s">
        <v>182</v>
      </c>
      <c r="D67" s="12">
        <v>42413</v>
      </c>
      <c r="E67" s="7" t="s">
        <v>183</v>
      </c>
      <c r="F67" s="7" t="s">
        <v>184</v>
      </c>
      <c r="G67" s="8">
        <v>1029282.8540000001</v>
      </c>
      <c r="H67" s="7" t="s">
        <v>185</v>
      </c>
      <c r="I67" s="5" t="s">
        <v>186</v>
      </c>
      <c r="J67" s="5" t="s">
        <v>187</v>
      </c>
      <c r="K67" s="5" t="s">
        <v>188</v>
      </c>
      <c r="L67" s="7" t="s">
        <v>189</v>
      </c>
      <c r="M67" s="5" t="s">
        <v>190</v>
      </c>
      <c r="N67" s="8">
        <f t="shared" si="0"/>
        <v>1029282.8540000001</v>
      </c>
      <c r="O67" s="77" t="s">
        <v>40</v>
      </c>
      <c r="P67" s="5" t="s">
        <v>191</v>
      </c>
      <c r="Q67" s="8">
        <f>N67/781</f>
        <v>1317.9037823303458</v>
      </c>
      <c r="R67" s="5" t="s">
        <v>42</v>
      </c>
      <c r="S67" s="11">
        <v>6339</v>
      </c>
      <c r="T67" s="7" t="s">
        <v>43</v>
      </c>
      <c r="U67" s="5" t="s">
        <v>44</v>
      </c>
      <c r="V67" s="6">
        <v>42415</v>
      </c>
      <c r="W67" s="6">
        <v>42484</v>
      </c>
      <c r="X67" s="48" t="s">
        <v>131</v>
      </c>
      <c r="Y67" s="5" t="s">
        <v>132</v>
      </c>
      <c r="Z67" s="5" t="s">
        <v>133</v>
      </c>
      <c r="AA67" s="40" t="s">
        <v>40</v>
      </c>
      <c r="AB67" s="5" t="s">
        <v>40</v>
      </c>
    </row>
    <row r="68" spans="1:28" ht="81">
      <c r="A68" s="5">
        <v>2016</v>
      </c>
      <c r="B68" s="5" t="s">
        <v>64</v>
      </c>
      <c r="C68" s="79" t="s">
        <v>192</v>
      </c>
      <c r="D68" s="12">
        <v>42420</v>
      </c>
      <c r="E68" s="7" t="s">
        <v>193</v>
      </c>
      <c r="F68" s="7" t="s">
        <v>67</v>
      </c>
      <c r="G68" s="8">
        <v>1480259.25</v>
      </c>
      <c r="H68" s="7" t="s">
        <v>194</v>
      </c>
      <c r="I68" s="5" t="s">
        <v>195</v>
      </c>
      <c r="J68" s="5" t="s">
        <v>196</v>
      </c>
      <c r="K68" s="5" t="s">
        <v>197</v>
      </c>
      <c r="L68" s="7" t="s">
        <v>198</v>
      </c>
      <c r="M68" s="5" t="s">
        <v>199</v>
      </c>
      <c r="N68" s="8">
        <f t="shared" si="0"/>
        <v>1480259.25</v>
      </c>
      <c r="O68" s="78">
        <v>1480062.03</v>
      </c>
      <c r="P68" s="5" t="s">
        <v>200</v>
      </c>
      <c r="Q68" s="8">
        <f>N68/850</f>
        <v>1741.4814705882352</v>
      </c>
      <c r="R68" s="5" t="s">
        <v>42</v>
      </c>
      <c r="S68" s="11">
        <v>279130</v>
      </c>
      <c r="T68" s="7" t="s">
        <v>43</v>
      </c>
      <c r="U68" s="5" t="s">
        <v>44</v>
      </c>
      <c r="V68" s="6">
        <v>42422</v>
      </c>
      <c r="W68" s="6">
        <v>42505</v>
      </c>
      <c r="X68" s="48" t="s">
        <v>87</v>
      </c>
      <c r="Y68" s="5" t="s">
        <v>88</v>
      </c>
      <c r="Z68" s="5" t="s">
        <v>89</v>
      </c>
      <c r="AA68" s="93" t="s">
        <v>1383</v>
      </c>
      <c r="AB68" s="5" t="s">
        <v>40</v>
      </c>
    </row>
    <row r="69" spans="1:28" ht="94.5">
      <c r="A69" s="5">
        <v>2016</v>
      </c>
      <c r="B69" s="5" t="s">
        <v>64</v>
      </c>
      <c r="C69" s="79" t="s">
        <v>201</v>
      </c>
      <c r="D69" s="12">
        <v>42420</v>
      </c>
      <c r="E69" s="7" t="s">
        <v>202</v>
      </c>
      <c r="F69" s="7" t="s">
        <v>67</v>
      </c>
      <c r="G69" s="8">
        <v>595635.78</v>
      </c>
      <c r="H69" s="7" t="s">
        <v>203</v>
      </c>
      <c r="I69" s="5" t="s">
        <v>204</v>
      </c>
      <c r="J69" s="5" t="s">
        <v>205</v>
      </c>
      <c r="K69" s="5" t="s">
        <v>206</v>
      </c>
      <c r="L69" s="7" t="s">
        <v>207</v>
      </c>
      <c r="M69" s="5" t="s">
        <v>208</v>
      </c>
      <c r="N69" s="8">
        <f t="shared" si="0"/>
        <v>595635.78</v>
      </c>
      <c r="O69" s="77" t="s">
        <v>40</v>
      </c>
      <c r="P69" s="5" t="s">
        <v>209</v>
      </c>
      <c r="Q69" s="8">
        <f>N69/1007.23</f>
        <v>591.36024542557311</v>
      </c>
      <c r="R69" s="5" t="s">
        <v>42</v>
      </c>
      <c r="S69" s="11">
        <v>4008</v>
      </c>
      <c r="T69" s="7" t="s">
        <v>43</v>
      </c>
      <c r="U69" s="5" t="s">
        <v>44</v>
      </c>
      <c r="V69" s="6">
        <v>42422</v>
      </c>
      <c r="W69" s="6">
        <v>42484</v>
      </c>
      <c r="X69" s="48" t="s">
        <v>210</v>
      </c>
      <c r="Y69" s="5" t="s">
        <v>211</v>
      </c>
      <c r="Z69" s="5" t="s">
        <v>212</v>
      </c>
      <c r="AA69" s="40" t="s">
        <v>40</v>
      </c>
      <c r="AB69" s="5" t="s">
        <v>40</v>
      </c>
    </row>
    <row r="70" spans="1:28" ht="54">
      <c r="A70" s="5">
        <v>2016</v>
      </c>
      <c r="B70" s="5" t="s">
        <v>64</v>
      </c>
      <c r="C70" s="79" t="s">
        <v>213</v>
      </c>
      <c r="D70" s="12">
        <v>42420</v>
      </c>
      <c r="E70" s="7" t="s">
        <v>214</v>
      </c>
      <c r="F70" s="7" t="s">
        <v>184</v>
      </c>
      <c r="G70" s="8">
        <v>680157.27</v>
      </c>
      <c r="H70" s="7" t="s">
        <v>215</v>
      </c>
      <c r="I70" s="5" t="s">
        <v>216</v>
      </c>
      <c r="J70" s="5" t="s">
        <v>217</v>
      </c>
      <c r="K70" s="5" t="s">
        <v>218</v>
      </c>
      <c r="L70" s="7" t="s">
        <v>219</v>
      </c>
      <c r="M70" s="5" t="s">
        <v>220</v>
      </c>
      <c r="N70" s="8">
        <f t="shared" si="0"/>
        <v>680157.27</v>
      </c>
      <c r="O70" s="77" t="s">
        <v>40</v>
      </c>
      <c r="P70" s="5" t="s">
        <v>221</v>
      </c>
      <c r="Q70" s="8">
        <f>N70/12</f>
        <v>56679.772499999999</v>
      </c>
      <c r="R70" s="5" t="s">
        <v>222</v>
      </c>
      <c r="S70" s="11">
        <v>1243756</v>
      </c>
      <c r="T70" s="7" t="s">
        <v>43</v>
      </c>
      <c r="U70" s="5" t="s">
        <v>44</v>
      </c>
      <c r="V70" s="6">
        <v>42422</v>
      </c>
      <c r="W70" s="6">
        <v>42484</v>
      </c>
      <c r="X70" s="48" t="s">
        <v>99</v>
      </c>
      <c r="Y70" s="5" t="s">
        <v>100</v>
      </c>
      <c r="Z70" s="5" t="s">
        <v>101</v>
      </c>
      <c r="AA70" s="53" t="s">
        <v>1232</v>
      </c>
      <c r="AB70" s="5" t="s">
        <v>40</v>
      </c>
    </row>
    <row r="71" spans="1:28" ht="40.5">
      <c r="A71" s="5">
        <v>2016</v>
      </c>
      <c r="B71" s="5" t="s">
        <v>64</v>
      </c>
      <c r="C71" s="79" t="s">
        <v>223</v>
      </c>
      <c r="D71" s="12">
        <v>42406</v>
      </c>
      <c r="E71" s="7" t="s">
        <v>224</v>
      </c>
      <c r="F71" s="7" t="s">
        <v>184</v>
      </c>
      <c r="G71" s="8">
        <v>1135877.45</v>
      </c>
      <c r="H71" s="7" t="s">
        <v>225</v>
      </c>
      <c r="I71" s="5" t="s">
        <v>226</v>
      </c>
      <c r="J71" s="5" t="s">
        <v>227</v>
      </c>
      <c r="K71" s="5" t="s">
        <v>228</v>
      </c>
      <c r="L71" s="15" t="s">
        <v>229</v>
      </c>
      <c r="M71" s="5" t="s">
        <v>230</v>
      </c>
      <c r="N71" s="8">
        <f t="shared" si="0"/>
        <v>1135877.45</v>
      </c>
      <c r="O71" s="77" t="s">
        <v>40</v>
      </c>
      <c r="P71" s="5" t="s">
        <v>231</v>
      </c>
      <c r="Q71" s="8" t="s">
        <v>231</v>
      </c>
      <c r="R71" s="5" t="s">
        <v>232</v>
      </c>
      <c r="S71" s="11" t="s">
        <v>232</v>
      </c>
      <c r="T71" s="7" t="s">
        <v>43</v>
      </c>
      <c r="U71" s="5" t="s">
        <v>44</v>
      </c>
      <c r="V71" s="6">
        <v>42408</v>
      </c>
      <c r="W71" s="6">
        <v>42551</v>
      </c>
      <c r="X71" s="48" t="s">
        <v>233</v>
      </c>
      <c r="Y71" s="5" t="s">
        <v>234</v>
      </c>
      <c r="Z71" s="5" t="s">
        <v>235</v>
      </c>
      <c r="AA71" s="40" t="s">
        <v>40</v>
      </c>
      <c r="AB71" s="5" t="s">
        <v>40</v>
      </c>
    </row>
    <row r="72" spans="1:28" ht="54">
      <c r="A72" s="5">
        <v>2016</v>
      </c>
      <c r="B72" s="5" t="s">
        <v>64</v>
      </c>
      <c r="C72" s="79" t="s">
        <v>236</v>
      </c>
      <c r="D72" s="12">
        <v>42406</v>
      </c>
      <c r="E72" s="7" t="s">
        <v>237</v>
      </c>
      <c r="F72" s="7" t="s">
        <v>184</v>
      </c>
      <c r="G72" s="8">
        <v>1394867.44</v>
      </c>
      <c r="H72" s="7" t="s">
        <v>225</v>
      </c>
      <c r="I72" s="5" t="s">
        <v>238</v>
      </c>
      <c r="J72" s="5" t="s">
        <v>239</v>
      </c>
      <c r="K72" s="5" t="s">
        <v>240</v>
      </c>
      <c r="L72" s="7" t="s">
        <v>241</v>
      </c>
      <c r="M72" s="5" t="s">
        <v>242</v>
      </c>
      <c r="N72" s="8">
        <f t="shared" si="0"/>
        <v>1394867.44</v>
      </c>
      <c r="O72" s="77" t="s">
        <v>40</v>
      </c>
      <c r="P72" s="5" t="s">
        <v>231</v>
      </c>
      <c r="Q72" s="8" t="s">
        <v>231</v>
      </c>
      <c r="R72" s="5" t="s">
        <v>232</v>
      </c>
      <c r="S72" s="11" t="s">
        <v>232</v>
      </c>
      <c r="T72" s="7" t="s">
        <v>43</v>
      </c>
      <c r="U72" s="5" t="s">
        <v>44</v>
      </c>
      <c r="V72" s="6">
        <v>42408</v>
      </c>
      <c r="W72" s="6">
        <v>42551</v>
      </c>
      <c r="X72" s="48" t="s">
        <v>243</v>
      </c>
      <c r="Y72" s="5" t="s">
        <v>244</v>
      </c>
      <c r="Z72" s="5" t="s">
        <v>245</v>
      </c>
      <c r="AA72" s="40" t="s">
        <v>40</v>
      </c>
      <c r="AB72" s="5" t="s">
        <v>40</v>
      </c>
    </row>
    <row r="73" spans="1:28" ht="40.5">
      <c r="A73" s="5">
        <v>2016</v>
      </c>
      <c r="B73" s="5" t="s">
        <v>64</v>
      </c>
      <c r="C73" s="79" t="s">
        <v>246</v>
      </c>
      <c r="D73" s="12">
        <v>42406</v>
      </c>
      <c r="E73" s="7" t="s">
        <v>247</v>
      </c>
      <c r="F73" s="7" t="s">
        <v>184</v>
      </c>
      <c r="G73" s="8">
        <v>1293527.1299999999</v>
      </c>
      <c r="H73" s="7" t="s">
        <v>225</v>
      </c>
      <c r="I73" s="9" t="s">
        <v>248</v>
      </c>
      <c r="J73" s="9" t="s">
        <v>133</v>
      </c>
      <c r="K73" s="9" t="s">
        <v>249</v>
      </c>
      <c r="L73" s="7" t="s">
        <v>250</v>
      </c>
      <c r="M73" s="9" t="s">
        <v>251</v>
      </c>
      <c r="N73" s="8">
        <f t="shared" si="0"/>
        <v>1293527.1299999999</v>
      </c>
      <c r="O73" s="77" t="s">
        <v>40</v>
      </c>
      <c r="P73" s="5" t="s">
        <v>231</v>
      </c>
      <c r="Q73" s="8" t="s">
        <v>231</v>
      </c>
      <c r="R73" s="5" t="s">
        <v>232</v>
      </c>
      <c r="S73" s="11" t="s">
        <v>232</v>
      </c>
      <c r="T73" s="7" t="s">
        <v>43</v>
      </c>
      <c r="U73" s="5" t="s">
        <v>44</v>
      </c>
      <c r="V73" s="6">
        <v>42408</v>
      </c>
      <c r="W73" s="6">
        <v>42551</v>
      </c>
      <c r="X73" s="48" t="s">
        <v>252</v>
      </c>
      <c r="Y73" s="5" t="s">
        <v>253</v>
      </c>
      <c r="Z73" s="5" t="s">
        <v>254</v>
      </c>
      <c r="AA73" s="40" t="s">
        <v>40</v>
      </c>
      <c r="AB73" s="5" t="s">
        <v>40</v>
      </c>
    </row>
    <row r="74" spans="1:28" ht="54">
      <c r="A74" s="5">
        <v>2016</v>
      </c>
      <c r="B74" s="5" t="s">
        <v>64</v>
      </c>
      <c r="C74" s="79" t="s">
        <v>255</v>
      </c>
      <c r="D74" s="12">
        <v>42406</v>
      </c>
      <c r="E74" s="7" t="s">
        <v>256</v>
      </c>
      <c r="F74" s="7" t="s">
        <v>184</v>
      </c>
      <c r="G74" s="8">
        <v>1456436.78</v>
      </c>
      <c r="H74" s="7" t="s">
        <v>225</v>
      </c>
      <c r="I74" s="5" t="s">
        <v>257</v>
      </c>
      <c r="J74" s="5" t="s">
        <v>258</v>
      </c>
      <c r="K74" s="5" t="s">
        <v>259</v>
      </c>
      <c r="L74" s="15" t="s">
        <v>260</v>
      </c>
      <c r="M74" s="5" t="s">
        <v>261</v>
      </c>
      <c r="N74" s="8">
        <f t="shared" si="0"/>
        <v>1456436.78</v>
      </c>
      <c r="O74" s="77" t="s">
        <v>40</v>
      </c>
      <c r="P74" s="5" t="s">
        <v>231</v>
      </c>
      <c r="Q74" s="8" t="s">
        <v>231</v>
      </c>
      <c r="R74" s="5" t="s">
        <v>232</v>
      </c>
      <c r="S74" s="11" t="s">
        <v>232</v>
      </c>
      <c r="T74" s="7" t="s">
        <v>43</v>
      </c>
      <c r="U74" s="5" t="s">
        <v>44</v>
      </c>
      <c r="V74" s="6">
        <v>42408</v>
      </c>
      <c r="W74" s="6">
        <v>42735</v>
      </c>
      <c r="X74" s="48" t="s">
        <v>262</v>
      </c>
      <c r="Y74" s="5" t="s">
        <v>112</v>
      </c>
      <c r="Z74" s="5" t="s">
        <v>263</v>
      </c>
      <c r="AA74" s="40" t="s">
        <v>40</v>
      </c>
      <c r="AB74" s="5" t="s">
        <v>40</v>
      </c>
    </row>
    <row r="75" spans="1:28" ht="54">
      <c r="A75" s="5">
        <v>2016</v>
      </c>
      <c r="B75" s="5" t="s">
        <v>64</v>
      </c>
      <c r="C75" s="79" t="s">
        <v>264</v>
      </c>
      <c r="D75" s="12">
        <v>42406</v>
      </c>
      <c r="E75" s="7" t="s">
        <v>265</v>
      </c>
      <c r="F75" s="7" t="s">
        <v>184</v>
      </c>
      <c r="G75" s="8">
        <v>1528326.3</v>
      </c>
      <c r="H75" s="7" t="s">
        <v>225</v>
      </c>
      <c r="I75" s="5" t="s">
        <v>266</v>
      </c>
      <c r="J75" s="5" t="s">
        <v>267</v>
      </c>
      <c r="K75" s="5" t="s">
        <v>268</v>
      </c>
      <c r="L75" s="15" t="s">
        <v>269</v>
      </c>
      <c r="M75" s="5" t="s">
        <v>270</v>
      </c>
      <c r="N75" s="8">
        <f t="shared" si="0"/>
        <v>1528326.3</v>
      </c>
      <c r="O75" s="77" t="s">
        <v>40</v>
      </c>
      <c r="P75" s="5" t="s">
        <v>231</v>
      </c>
      <c r="Q75" s="8" t="s">
        <v>231</v>
      </c>
      <c r="R75" s="5" t="s">
        <v>232</v>
      </c>
      <c r="S75" s="11" t="s">
        <v>232</v>
      </c>
      <c r="T75" s="7" t="s">
        <v>43</v>
      </c>
      <c r="U75" s="5" t="s">
        <v>44</v>
      </c>
      <c r="V75" s="6">
        <v>42408</v>
      </c>
      <c r="W75" s="6">
        <v>42735</v>
      </c>
      <c r="X75" s="5" t="s">
        <v>262</v>
      </c>
      <c r="Y75" s="5" t="s">
        <v>112</v>
      </c>
      <c r="Z75" s="5" t="s">
        <v>263</v>
      </c>
      <c r="AA75" s="53" t="s">
        <v>1384</v>
      </c>
      <c r="AB75" s="5" t="s">
        <v>40</v>
      </c>
    </row>
    <row r="76" spans="1:28" ht="54">
      <c r="A76" s="5">
        <v>2016</v>
      </c>
      <c r="B76" s="5" t="s">
        <v>64</v>
      </c>
      <c r="C76" s="79" t="s">
        <v>271</v>
      </c>
      <c r="D76" s="12">
        <v>42406</v>
      </c>
      <c r="E76" s="7" t="s">
        <v>272</v>
      </c>
      <c r="F76" s="7" t="s">
        <v>184</v>
      </c>
      <c r="G76" s="8">
        <v>1201315.48</v>
      </c>
      <c r="H76" s="7" t="s">
        <v>225</v>
      </c>
      <c r="I76" s="5" t="s">
        <v>273</v>
      </c>
      <c r="J76" s="5" t="s">
        <v>258</v>
      </c>
      <c r="K76" s="5" t="s">
        <v>274</v>
      </c>
      <c r="L76" s="7" t="s">
        <v>275</v>
      </c>
      <c r="M76" s="5" t="s">
        <v>276</v>
      </c>
      <c r="N76" s="8">
        <f t="shared" si="0"/>
        <v>1201315.48</v>
      </c>
      <c r="O76" s="77" t="s">
        <v>40</v>
      </c>
      <c r="P76" s="5" t="s">
        <v>231</v>
      </c>
      <c r="Q76" s="8" t="s">
        <v>231</v>
      </c>
      <c r="R76" s="5" t="s">
        <v>232</v>
      </c>
      <c r="S76" s="11" t="s">
        <v>232</v>
      </c>
      <c r="T76" s="7" t="s">
        <v>43</v>
      </c>
      <c r="U76" s="5" t="s">
        <v>44</v>
      </c>
      <c r="V76" s="6">
        <v>42408</v>
      </c>
      <c r="W76" s="6">
        <v>42551</v>
      </c>
      <c r="X76" s="5" t="s">
        <v>262</v>
      </c>
      <c r="Y76" s="5" t="s">
        <v>112</v>
      </c>
      <c r="Z76" s="5" t="s">
        <v>263</v>
      </c>
      <c r="AA76" s="53" t="s">
        <v>1233</v>
      </c>
      <c r="AB76" s="5" t="s">
        <v>40</v>
      </c>
    </row>
    <row r="77" spans="1:28" ht="40.5">
      <c r="A77" s="5">
        <v>2016</v>
      </c>
      <c r="B77" s="5" t="s">
        <v>64</v>
      </c>
      <c r="C77" s="79" t="s">
        <v>277</v>
      </c>
      <c r="D77" s="12">
        <v>42406</v>
      </c>
      <c r="E77" s="7" t="s">
        <v>278</v>
      </c>
      <c r="F77" s="7" t="s">
        <v>184</v>
      </c>
      <c r="G77" s="8">
        <v>1385659.75</v>
      </c>
      <c r="H77" s="7" t="s">
        <v>225</v>
      </c>
      <c r="I77" s="5" t="s">
        <v>279</v>
      </c>
      <c r="J77" s="5" t="s">
        <v>280</v>
      </c>
      <c r="K77" s="5" t="s">
        <v>281</v>
      </c>
      <c r="L77" s="15" t="s">
        <v>282</v>
      </c>
      <c r="M77" s="5" t="s">
        <v>283</v>
      </c>
      <c r="N77" s="8">
        <f t="shared" si="0"/>
        <v>1385659.75</v>
      </c>
      <c r="O77" s="77" t="s">
        <v>40</v>
      </c>
      <c r="P77" s="5" t="s">
        <v>231</v>
      </c>
      <c r="Q77" s="8" t="s">
        <v>231</v>
      </c>
      <c r="R77" s="5" t="s">
        <v>232</v>
      </c>
      <c r="S77" s="11" t="s">
        <v>232</v>
      </c>
      <c r="T77" s="7" t="s">
        <v>43</v>
      </c>
      <c r="U77" s="5" t="s">
        <v>44</v>
      </c>
      <c r="V77" s="6">
        <v>42408</v>
      </c>
      <c r="W77" s="6">
        <v>42551</v>
      </c>
      <c r="X77" s="5" t="s">
        <v>284</v>
      </c>
      <c r="Y77" s="5" t="s">
        <v>285</v>
      </c>
      <c r="Z77" s="5" t="s">
        <v>286</v>
      </c>
      <c r="AA77" s="40" t="s">
        <v>40</v>
      </c>
      <c r="AB77" s="5" t="s">
        <v>40</v>
      </c>
    </row>
    <row r="78" spans="1:28" ht="54">
      <c r="A78" s="5">
        <v>2016</v>
      </c>
      <c r="B78" s="5" t="s">
        <v>64</v>
      </c>
      <c r="C78" s="16" t="s">
        <v>287</v>
      </c>
      <c r="D78" s="12">
        <v>42413</v>
      </c>
      <c r="E78" s="7" t="s">
        <v>288</v>
      </c>
      <c r="F78" s="7" t="s">
        <v>67</v>
      </c>
      <c r="G78" s="8">
        <v>1547300.2</v>
      </c>
      <c r="H78" s="7" t="s">
        <v>289</v>
      </c>
      <c r="I78" s="5" t="s">
        <v>290</v>
      </c>
      <c r="J78" s="5" t="s">
        <v>291</v>
      </c>
      <c r="K78" s="5" t="s">
        <v>117</v>
      </c>
      <c r="L78" s="7" t="s">
        <v>292</v>
      </c>
      <c r="M78" s="5" t="s">
        <v>293</v>
      </c>
      <c r="N78" s="8">
        <f t="shared" si="0"/>
        <v>1547300.2</v>
      </c>
      <c r="O78" s="78">
        <v>1547263.27</v>
      </c>
      <c r="P78" s="5" t="s">
        <v>294</v>
      </c>
      <c r="Q78" s="8">
        <f>N78/2546.52</f>
        <v>607.61360601919478</v>
      </c>
      <c r="R78" s="5" t="s">
        <v>42</v>
      </c>
      <c r="S78" s="11">
        <v>2614</v>
      </c>
      <c r="T78" s="7" t="s">
        <v>43</v>
      </c>
      <c r="U78" s="5" t="s">
        <v>44</v>
      </c>
      <c r="V78" s="6">
        <v>42415</v>
      </c>
      <c r="W78" s="6">
        <v>42475</v>
      </c>
      <c r="X78" s="5" t="s">
        <v>210</v>
      </c>
      <c r="Y78" s="5" t="s">
        <v>295</v>
      </c>
      <c r="Z78" s="5" t="s">
        <v>254</v>
      </c>
      <c r="AA78" s="16" t="s">
        <v>925</v>
      </c>
      <c r="AB78" s="5" t="s">
        <v>40</v>
      </c>
    </row>
    <row r="79" spans="1:28" ht="67.5">
      <c r="A79" s="5">
        <v>2016</v>
      </c>
      <c r="B79" s="5" t="s">
        <v>296</v>
      </c>
      <c r="C79" s="79" t="s">
        <v>297</v>
      </c>
      <c r="D79" s="12">
        <v>42494</v>
      </c>
      <c r="E79" s="7" t="s">
        <v>298</v>
      </c>
      <c r="F79" s="7" t="s">
        <v>67</v>
      </c>
      <c r="G79" s="8">
        <v>3199054.38</v>
      </c>
      <c r="H79" s="7" t="s">
        <v>299</v>
      </c>
      <c r="I79" s="5" t="s">
        <v>252</v>
      </c>
      <c r="J79" s="5" t="s">
        <v>300</v>
      </c>
      <c r="K79" s="5" t="s">
        <v>117</v>
      </c>
      <c r="L79" s="7" t="s">
        <v>301</v>
      </c>
      <c r="M79" s="5" t="s">
        <v>302</v>
      </c>
      <c r="N79" s="8">
        <f>G79</f>
        <v>3199054.38</v>
      </c>
      <c r="O79" s="77" t="s">
        <v>40</v>
      </c>
      <c r="P79" s="5" t="s">
        <v>303</v>
      </c>
      <c r="Q79" s="8">
        <f>N79/525</f>
        <v>6093.436914285714</v>
      </c>
      <c r="R79" s="5" t="s">
        <v>42</v>
      </c>
      <c r="S79" s="11">
        <v>2614</v>
      </c>
      <c r="T79" s="7" t="s">
        <v>43</v>
      </c>
      <c r="U79" s="5" t="s">
        <v>44</v>
      </c>
      <c r="V79" s="6">
        <v>42495</v>
      </c>
      <c r="W79" s="6">
        <v>42580</v>
      </c>
      <c r="X79" s="5" t="s">
        <v>304</v>
      </c>
      <c r="Y79" s="5" t="s">
        <v>305</v>
      </c>
      <c r="Z79" s="5" t="s">
        <v>306</v>
      </c>
      <c r="AA79" s="40" t="s">
        <v>40</v>
      </c>
      <c r="AB79" s="5" t="s">
        <v>40</v>
      </c>
    </row>
    <row r="80" spans="1:28" ht="62.25" customHeight="1">
      <c r="A80" s="5">
        <v>2016</v>
      </c>
      <c r="B80" s="5" t="s">
        <v>296</v>
      </c>
      <c r="C80" s="16" t="s">
        <v>307</v>
      </c>
      <c r="D80" s="12">
        <v>42494</v>
      </c>
      <c r="E80" s="7" t="s">
        <v>308</v>
      </c>
      <c r="F80" s="7" t="s">
        <v>184</v>
      </c>
      <c r="G80" s="8">
        <v>3490706.8</v>
      </c>
      <c r="H80" s="7" t="s">
        <v>309</v>
      </c>
      <c r="I80" s="5" t="s">
        <v>310</v>
      </c>
      <c r="J80" s="5" t="s">
        <v>311</v>
      </c>
      <c r="K80" s="5" t="s">
        <v>245</v>
      </c>
      <c r="L80" s="7" t="s">
        <v>312</v>
      </c>
      <c r="M80" s="5" t="s">
        <v>313</v>
      </c>
      <c r="N80" s="8">
        <f t="shared" si="0"/>
        <v>3490706.8</v>
      </c>
      <c r="O80" s="77" t="s">
        <v>40</v>
      </c>
      <c r="P80" s="5" t="s">
        <v>231</v>
      </c>
      <c r="Q80" s="5" t="s">
        <v>231</v>
      </c>
      <c r="R80" s="5" t="s">
        <v>232</v>
      </c>
      <c r="S80" s="5" t="s">
        <v>232</v>
      </c>
      <c r="T80" s="7" t="s">
        <v>43</v>
      </c>
      <c r="U80" s="5" t="s">
        <v>44</v>
      </c>
      <c r="V80" s="6">
        <v>42495</v>
      </c>
      <c r="W80" s="6">
        <v>42580</v>
      </c>
      <c r="X80" s="5" t="s">
        <v>314</v>
      </c>
      <c r="Y80" s="5" t="s">
        <v>315</v>
      </c>
      <c r="Z80" s="5" t="s">
        <v>316</v>
      </c>
      <c r="AA80" s="53" t="s">
        <v>925</v>
      </c>
      <c r="AB80" s="5" t="s">
        <v>40</v>
      </c>
    </row>
    <row r="81" spans="1:28" ht="72" customHeight="1">
      <c r="A81" s="5">
        <v>2016</v>
      </c>
      <c r="B81" s="5" t="s">
        <v>296</v>
      </c>
      <c r="C81" s="79" t="s">
        <v>317</v>
      </c>
      <c r="D81" s="12">
        <v>42494</v>
      </c>
      <c r="E81" s="7" t="s">
        <v>318</v>
      </c>
      <c r="F81" s="7" t="s">
        <v>67</v>
      </c>
      <c r="G81" s="8">
        <v>4875705.4800000004</v>
      </c>
      <c r="H81" s="7" t="s">
        <v>319</v>
      </c>
      <c r="I81" s="5" t="s">
        <v>320</v>
      </c>
      <c r="J81" s="5" t="s">
        <v>172</v>
      </c>
      <c r="K81" s="5" t="s">
        <v>321</v>
      </c>
      <c r="L81" s="7" t="s">
        <v>322</v>
      </c>
      <c r="M81" s="5" t="s">
        <v>323</v>
      </c>
      <c r="N81" s="8">
        <f t="shared" si="0"/>
        <v>4875705.4800000004</v>
      </c>
      <c r="O81" s="77" t="s">
        <v>40</v>
      </c>
      <c r="P81" s="5" t="s">
        <v>231</v>
      </c>
      <c r="Q81" s="5" t="s">
        <v>231</v>
      </c>
      <c r="R81" s="5" t="s">
        <v>232</v>
      </c>
      <c r="S81" s="5" t="s">
        <v>232</v>
      </c>
      <c r="T81" s="7" t="s">
        <v>43</v>
      </c>
      <c r="U81" s="5" t="s">
        <v>44</v>
      </c>
      <c r="V81" s="6">
        <v>42495</v>
      </c>
      <c r="W81" s="6">
        <v>42580</v>
      </c>
      <c r="X81" s="5" t="s">
        <v>324</v>
      </c>
      <c r="Y81" s="5" t="s">
        <v>149</v>
      </c>
      <c r="Z81" s="5" t="s">
        <v>325</v>
      </c>
      <c r="AA81" s="53" t="s">
        <v>1234</v>
      </c>
      <c r="AB81" s="5" t="s">
        <v>40</v>
      </c>
    </row>
    <row r="82" spans="1:28" ht="135">
      <c r="A82" s="5">
        <v>2016</v>
      </c>
      <c r="B82" s="5" t="s">
        <v>30</v>
      </c>
      <c r="C82" s="79" t="s">
        <v>326</v>
      </c>
      <c r="D82" s="12">
        <v>42494</v>
      </c>
      <c r="E82" s="7" t="s">
        <v>327</v>
      </c>
      <c r="F82" s="7" t="s">
        <v>67</v>
      </c>
      <c r="G82" s="8">
        <v>2407303.62</v>
      </c>
      <c r="H82" s="7" t="s">
        <v>328</v>
      </c>
      <c r="I82" s="5" t="s">
        <v>105</v>
      </c>
      <c r="J82" s="5" t="s">
        <v>259</v>
      </c>
      <c r="K82" s="5" t="s">
        <v>329</v>
      </c>
      <c r="L82" s="7" t="s">
        <v>330</v>
      </c>
      <c r="M82" s="5" t="s">
        <v>331</v>
      </c>
      <c r="N82" s="8">
        <f t="shared" si="0"/>
        <v>2407303.62</v>
      </c>
      <c r="O82" s="77" t="s">
        <v>40</v>
      </c>
      <c r="P82" s="5" t="s">
        <v>332</v>
      </c>
      <c r="Q82" s="8">
        <f>N82/1943</f>
        <v>1238.9622336592897</v>
      </c>
      <c r="R82" s="5" t="s">
        <v>42</v>
      </c>
      <c r="S82" s="11">
        <v>8735</v>
      </c>
      <c r="T82" s="7" t="s">
        <v>43</v>
      </c>
      <c r="U82" s="5" t="s">
        <v>44</v>
      </c>
      <c r="V82" s="6">
        <v>42495</v>
      </c>
      <c r="W82" s="6">
        <v>42560</v>
      </c>
      <c r="X82" s="5" t="s">
        <v>333</v>
      </c>
      <c r="Y82" s="5" t="s">
        <v>334</v>
      </c>
      <c r="Z82" s="5" t="s">
        <v>133</v>
      </c>
      <c r="AA82" s="53" t="s">
        <v>1235</v>
      </c>
      <c r="AB82" s="5" t="s">
        <v>40</v>
      </c>
    </row>
    <row r="83" spans="1:28" ht="108">
      <c r="A83" s="5">
        <v>2016</v>
      </c>
      <c r="B83" s="5" t="s">
        <v>30</v>
      </c>
      <c r="C83" s="16" t="s">
        <v>335</v>
      </c>
      <c r="D83" s="12">
        <v>42494</v>
      </c>
      <c r="E83" s="7" t="s">
        <v>336</v>
      </c>
      <c r="F83" s="7" t="s">
        <v>67</v>
      </c>
      <c r="G83" s="8">
        <v>3751058.09</v>
      </c>
      <c r="H83" s="7" t="s">
        <v>337</v>
      </c>
      <c r="I83" s="5" t="s">
        <v>338</v>
      </c>
      <c r="J83" s="5" t="s">
        <v>112</v>
      </c>
      <c r="K83" s="5" t="s">
        <v>139</v>
      </c>
      <c r="L83" s="7" t="s">
        <v>339</v>
      </c>
      <c r="M83" s="5" t="s">
        <v>340</v>
      </c>
      <c r="N83" s="8">
        <f t="shared" si="0"/>
        <v>3751058.09</v>
      </c>
      <c r="O83" s="77" t="s">
        <v>40</v>
      </c>
      <c r="P83" s="5" t="s">
        <v>341</v>
      </c>
      <c r="Q83" s="8">
        <f>N83/3528</f>
        <v>1063.2250821995465</v>
      </c>
      <c r="R83" s="5" t="s">
        <v>42</v>
      </c>
      <c r="S83" s="11">
        <v>42592</v>
      </c>
      <c r="T83" s="7" t="s">
        <v>43</v>
      </c>
      <c r="U83" s="5" t="s">
        <v>44</v>
      </c>
      <c r="V83" s="6">
        <v>42495</v>
      </c>
      <c r="W83" s="6">
        <v>42560</v>
      </c>
      <c r="X83" s="5" t="s">
        <v>342</v>
      </c>
      <c r="Y83" s="5" t="s">
        <v>343</v>
      </c>
      <c r="Z83" s="5" t="s">
        <v>344</v>
      </c>
      <c r="AA83" s="16" t="s">
        <v>926</v>
      </c>
      <c r="AB83" s="5" t="s">
        <v>40</v>
      </c>
    </row>
    <row r="84" spans="1:28" ht="121.5">
      <c r="A84" s="5">
        <v>2016</v>
      </c>
      <c r="B84" s="5" t="s">
        <v>30</v>
      </c>
      <c r="C84" s="79" t="s">
        <v>345</v>
      </c>
      <c r="D84" s="12">
        <v>42494</v>
      </c>
      <c r="E84" s="7" t="s">
        <v>346</v>
      </c>
      <c r="F84" s="7" t="s">
        <v>67</v>
      </c>
      <c r="G84" s="8">
        <v>9061398</v>
      </c>
      <c r="H84" s="7" t="s">
        <v>347</v>
      </c>
      <c r="I84" s="5" t="s">
        <v>348</v>
      </c>
      <c r="J84" s="5" t="s">
        <v>349</v>
      </c>
      <c r="K84" s="5" t="s">
        <v>350</v>
      </c>
      <c r="L84" s="7" t="s">
        <v>351</v>
      </c>
      <c r="M84" s="5" t="s">
        <v>352</v>
      </c>
      <c r="N84" s="8">
        <f t="shared" si="0"/>
        <v>9061398</v>
      </c>
      <c r="O84" s="78">
        <v>9061387.8000000007</v>
      </c>
      <c r="P84" s="5" t="s">
        <v>353</v>
      </c>
      <c r="Q84" s="8">
        <f>N84/45550</f>
        <v>198.93299670691547</v>
      </c>
      <c r="R84" s="5" t="s">
        <v>42</v>
      </c>
      <c r="S84" s="11">
        <v>11135</v>
      </c>
      <c r="T84" s="7" t="s">
        <v>43</v>
      </c>
      <c r="U84" s="5" t="s">
        <v>44</v>
      </c>
      <c r="V84" s="6">
        <v>42495</v>
      </c>
      <c r="W84" s="6">
        <v>42560</v>
      </c>
      <c r="X84" s="5" t="s">
        <v>354</v>
      </c>
      <c r="Y84" s="5" t="s">
        <v>355</v>
      </c>
      <c r="Z84" s="5" t="s">
        <v>47</v>
      </c>
      <c r="AA84" s="53" t="s">
        <v>1236</v>
      </c>
      <c r="AB84" s="5" t="s">
        <v>40</v>
      </c>
    </row>
    <row r="85" spans="1:28" ht="202.5">
      <c r="A85" s="5">
        <v>2016</v>
      </c>
      <c r="B85" s="5" t="s">
        <v>30</v>
      </c>
      <c r="C85" s="16" t="s">
        <v>356</v>
      </c>
      <c r="D85" s="12">
        <v>42494</v>
      </c>
      <c r="E85" s="7" t="s">
        <v>357</v>
      </c>
      <c r="F85" s="7" t="s">
        <v>67</v>
      </c>
      <c r="G85" s="8">
        <v>5488803.8799999999</v>
      </c>
      <c r="H85" s="7" t="s">
        <v>358</v>
      </c>
      <c r="I85" s="5" t="s">
        <v>359</v>
      </c>
      <c r="J85" s="5" t="s">
        <v>360</v>
      </c>
      <c r="K85" s="5" t="s">
        <v>361</v>
      </c>
      <c r="L85" s="7" t="s">
        <v>362</v>
      </c>
      <c r="M85" s="5" t="s">
        <v>363</v>
      </c>
      <c r="N85" s="8">
        <f t="shared" si="0"/>
        <v>5488803.8799999999</v>
      </c>
      <c r="O85" s="78">
        <v>5488803.8799999999</v>
      </c>
      <c r="P85" s="5" t="s">
        <v>364</v>
      </c>
      <c r="Q85" s="8">
        <f>N85/24196</f>
        <v>226.84757315258719</v>
      </c>
      <c r="R85" s="5" t="s">
        <v>42</v>
      </c>
      <c r="S85" s="11">
        <v>10706</v>
      </c>
      <c r="T85" s="7" t="s">
        <v>43</v>
      </c>
      <c r="U85" s="5" t="s">
        <v>44</v>
      </c>
      <c r="V85" s="6">
        <v>42494</v>
      </c>
      <c r="W85" s="6">
        <v>42559</v>
      </c>
      <c r="X85" s="5" t="s">
        <v>333</v>
      </c>
      <c r="Y85" s="5" t="s">
        <v>334</v>
      </c>
      <c r="Z85" s="5" t="s">
        <v>133</v>
      </c>
      <c r="AA85" s="53" t="s">
        <v>925</v>
      </c>
      <c r="AB85" s="5" t="s">
        <v>40</v>
      </c>
    </row>
    <row r="86" spans="1:28" ht="108">
      <c r="A86" s="5">
        <v>2016</v>
      </c>
      <c r="B86" s="5" t="s">
        <v>30</v>
      </c>
      <c r="C86" s="79" t="s">
        <v>365</v>
      </c>
      <c r="D86" s="12">
        <v>42494</v>
      </c>
      <c r="E86" s="7" t="s">
        <v>366</v>
      </c>
      <c r="F86" s="7" t="s">
        <v>67</v>
      </c>
      <c r="G86" s="8">
        <v>4882068.75</v>
      </c>
      <c r="H86" s="7" t="s">
        <v>367</v>
      </c>
      <c r="I86" s="5" t="s">
        <v>368</v>
      </c>
      <c r="J86" s="5" t="s">
        <v>57</v>
      </c>
      <c r="K86" s="5" t="s">
        <v>369</v>
      </c>
      <c r="L86" s="7" t="s">
        <v>370</v>
      </c>
      <c r="M86" s="5" t="s">
        <v>371</v>
      </c>
      <c r="N86" s="8">
        <f t="shared" si="0"/>
        <v>4882068.75</v>
      </c>
      <c r="O86" s="77" t="s">
        <v>40</v>
      </c>
      <c r="P86" s="5" t="s">
        <v>372</v>
      </c>
      <c r="Q86" s="8">
        <f>N86/14500</f>
        <v>336.69439655172414</v>
      </c>
      <c r="R86" s="5" t="s">
        <v>42</v>
      </c>
      <c r="S86" s="11">
        <v>42592</v>
      </c>
      <c r="T86" s="7" t="s">
        <v>43</v>
      </c>
      <c r="U86" s="5" t="s">
        <v>44</v>
      </c>
      <c r="V86" s="6">
        <v>42495</v>
      </c>
      <c r="W86" s="6">
        <v>42560</v>
      </c>
      <c r="X86" s="5" t="s">
        <v>342</v>
      </c>
      <c r="Y86" s="5" t="s">
        <v>343</v>
      </c>
      <c r="Z86" s="5" t="s">
        <v>344</v>
      </c>
      <c r="AA86" s="53" t="s">
        <v>1237</v>
      </c>
      <c r="AB86" s="5" t="s">
        <v>40</v>
      </c>
    </row>
    <row r="87" spans="1:28" ht="108">
      <c r="A87" s="5">
        <v>2016</v>
      </c>
      <c r="B87" s="5" t="s">
        <v>30</v>
      </c>
      <c r="C87" s="16" t="s">
        <v>373</v>
      </c>
      <c r="D87" s="12">
        <v>42494</v>
      </c>
      <c r="E87" s="7" t="s">
        <v>374</v>
      </c>
      <c r="F87" s="7" t="s">
        <v>67</v>
      </c>
      <c r="G87" s="8">
        <v>5720790.3899999997</v>
      </c>
      <c r="H87" s="7" t="s">
        <v>375</v>
      </c>
      <c r="I87" s="5" t="s">
        <v>376</v>
      </c>
      <c r="J87" s="5" t="s">
        <v>377</v>
      </c>
      <c r="K87" s="5" t="s">
        <v>378</v>
      </c>
      <c r="L87" s="7" t="s">
        <v>379</v>
      </c>
      <c r="M87" s="5" t="s">
        <v>380</v>
      </c>
      <c r="N87" s="8">
        <f t="shared" si="0"/>
        <v>5720790.3899999997</v>
      </c>
      <c r="O87" s="77" t="s">
        <v>40</v>
      </c>
      <c r="P87" s="5" t="s">
        <v>381</v>
      </c>
      <c r="Q87" s="8">
        <f>N87/4855</f>
        <v>1178.3296374871265</v>
      </c>
      <c r="R87" s="5" t="s">
        <v>42</v>
      </c>
      <c r="S87" s="11">
        <v>134932</v>
      </c>
      <c r="T87" s="7" t="s">
        <v>43</v>
      </c>
      <c r="U87" s="5" t="s">
        <v>44</v>
      </c>
      <c r="V87" s="6">
        <v>42495</v>
      </c>
      <c r="W87" s="6">
        <v>42560</v>
      </c>
      <c r="X87" s="5" t="s">
        <v>382</v>
      </c>
      <c r="Y87" s="5" t="s">
        <v>383</v>
      </c>
      <c r="Z87" s="5" t="s">
        <v>384</v>
      </c>
      <c r="AA87" s="53" t="s">
        <v>925</v>
      </c>
      <c r="AB87" s="5" t="s">
        <v>40</v>
      </c>
    </row>
    <row r="88" spans="1:28" ht="108">
      <c r="A88" s="5">
        <v>2016</v>
      </c>
      <c r="B88" s="5" t="s">
        <v>30</v>
      </c>
      <c r="C88" s="16" t="s">
        <v>385</v>
      </c>
      <c r="D88" s="12">
        <v>42494</v>
      </c>
      <c r="E88" s="7" t="s">
        <v>386</v>
      </c>
      <c r="F88" s="7" t="s">
        <v>67</v>
      </c>
      <c r="G88" s="8">
        <v>5967161.3700000001</v>
      </c>
      <c r="H88" s="7" t="s">
        <v>375</v>
      </c>
      <c r="I88" s="5" t="s">
        <v>387</v>
      </c>
      <c r="J88" s="5" t="s">
        <v>388</v>
      </c>
      <c r="K88" s="5" t="s">
        <v>389</v>
      </c>
      <c r="L88" s="7" t="s">
        <v>390</v>
      </c>
      <c r="M88" s="5" t="s">
        <v>391</v>
      </c>
      <c r="N88" s="8">
        <f t="shared" si="0"/>
        <v>5967161.3700000001</v>
      </c>
      <c r="O88" s="78">
        <v>5807977.7399999993</v>
      </c>
      <c r="P88" s="5" t="s">
        <v>392</v>
      </c>
      <c r="Q88" s="8">
        <f>N88/3883</f>
        <v>1536.7399871233583</v>
      </c>
      <c r="R88" s="5" t="s">
        <v>42</v>
      </c>
      <c r="S88" s="11">
        <v>134932</v>
      </c>
      <c r="T88" s="7" t="s">
        <v>43</v>
      </c>
      <c r="U88" s="5" t="s">
        <v>44</v>
      </c>
      <c r="V88" s="6">
        <v>42495</v>
      </c>
      <c r="W88" s="6">
        <v>42560</v>
      </c>
      <c r="X88" s="5" t="s">
        <v>393</v>
      </c>
      <c r="Y88" s="5" t="s">
        <v>383</v>
      </c>
      <c r="Z88" s="5" t="s">
        <v>384</v>
      </c>
      <c r="AA88" s="53" t="s">
        <v>925</v>
      </c>
      <c r="AB88" s="5" t="s">
        <v>40</v>
      </c>
    </row>
    <row r="89" spans="1:28" ht="108">
      <c r="A89" s="5">
        <v>2016</v>
      </c>
      <c r="B89" s="5" t="s">
        <v>30</v>
      </c>
      <c r="C89" s="16" t="s">
        <v>394</v>
      </c>
      <c r="D89" s="12">
        <v>42494</v>
      </c>
      <c r="E89" s="7" t="s">
        <v>395</v>
      </c>
      <c r="F89" s="7" t="s">
        <v>67</v>
      </c>
      <c r="G89" s="8">
        <v>9872599.0299999993</v>
      </c>
      <c r="H89" s="7" t="s">
        <v>396</v>
      </c>
      <c r="I89" s="5" t="s">
        <v>397</v>
      </c>
      <c r="J89" s="5" t="s">
        <v>398</v>
      </c>
      <c r="K89" s="5" t="s">
        <v>399</v>
      </c>
      <c r="L89" s="7" t="s">
        <v>400</v>
      </c>
      <c r="M89" s="5" t="s">
        <v>401</v>
      </c>
      <c r="N89" s="8">
        <f t="shared" si="0"/>
        <v>9872599.0299999993</v>
      </c>
      <c r="O89" s="77" t="s">
        <v>40</v>
      </c>
      <c r="P89" s="5" t="s">
        <v>402</v>
      </c>
      <c r="Q89" s="8">
        <f>N89/32145</f>
        <v>307.12705024109499</v>
      </c>
      <c r="R89" s="5" t="s">
        <v>42</v>
      </c>
      <c r="S89" s="11">
        <v>119586</v>
      </c>
      <c r="T89" s="7" t="s">
        <v>43</v>
      </c>
      <c r="U89" s="5" t="s">
        <v>44</v>
      </c>
      <c r="V89" s="6">
        <v>42495</v>
      </c>
      <c r="W89" s="6">
        <v>42591</v>
      </c>
      <c r="X89" s="5" t="s">
        <v>403</v>
      </c>
      <c r="Y89" s="5" t="s">
        <v>404</v>
      </c>
      <c r="Z89" s="5" t="s">
        <v>405</v>
      </c>
      <c r="AA89" s="16" t="s">
        <v>925</v>
      </c>
      <c r="AB89" s="5" t="s">
        <v>40</v>
      </c>
    </row>
    <row r="90" spans="1:28" ht="108">
      <c r="A90" s="5">
        <v>2016</v>
      </c>
      <c r="B90" s="5" t="s">
        <v>30</v>
      </c>
      <c r="C90" s="16" t="s">
        <v>406</v>
      </c>
      <c r="D90" s="12">
        <v>42494</v>
      </c>
      <c r="E90" s="7" t="s">
        <v>407</v>
      </c>
      <c r="F90" s="7" t="s">
        <v>67</v>
      </c>
      <c r="G90" s="8">
        <v>9423095.6600000001</v>
      </c>
      <c r="H90" s="7" t="s">
        <v>396</v>
      </c>
      <c r="I90" s="5" t="s">
        <v>397</v>
      </c>
      <c r="J90" s="5" t="s">
        <v>398</v>
      </c>
      <c r="K90" s="5" t="s">
        <v>399</v>
      </c>
      <c r="L90" s="7" t="s">
        <v>400</v>
      </c>
      <c r="M90" s="5" t="s">
        <v>401</v>
      </c>
      <c r="N90" s="8">
        <v>9423095.6600000001</v>
      </c>
      <c r="O90" s="78">
        <v>9423095.5600000005</v>
      </c>
      <c r="P90" s="5" t="s">
        <v>408</v>
      </c>
      <c r="Q90" s="8">
        <f>N90/30824</f>
        <v>305.70645146638981</v>
      </c>
      <c r="R90" s="5" t="s">
        <v>42</v>
      </c>
      <c r="S90" s="11">
        <v>119586</v>
      </c>
      <c r="T90" s="7" t="s">
        <v>43</v>
      </c>
      <c r="U90" s="5" t="s">
        <v>44</v>
      </c>
      <c r="V90" s="6">
        <v>42495</v>
      </c>
      <c r="W90" s="6">
        <v>42591</v>
      </c>
      <c r="X90" s="5" t="s">
        <v>403</v>
      </c>
      <c r="Y90" s="5" t="s">
        <v>404</v>
      </c>
      <c r="Z90" s="5" t="s">
        <v>405</v>
      </c>
      <c r="AA90" s="16" t="s">
        <v>925</v>
      </c>
      <c r="AB90" s="5" t="s">
        <v>40</v>
      </c>
    </row>
    <row r="91" spans="1:28" ht="121.5">
      <c r="A91" s="5">
        <v>2016</v>
      </c>
      <c r="B91" s="5" t="s">
        <v>30</v>
      </c>
      <c r="C91" s="79" t="s">
        <v>409</v>
      </c>
      <c r="D91" s="12">
        <v>42494</v>
      </c>
      <c r="E91" s="7" t="s">
        <v>410</v>
      </c>
      <c r="F91" s="7" t="s">
        <v>67</v>
      </c>
      <c r="G91" s="8">
        <v>5474275.04</v>
      </c>
      <c r="H91" s="7" t="s">
        <v>396</v>
      </c>
      <c r="I91" s="5" t="s">
        <v>411</v>
      </c>
      <c r="J91" s="5" t="s">
        <v>412</v>
      </c>
      <c r="K91" s="5" t="s">
        <v>413</v>
      </c>
      <c r="L91" s="7" t="s">
        <v>414</v>
      </c>
      <c r="M91" s="5" t="s">
        <v>415</v>
      </c>
      <c r="N91" s="8">
        <f t="shared" si="0"/>
        <v>5474275.04</v>
      </c>
      <c r="O91" s="77" t="s">
        <v>40</v>
      </c>
      <c r="P91" s="5" t="s">
        <v>416</v>
      </c>
      <c r="Q91" s="8">
        <f>N91/17667</f>
        <v>309.85877851361295</v>
      </c>
      <c r="R91" s="5" t="s">
        <v>42</v>
      </c>
      <c r="S91" s="11">
        <v>119586</v>
      </c>
      <c r="T91" s="7" t="s">
        <v>43</v>
      </c>
      <c r="U91" s="5" t="s">
        <v>44</v>
      </c>
      <c r="V91" s="6">
        <v>42495</v>
      </c>
      <c r="W91" s="6">
        <v>42591</v>
      </c>
      <c r="X91" s="5" t="s">
        <v>403</v>
      </c>
      <c r="Y91" s="5" t="s">
        <v>404</v>
      </c>
      <c r="Z91" s="5" t="s">
        <v>405</v>
      </c>
      <c r="AA91" s="40" t="s">
        <v>40</v>
      </c>
      <c r="AB91" s="5" t="s">
        <v>40</v>
      </c>
    </row>
    <row r="92" spans="1:28" ht="121.5">
      <c r="A92" s="5">
        <v>2016</v>
      </c>
      <c r="B92" s="5" t="s">
        <v>30</v>
      </c>
      <c r="C92" s="79" t="s">
        <v>417</v>
      </c>
      <c r="D92" s="12">
        <v>42494</v>
      </c>
      <c r="E92" s="7" t="s">
        <v>418</v>
      </c>
      <c r="F92" s="7" t="s">
        <v>67</v>
      </c>
      <c r="G92" s="8">
        <v>6468498.2699999996</v>
      </c>
      <c r="H92" s="7" t="s">
        <v>396</v>
      </c>
      <c r="I92" s="5" t="s">
        <v>419</v>
      </c>
      <c r="J92" s="5" t="s">
        <v>420</v>
      </c>
      <c r="K92" s="5" t="s">
        <v>254</v>
      </c>
      <c r="L92" s="7" t="s">
        <v>421</v>
      </c>
      <c r="M92" s="5" t="s">
        <v>422</v>
      </c>
      <c r="N92" s="8">
        <f t="shared" si="0"/>
        <v>6468498.2699999996</v>
      </c>
      <c r="O92" s="78">
        <v>6332481.5099999998</v>
      </c>
      <c r="P92" s="5" t="s">
        <v>423</v>
      </c>
      <c r="Q92" s="8">
        <f>N92/16932</f>
        <v>382.0280102763997</v>
      </c>
      <c r="R92" s="5" t="s">
        <v>42</v>
      </c>
      <c r="S92" s="11">
        <v>119586</v>
      </c>
      <c r="T92" s="7" t="s">
        <v>43</v>
      </c>
      <c r="U92" s="5" t="s">
        <v>44</v>
      </c>
      <c r="V92" s="6">
        <v>42495</v>
      </c>
      <c r="W92" s="6">
        <v>42591</v>
      </c>
      <c r="X92" s="5" t="s">
        <v>403</v>
      </c>
      <c r="Y92" s="5" t="s">
        <v>404</v>
      </c>
      <c r="Z92" s="5" t="s">
        <v>405</v>
      </c>
      <c r="AA92" s="53" t="s">
        <v>1238</v>
      </c>
      <c r="AB92" s="5" t="s">
        <v>40</v>
      </c>
    </row>
    <row r="93" spans="1:28" ht="81">
      <c r="A93" s="5">
        <v>2016</v>
      </c>
      <c r="B93" s="5" t="s">
        <v>64</v>
      </c>
      <c r="C93" s="79" t="s">
        <v>424</v>
      </c>
      <c r="D93" s="12">
        <v>42461</v>
      </c>
      <c r="E93" s="7" t="s">
        <v>425</v>
      </c>
      <c r="F93" s="7" t="s">
        <v>184</v>
      </c>
      <c r="G93" s="8">
        <v>1555449.71</v>
      </c>
      <c r="H93" s="7" t="s">
        <v>426</v>
      </c>
      <c r="I93" s="5" t="s">
        <v>427</v>
      </c>
      <c r="J93" s="5" t="s">
        <v>133</v>
      </c>
      <c r="K93" s="5" t="s">
        <v>428</v>
      </c>
      <c r="L93" s="7" t="s">
        <v>429</v>
      </c>
      <c r="M93" s="5" t="s">
        <v>430</v>
      </c>
      <c r="N93" s="8">
        <v>1555449.71</v>
      </c>
      <c r="O93" s="77" t="s">
        <v>40</v>
      </c>
      <c r="P93" s="5" t="s">
        <v>431</v>
      </c>
      <c r="Q93" s="8">
        <f>N93/44265</f>
        <v>35.139494182762903</v>
      </c>
      <c r="R93" s="5" t="s">
        <v>42</v>
      </c>
      <c r="S93" s="11">
        <v>13837</v>
      </c>
      <c r="T93" s="7" t="s">
        <v>43</v>
      </c>
      <c r="U93" s="5" t="s">
        <v>44</v>
      </c>
      <c r="V93" s="6">
        <v>42464</v>
      </c>
      <c r="W93" s="6">
        <v>42536</v>
      </c>
      <c r="X93" s="5" t="s">
        <v>382</v>
      </c>
      <c r="Y93" s="5" t="s">
        <v>432</v>
      </c>
      <c r="Z93" s="5" t="s">
        <v>433</v>
      </c>
      <c r="AA93" s="40" t="s">
        <v>40</v>
      </c>
      <c r="AB93" s="5" t="s">
        <v>40</v>
      </c>
    </row>
    <row r="94" spans="1:28" ht="54">
      <c r="A94" s="5">
        <v>2016</v>
      </c>
      <c r="B94" s="5" t="s">
        <v>64</v>
      </c>
      <c r="C94" s="79" t="s">
        <v>434</v>
      </c>
      <c r="D94" s="12">
        <v>42461</v>
      </c>
      <c r="E94" s="7" t="s">
        <v>435</v>
      </c>
      <c r="F94" s="7" t="s">
        <v>184</v>
      </c>
      <c r="G94" s="8">
        <v>476740.63</v>
      </c>
      <c r="H94" s="7" t="s">
        <v>436</v>
      </c>
      <c r="I94" s="5" t="s">
        <v>210</v>
      </c>
      <c r="J94" s="5" t="s">
        <v>244</v>
      </c>
      <c r="K94" s="5" t="s">
        <v>437</v>
      </c>
      <c r="L94" s="7" t="s">
        <v>438</v>
      </c>
      <c r="M94" s="5" t="s">
        <v>439</v>
      </c>
      <c r="N94" s="8">
        <v>476740.63</v>
      </c>
      <c r="O94" s="78">
        <v>466284.81</v>
      </c>
      <c r="P94" s="5" t="s">
        <v>440</v>
      </c>
      <c r="Q94" s="8">
        <f>N94/248</f>
        <v>1922.3412499999999</v>
      </c>
      <c r="R94" s="5" t="s">
        <v>42</v>
      </c>
      <c r="S94" s="11">
        <v>171759</v>
      </c>
      <c r="T94" s="7" t="s">
        <v>43</v>
      </c>
      <c r="U94" s="5" t="s">
        <v>44</v>
      </c>
      <c r="V94" s="6">
        <v>42464</v>
      </c>
      <c r="W94" s="6">
        <v>42510</v>
      </c>
      <c r="X94" s="5" t="s">
        <v>441</v>
      </c>
      <c r="Y94" s="5" t="s">
        <v>442</v>
      </c>
      <c r="Z94" s="5" t="s">
        <v>101</v>
      </c>
      <c r="AA94" s="53" t="s">
        <v>1239</v>
      </c>
      <c r="AB94" s="5" t="s">
        <v>40</v>
      </c>
    </row>
    <row r="95" spans="1:28" ht="54">
      <c r="A95" s="5">
        <v>2016</v>
      </c>
      <c r="B95" s="5" t="s">
        <v>64</v>
      </c>
      <c r="C95" s="16" t="s">
        <v>443</v>
      </c>
      <c r="D95" s="12">
        <v>42467</v>
      </c>
      <c r="E95" s="7" t="s">
        <v>444</v>
      </c>
      <c r="F95" s="7" t="s">
        <v>184</v>
      </c>
      <c r="G95" s="8">
        <v>1475860.34</v>
      </c>
      <c r="H95" s="7" t="s">
        <v>445</v>
      </c>
      <c r="I95" s="5" t="s">
        <v>186</v>
      </c>
      <c r="J95" s="5" t="s">
        <v>187</v>
      </c>
      <c r="K95" s="5" t="s">
        <v>188</v>
      </c>
      <c r="L95" s="7" t="s">
        <v>446</v>
      </c>
      <c r="M95" s="5" t="s">
        <v>190</v>
      </c>
      <c r="N95" s="8">
        <v>1475860.34</v>
      </c>
      <c r="O95" s="77" t="s">
        <v>40</v>
      </c>
      <c r="P95" s="5" t="s">
        <v>447</v>
      </c>
      <c r="Q95" s="8">
        <f>N95/37800</f>
        <v>39.043924338624343</v>
      </c>
      <c r="R95" s="5" t="s">
        <v>42</v>
      </c>
      <c r="S95" s="11">
        <v>6696</v>
      </c>
      <c r="T95" s="7" t="s">
        <v>43</v>
      </c>
      <c r="U95" s="5" t="s">
        <v>44</v>
      </c>
      <c r="V95" s="6">
        <v>42471</v>
      </c>
      <c r="W95" s="6">
        <v>42536</v>
      </c>
      <c r="X95" s="5" t="s">
        <v>131</v>
      </c>
      <c r="Y95" s="5" t="s">
        <v>448</v>
      </c>
      <c r="Z95" s="5" t="s">
        <v>133</v>
      </c>
      <c r="AA95" s="53" t="s">
        <v>925</v>
      </c>
      <c r="AB95" s="5" t="s">
        <v>40</v>
      </c>
    </row>
    <row r="96" spans="1:28" ht="81">
      <c r="A96" s="5">
        <v>2016</v>
      </c>
      <c r="B96" s="5" t="s">
        <v>64</v>
      </c>
      <c r="C96" s="79" t="s">
        <v>449</v>
      </c>
      <c r="D96" s="12">
        <v>42475</v>
      </c>
      <c r="E96" s="7" t="s">
        <v>450</v>
      </c>
      <c r="F96" s="7" t="s">
        <v>184</v>
      </c>
      <c r="G96" s="8">
        <v>1495685.74</v>
      </c>
      <c r="H96" s="7" t="s">
        <v>451</v>
      </c>
      <c r="I96" s="5" t="s">
        <v>452</v>
      </c>
      <c r="J96" s="5" t="s">
        <v>453</v>
      </c>
      <c r="K96" s="5" t="s">
        <v>454</v>
      </c>
      <c r="L96" s="7" t="s">
        <v>455</v>
      </c>
      <c r="M96" s="5" t="s">
        <v>456</v>
      </c>
      <c r="N96" s="8">
        <v>1495685.74</v>
      </c>
      <c r="O96" s="77" t="s">
        <v>40</v>
      </c>
      <c r="P96" s="5" t="s">
        <v>457</v>
      </c>
      <c r="Q96" s="8">
        <f>N96/44056</f>
        <v>33.949649082985289</v>
      </c>
      <c r="R96" s="5" t="s">
        <v>42</v>
      </c>
      <c r="S96" s="11">
        <v>10603</v>
      </c>
      <c r="T96" s="7" t="s">
        <v>43</v>
      </c>
      <c r="U96" s="5" t="s">
        <v>44</v>
      </c>
      <c r="V96" s="6">
        <v>42478</v>
      </c>
      <c r="W96" s="6">
        <v>42551</v>
      </c>
      <c r="X96" s="5" t="s">
        <v>342</v>
      </c>
      <c r="Y96" s="5" t="s">
        <v>343</v>
      </c>
      <c r="Z96" s="5" t="s">
        <v>77</v>
      </c>
      <c r="AA96" s="53" t="s">
        <v>1240</v>
      </c>
      <c r="AB96" s="5" t="s">
        <v>40</v>
      </c>
    </row>
    <row r="97" spans="1:28" ht="67.5">
      <c r="A97" s="5">
        <v>2016</v>
      </c>
      <c r="B97" s="5" t="s">
        <v>64</v>
      </c>
      <c r="C97" s="79" t="s">
        <v>458</v>
      </c>
      <c r="D97" s="12">
        <v>42475</v>
      </c>
      <c r="E97" s="7" t="s">
        <v>459</v>
      </c>
      <c r="F97" s="7" t="s">
        <v>67</v>
      </c>
      <c r="G97" s="8">
        <v>225850.48</v>
      </c>
      <c r="H97" s="7" t="s">
        <v>460</v>
      </c>
      <c r="I97" s="5" t="s">
        <v>461</v>
      </c>
      <c r="J97" s="5" t="s">
        <v>462</v>
      </c>
      <c r="K97" s="5" t="s">
        <v>463</v>
      </c>
      <c r="L97" s="7" t="s">
        <v>464</v>
      </c>
      <c r="M97" s="5" t="s">
        <v>465</v>
      </c>
      <c r="N97" s="8">
        <v>225850.48</v>
      </c>
      <c r="O97" s="78">
        <v>224514.38</v>
      </c>
      <c r="P97" s="5" t="s">
        <v>466</v>
      </c>
      <c r="Q97" s="8">
        <f>N97/23</f>
        <v>9819.5860869565222</v>
      </c>
      <c r="R97" s="5" t="s">
        <v>42</v>
      </c>
      <c r="S97" s="11">
        <v>25</v>
      </c>
      <c r="T97" s="7" t="s">
        <v>43</v>
      </c>
      <c r="U97" s="5" t="s">
        <v>44</v>
      </c>
      <c r="V97" s="6">
        <v>42478</v>
      </c>
      <c r="W97" s="6">
        <v>42525</v>
      </c>
      <c r="X97" s="5" t="s">
        <v>382</v>
      </c>
      <c r="Y97" s="5" t="s">
        <v>383</v>
      </c>
      <c r="Z97" s="5" t="s">
        <v>300</v>
      </c>
      <c r="AA97" s="40" t="s">
        <v>40</v>
      </c>
      <c r="AB97" s="5" t="s">
        <v>40</v>
      </c>
    </row>
    <row r="98" spans="1:28" ht="54">
      <c r="A98" s="5">
        <v>2016</v>
      </c>
      <c r="B98" s="5" t="s">
        <v>64</v>
      </c>
      <c r="C98" s="79" t="s">
        <v>467</v>
      </c>
      <c r="D98" s="12">
        <v>42482</v>
      </c>
      <c r="E98" s="7" t="s">
        <v>468</v>
      </c>
      <c r="F98" s="7" t="s">
        <v>67</v>
      </c>
      <c r="G98" s="8">
        <v>385554.88</v>
      </c>
      <c r="H98" s="7" t="s">
        <v>469</v>
      </c>
      <c r="I98" s="5" t="s">
        <v>470</v>
      </c>
      <c r="J98" s="5" t="s">
        <v>113</v>
      </c>
      <c r="K98" s="5" t="s">
        <v>471</v>
      </c>
      <c r="L98" s="7" t="s">
        <v>472</v>
      </c>
      <c r="M98" s="5" t="s">
        <v>473</v>
      </c>
      <c r="N98" s="8">
        <v>385554.88</v>
      </c>
      <c r="O98" s="78">
        <v>361144.17000000004</v>
      </c>
      <c r="P98" s="5" t="s">
        <v>474</v>
      </c>
      <c r="Q98" s="8">
        <f>N98/125</f>
        <v>3084.4390400000002</v>
      </c>
      <c r="R98" s="5" t="s">
        <v>42</v>
      </c>
      <c r="S98" s="11">
        <v>172</v>
      </c>
      <c r="T98" s="7" t="s">
        <v>43</v>
      </c>
      <c r="U98" s="5" t="s">
        <v>44</v>
      </c>
      <c r="V98" s="6">
        <v>42485</v>
      </c>
      <c r="W98" s="6">
        <v>42521</v>
      </c>
      <c r="X98" s="5" t="s">
        <v>475</v>
      </c>
      <c r="Y98" s="5" t="s">
        <v>476</v>
      </c>
      <c r="Z98" s="5" t="s">
        <v>89</v>
      </c>
      <c r="AA98" s="40" t="s">
        <v>40</v>
      </c>
      <c r="AB98" s="5" t="s">
        <v>40</v>
      </c>
    </row>
    <row r="99" spans="1:28" ht="135">
      <c r="A99" s="5">
        <v>2016</v>
      </c>
      <c r="B99" s="5" t="s">
        <v>64</v>
      </c>
      <c r="C99" s="79" t="s">
        <v>477</v>
      </c>
      <c r="D99" s="12">
        <v>42482</v>
      </c>
      <c r="E99" s="7" t="s">
        <v>478</v>
      </c>
      <c r="F99" s="7" t="s">
        <v>184</v>
      </c>
      <c r="G99" s="8">
        <v>758305.64</v>
      </c>
      <c r="H99" s="7" t="s">
        <v>479</v>
      </c>
      <c r="I99" s="5" t="s">
        <v>480</v>
      </c>
      <c r="J99" s="5" t="s">
        <v>481</v>
      </c>
      <c r="K99" s="5" t="s">
        <v>482</v>
      </c>
      <c r="L99" s="7" t="s">
        <v>483</v>
      </c>
      <c r="M99" s="5" t="s">
        <v>484</v>
      </c>
      <c r="N99" s="8">
        <v>758305.64</v>
      </c>
      <c r="O99" s="78">
        <v>758301.15</v>
      </c>
      <c r="P99" s="5" t="s">
        <v>485</v>
      </c>
      <c r="Q99" s="8">
        <f>N99/216</f>
        <v>3510.6742592592595</v>
      </c>
      <c r="R99" s="5" t="s">
        <v>42</v>
      </c>
      <c r="S99" s="11">
        <v>4320</v>
      </c>
      <c r="T99" s="7" t="s">
        <v>43</v>
      </c>
      <c r="U99" s="5" t="s">
        <v>44</v>
      </c>
      <c r="V99" s="6">
        <v>42485</v>
      </c>
      <c r="W99" s="6">
        <v>42536</v>
      </c>
      <c r="X99" s="5" t="s">
        <v>131</v>
      </c>
      <c r="Y99" s="5" t="s">
        <v>448</v>
      </c>
      <c r="Z99" s="5" t="s">
        <v>133</v>
      </c>
      <c r="AA99" s="40" t="s">
        <v>40</v>
      </c>
      <c r="AB99" s="5" t="s">
        <v>40</v>
      </c>
    </row>
    <row r="100" spans="1:28" ht="40.5">
      <c r="A100" s="5">
        <v>2016</v>
      </c>
      <c r="B100" s="5" t="s">
        <v>64</v>
      </c>
      <c r="C100" s="79" t="s">
        <v>486</v>
      </c>
      <c r="D100" s="12">
        <v>42475</v>
      </c>
      <c r="E100" s="7" t="s">
        <v>487</v>
      </c>
      <c r="F100" s="7" t="s">
        <v>67</v>
      </c>
      <c r="G100" s="8">
        <v>377452.12</v>
      </c>
      <c r="H100" s="7" t="s">
        <v>488</v>
      </c>
      <c r="I100" s="5" t="s">
        <v>489</v>
      </c>
      <c r="J100" s="5" t="s">
        <v>490</v>
      </c>
      <c r="K100" s="5" t="s">
        <v>491</v>
      </c>
      <c r="L100" s="7" t="s">
        <v>492</v>
      </c>
      <c r="M100" s="5" t="s">
        <v>493</v>
      </c>
      <c r="N100" s="8">
        <v>377452.12</v>
      </c>
      <c r="O100" s="77" t="s">
        <v>40</v>
      </c>
      <c r="P100" s="5" t="s">
        <v>494</v>
      </c>
      <c r="Q100" s="8">
        <f>N100/735</f>
        <v>513.54029931972786</v>
      </c>
      <c r="R100" s="5" t="s">
        <v>42</v>
      </c>
      <c r="S100" s="11">
        <v>865</v>
      </c>
      <c r="T100" s="7" t="s">
        <v>43</v>
      </c>
      <c r="U100" s="5" t="s">
        <v>44</v>
      </c>
      <c r="V100" s="6">
        <v>42478</v>
      </c>
      <c r="W100" s="6">
        <v>42545</v>
      </c>
      <c r="X100" s="5" t="s">
        <v>495</v>
      </c>
      <c r="Y100" s="5" t="s">
        <v>496</v>
      </c>
      <c r="Z100" s="5" t="s">
        <v>497</v>
      </c>
      <c r="AA100" s="40" t="s">
        <v>40</v>
      </c>
      <c r="AB100" s="5" t="s">
        <v>40</v>
      </c>
    </row>
    <row r="101" spans="1:28" ht="162">
      <c r="A101" s="5">
        <v>2016</v>
      </c>
      <c r="B101" s="5" t="s">
        <v>64</v>
      </c>
      <c r="C101" s="79" t="s">
        <v>498</v>
      </c>
      <c r="D101" s="12">
        <v>42461</v>
      </c>
      <c r="E101" s="7" t="s">
        <v>499</v>
      </c>
      <c r="F101" s="7" t="s">
        <v>67</v>
      </c>
      <c r="G101" s="8">
        <v>365693.05</v>
      </c>
      <c r="H101" s="7" t="s">
        <v>500</v>
      </c>
      <c r="I101" s="5" t="s">
        <v>501</v>
      </c>
      <c r="J101" s="5" t="s">
        <v>502</v>
      </c>
      <c r="K101" s="5" t="s">
        <v>206</v>
      </c>
      <c r="L101" s="7" t="s">
        <v>503</v>
      </c>
      <c r="M101" s="5" t="s">
        <v>504</v>
      </c>
      <c r="N101" s="8">
        <v>365693.05</v>
      </c>
      <c r="O101" s="77" t="s">
        <v>40</v>
      </c>
      <c r="P101" s="5" t="s">
        <v>505</v>
      </c>
      <c r="Q101" s="8">
        <f>N101/1543</f>
        <v>237.00132858068696</v>
      </c>
      <c r="R101" s="5" t="s">
        <v>42</v>
      </c>
      <c r="S101" s="11">
        <v>1766</v>
      </c>
      <c r="T101" s="7" t="s">
        <v>43</v>
      </c>
      <c r="U101" s="5" t="s">
        <v>44</v>
      </c>
      <c r="V101" s="6">
        <v>42464</v>
      </c>
      <c r="W101" s="6">
        <v>42545</v>
      </c>
      <c r="X101" s="5" t="s">
        <v>495</v>
      </c>
      <c r="Y101" s="5" t="s">
        <v>496</v>
      </c>
      <c r="Z101" s="5" t="s">
        <v>497</v>
      </c>
      <c r="AA101" s="40" t="s">
        <v>40</v>
      </c>
      <c r="AB101" s="5" t="s">
        <v>40</v>
      </c>
    </row>
    <row r="102" spans="1:28" ht="94.5">
      <c r="A102" s="5">
        <v>2016</v>
      </c>
      <c r="B102" s="5" t="s">
        <v>64</v>
      </c>
      <c r="C102" s="79" t="s">
        <v>506</v>
      </c>
      <c r="D102" s="12">
        <v>42482</v>
      </c>
      <c r="E102" s="7" t="s">
        <v>507</v>
      </c>
      <c r="F102" s="7" t="s">
        <v>67</v>
      </c>
      <c r="G102" s="8">
        <v>256955.42</v>
      </c>
      <c r="H102" s="7" t="s">
        <v>508</v>
      </c>
      <c r="I102" s="5" t="s">
        <v>509</v>
      </c>
      <c r="J102" s="5" t="s">
        <v>161</v>
      </c>
      <c r="K102" s="5" t="s">
        <v>321</v>
      </c>
      <c r="L102" s="7" t="s">
        <v>510</v>
      </c>
      <c r="M102" s="5" t="s">
        <v>511</v>
      </c>
      <c r="N102" s="8">
        <v>256955.42</v>
      </c>
      <c r="O102" s="78">
        <v>226398.84</v>
      </c>
      <c r="P102" s="5" t="s">
        <v>110</v>
      </c>
      <c r="Q102" s="8">
        <f>N102/315</f>
        <v>815.73149206349206</v>
      </c>
      <c r="R102" s="5" t="s">
        <v>42</v>
      </c>
      <c r="S102" s="11">
        <v>1085</v>
      </c>
      <c r="T102" s="7" t="s">
        <v>43</v>
      </c>
      <c r="U102" s="5" t="s">
        <v>44</v>
      </c>
      <c r="V102" s="6">
        <v>42485</v>
      </c>
      <c r="W102" s="6">
        <v>42518</v>
      </c>
      <c r="X102" s="5" t="s">
        <v>512</v>
      </c>
      <c r="Y102" s="5" t="s">
        <v>513</v>
      </c>
      <c r="Z102" s="5" t="s">
        <v>280</v>
      </c>
      <c r="AA102" s="40" t="s">
        <v>40</v>
      </c>
      <c r="AB102" s="5" t="s">
        <v>40</v>
      </c>
    </row>
    <row r="103" spans="1:28" ht="202.5">
      <c r="A103" s="5">
        <v>2016</v>
      </c>
      <c r="B103" s="5" t="s">
        <v>64</v>
      </c>
      <c r="C103" s="79" t="s">
        <v>514</v>
      </c>
      <c r="D103" s="12">
        <v>42501</v>
      </c>
      <c r="E103" s="7" t="s">
        <v>515</v>
      </c>
      <c r="F103" s="7" t="s">
        <v>184</v>
      </c>
      <c r="G103" s="8">
        <v>1546969.1500000001</v>
      </c>
      <c r="H103" s="7" t="s">
        <v>516</v>
      </c>
      <c r="I103" s="5" t="str">
        <f>'[1]V, inciso o) (OP)'!M40</f>
        <v>José Antonio</v>
      </c>
      <c r="J103" s="5" t="str">
        <f>'[1]V, inciso o) (OP)'!N40</f>
        <v>Álvarez</v>
      </c>
      <c r="K103" s="5" t="str">
        <f>'[1]V, inciso o) (OP)'!O40</f>
        <v>Garcia</v>
      </c>
      <c r="L103" s="7" t="str">
        <f>'[1]V, inciso o) (OP)'!P40</f>
        <v>Urcoma 1970, S. A. de C. V. PCZ-041/2016</v>
      </c>
      <c r="M103" s="5" t="str">
        <f>'[1]V, inciso o) (OP)'!Q40</f>
        <v>UMN160125869</v>
      </c>
      <c r="N103" s="8">
        <v>1546969.15</v>
      </c>
      <c r="O103" s="78">
        <v>1546887.7200000002</v>
      </c>
      <c r="P103" s="5" t="s">
        <v>517</v>
      </c>
      <c r="Q103" s="5" t="s">
        <v>231</v>
      </c>
      <c r="R103" s="5" t="s">
        <v>42</v>
      </c>
      <c r="S103" s="11">
        <v>192531</v>
      </c>
      <c r="T103" s="7" t="s">
        <v>43</v>
      </c>
      <c r="U103" s="5" t="s">
        <v>44</v>
      </c>
      <c r="V103" s="6">
        <v>42502</v>
      </c>
      <c r="W103" s="6">
        <v>42582</v>
      </c>
      <c r="X103" s="5" t="s">
        <v>518</v>
      </c>
      <c r="Y103" s="5" t="s">
        <v>519</v>
      </c>
      <c r="Z103" s="5" t="s">
        <v>63</v>
      </c>
      <c r="AA103" s="40" t="s">
        <v>40</v>
      </c>
      <c r="AB103" s="5" t="s">
        <v>40</v>
      </c>
    </row>
    <row r="104" spans="1:28" ht="40.5">
      <c r="A104" s="5">
        <v>2016</v>
      </c>
      <c r="B104" s="5" t="s">
        <v>64</v>
      </c>
      <c r="C104" s="79" t="s">
        <v>520</v>
      </c>
      <c r="D104" s="12">
        <v>42503</v>
      </c>
      <c r="E104" s="7" t="s">
        <v>521</v>
      </c>
      <c r="F104" s="7" t="s">
        <v>67</v>
      </c>
      <c r="G104" s="8">
        <v>1495650.37</v>
      </c>
      <c r="H104" s="7" t="s">
        <v>522</v>
      </c>
      <c r="I104" s="5" t="str">
        <f>'[1]V, inciso o) (OP)'!M41</f>
        <v>Juan Francisco</v>
      </c>
      <c r="J104" s="5" t="str">
        <f>'[1]V, inciso o) (OP)'!N41</f>
        <v>Toscano</v>
      </c>
      <c r="K104" s="5" t="str">
        <f>'[1]V, inciso o) (OP)'!O41</f>
        <v>Lases</v>
      </c>
      <c r="L104" s="7" t="str">
        <f>'[1]V, inciso o) (OP)'!P41</f>
        <v>Infografía Digital de Occidente, S. A. de C. V. PCZ-178/2016</v>
      </c>
      <c r="M104" s="5" t="str">
        <f>'[1]V, inciso o) (OP)'!Q41</f>
        <v>IDO100427QG2</v>
      </c>
      <c r="N104" s="8">
        <v>1495650.37</v>
      </c>
      <c r="O104" s="77" t="s">
        <v>40</v>
      </c>
      <c r="P104" s="5" t="s">
        <v>231</v>
      </c>
      <c r="Q104" s="5" t="s">
        <v>231</v>
      </c>
      <c r="R104" s="5" t="s">
        <v>232</v>
      </c>
      <c r="S104" s="11" t="s">
        <v>232</v>
      </c>
      <c r="T104" s="7" t="s">
        <v>43</v>
      </c>
      <c r="U104" s="5" t="s">
        <v>44</v>
      </c>
      <c r="V104" s="6">
        <v>42506</v>
      </c>
      <c r="W104" s="6">
        <v>42582</v>
      </c>
      <c r="X104" s="5" t="s">
        <v>523</v>
      </c>
      <c r="Y104" s="5" t="s">
        <v>524</v>
      </c>
      <c r="Z104" s="5" t="s">
        <v>462</v>
      </c>
      <c r="AA104" s="40" t="s">
        <v>40</v>
      </c>
      <c r="AB104" s="5" t="s">
        <v>40</v>
      </c>
    </row>
    <row r="105" spans="1:28" ht="72.599999999999994" customHeight="1">
      <c r="A105" s="5">
        <v>2016</v>
      </c>
      <c r="B105" s="5" t="s">
        <v>296</v>
      </c>
      <c r="C105" s="79" t="s">
        <v>525</v>
      </c>
      <c r="D105" s="12">
        <v>42580</v>
      </c>
      <c r="E105" s="7" t="str">
        <f>'[1]V, inciso p) (OP)'!AL23</f>
        <v>Construcción de muro mecánicamente estabilizado (obra complementaria) para conexión al retorno vial a Periférico Norte y Av Juan Palomar y Arias, municipio de Zapopan, Jalisco.</v>
      </c>
      <c r="F105" s="7" t="s">
        <v>67</v>
      </c>
      <c r="G105" s="8">
        <f>'[1]V, inciso p) (OP)'!AG23</f>
        <v>4256046.82</v>
      </c>
      <c r="H105" s="7" t="str">
        <f>'[1]V, inciso p) (OP)'!AS23</f>
        <v>Col. Parque Industrial Belenes</v>
      </c>
      <c r="I105" s="5" t="s">
        <v>526</v>
      </c>
      <c r="J105" s="5" t="s">
        <v>462</v>
      </c>
      <c r="K105" s="5" t="s">
        <v>254</v>
      </c>
      <c r="L105" s="7" t="s">
        <v>527</v>
      </c>
      <c r="M105" s="5" t="s">
        <v>528</v>
      </c>
      <c r="N105" s="8">
        <v>4256046.82</v>
      </c>
      <c r="O105" s="78">
        <v>4256046.5200000005</v>
      </c>
      <c r="P105" s="5" t="s">
        <v>529</v>
      </c>
      <c r="Q105" s="8">
        <f>N105/750</f>
        <v>5674.7290933333334</v>
      </c>
      <c r="R105" s="5" t="s">
        <v>42</v>
      </c>
      <c r="S105" s="11">
        <v>92837</v>
      </c>
      <c r="T105" s="7" t="s">
        <v>43</v>
      </c>
      <c r="U105" s="5" t="s">
        <v>44</v>
      </c>
      <c r="V105" s="6">
        <v>42583</v>
      </c>
      <c r="W105" s="6">
        <v>42627</v>
      </c>
      <c r="X105" s="5" t="s">
        <v>530</v>
      </c>
      <c r="Y105" s="5" t="s">
        <v>343</v>
      </c>
      <c r="Z105" s="5" t="s">
        <v>344</v>
      </c>
      <c r="AA105" s="40" t="s">
        <v>40</v>
      </c>
      <c r="AB105" s="5" t="s">
        <v>40</v>
      </c>
    </row>
    <row r="106" spans="1:28" ht="94.5">
      <c r="A106" s="5">
        <v>2016</v>
      </c>
      <c r="B106" s="5" t="s">
        <v>296</v>
      </c>
      <c r="C106" s="79" t="s">
        <v>531</v>
      </c>
      <c r="D106" s="12">
        <v>42580</v>
      </c>
      <c r="E106" s="7"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106" s="7" t="s">
        <v>67</v>
      </c>
      <c r="G106" s="8">
        <f>'[1]V, inciso p) (OP)'!AG24</f>
        <v>4886861.9000000004</v>
      </c>
      <c r="H106" s="7" t="str">
        <f>'[1]V, inciso p) (OP)'!AS24</f>
        <v>Col. El Campanario</v>
      </c>
      <c r="I106" s="5" t="s">
        <v>532</v>
      </c>
      <c r="J106" s="5" t="s">
        <v>77</v>
      </c>
      <c r="K106" s="5" t="s">
        <v>295</v>
      </c>
      <c r="L106" s="7" t="s">
        <v>533</v>
      </c>
      <c r="M106" s="5" t="s">
        <v>534</v>
      </c>
      <c r="N106" s="8">
        <v>4886861.9000000004</v>
      </c>
      <c r="O106" s="77" t="s">
        <v>40</v>
      </c>
      <c r="P106" s="5" t="s">
        <v>535</v>
      </c>
      <c r="Q106" s="8">
        <f>N106/2466</f>
        <v>1981.6958231954584</v>
      </c>
      <c r="R106" s="5" t="s">
        <v>42</v>
      </c>
      <c r="S106" s="11">
        <v>2159</v>
      </c>
      <c r="T106" s="7" t="s">
        <v>43</v>
      </c>
      <c r="U106" s="5" t="s">
        <v>44</v>
      </c>
      <c r="V106" s="6">
        <v>42583</v>
      </c>
      <c r="W106" s="6">
        <v>42627</v>
      </c>
      <c r="X106" s="5" t="s">
        <v>536</v>
      </c>
      <c r="Y106" s="5" t="s">
        <v>383</v>
      </c>
      <c r="Z106" s="5" t="s">
        <v>300</v>
      </c>
      <c r="AA106" s="40" t="s">
        <v>40</v>
      </c>
      <c r="AB106" s="5" t="s">
        <v>40</v>
      </c>
    </row>
    <row r="107" spans="1:28" ht="108">
      <c r="A107" s="5">
        <v>2016</v>
      </c>
      <c r="B107" s="5" t="s">
        <v>296</v>
      </c>
      <c r="C107" s="79" t="s">
        <v>537</v>
      </c>
      <c r="D107" s="12">
        <v>42580</v>
      </c>
      <c r="E107" s="7"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107" s="7" t="s">
        <v>67</v>
      </c>
      <c r="G107" s="8">
        <f>'[1]V, inciso p) (OP)'!AG25</f>
        <v>3920653.99</v>
      </c>
      <c r="H107" s="7" t="str">
        <f>'[1]V, inciso p) (OP)'!AS25</f>
        <v>Localidad Santa Lucía</v>
      </c>
      <c r="I107" s="5" t="s">
        <v>538</v>
      </c>
      <c r="J107" s="5" t="s">
        <v>539</v>
      </c>
      <c r="K107" s="5" t="s">
        <v>540</v>
      </c>
      <c r="L107" s="7" t="s">
        <v>541</v>
      </c>
      <c r="M107" s="5" t="s">
        <v>542</v>
      </c>
      <c r="N107" s="8">
        <v>3920653.99</v>
      </c>
      <c r="O107" s="77" t="s">
        <v>40</v>
      </c>
      <c r="P107" s="5" t="s">
        <v>543</v>
      </c>
      <c r="Q107" s="8">
        <f>N107/2014</f>
        <v>1946.7000943396229</v>
      </c>
      <c r="R107" s="5" t="s">
        <v>42</v>
      </c>
      <c r="S107" s="11">
        <v>1748</v>
      </c>
      <c r="T107" s="7" t="s">
        <v>43</v>
      </c>
      <c r="U107" s="5" t="s">
        <v>44</v>
      </c>
      <c r="V107" s="6">
        <v>42583</v>
      </c>
      <c r="W107" s="6">
        <v>42627</v>
      </c>
      <c r="X107" s="5" t="s">
        <v>544</v>
      </c>
      <c r="Y107" s="5" t="s">
        <v>545</v>
      </c>
      <c r="Z107" s="5" t="s">
        <v>212</v>
      </c>
      <c r="AA107" s="40" t="s">
        <v>40</v>
      </c>
      <c r="AB107" s="5" t="s">
        <v>40</v>
      </c>
    </row>
    <row r="108" spans="1:28" ht="67.5">
      <c r="A108" s="5">
        <v>2016</v>
      </c>
      <c r="B108" s="5" t="s">
        <v>296</v>
      </c>
      <c r="C108" s="79" t="s">
        <v>546</v>
      </c>
      <c r="D108" s="12">
        <v>42580</v>
      </c>
      <c r="E108" s="7" t="str">
        <f>'[1]V, inciso p) (OP)'!AL26</f>
        <v>Construcción de la red de agua potable y de drenaje sanitario en la carretera La Venta del Astillero - Santa Lucia, en la colonia La Soledad, localidad de Nextipac, municipio de Zapopan, Jalisco</v>
      </c>
      <c r="F108" s="7" t="s">
        <v>67</v>
      </c>
      <c r="G108" s="8">
        <f>'[1]V, inciso p) (OP)'!AG26</f>
        <v>5701133.4699999997</v>
      </c>
      <c r="H108" s="7" t="str">
        <f>'[1]V, inciso p) (OP)'!AS26</f>
        <v>Localidad de Nextipac</v>
      </c>
      <c r="I108" s="5" t="s">
        <v>547</v>
      </c>
      <c r="J108" s="5" t="s">
        <v>548</v>
      </c>
      <c r="K108" s="5" t="s">
        <v>549</v>
      </c>
      <c r="L108" s="7" t="s">
        <v>550</v>
      </c>
      <c r="M108" s="5" t="s">
        <v>551</v>
      </c>
      <c r="N108" s="8">
        <v>5701133.4699999997</v>
      </c>
      <c r="O108" s="77" t="s">
        <v>40</v>
      </c>
      <c r="P108" s="5" t="s">
        <v>552</v>
      </c>
      <c r="Q108" s="8">
        <f>N108/2390</f>
        <v>2385.4114937238492</v>
      </c>
      <c r="R108" s="5" t="s">
        <v>42</v>
      </c>
      <c r="S108" s="11">
        <v>5663</v>
      </c>
      <c r="T108" s="7" t="s">
        <v>43</v>
      </c>
      <c r="U108" s="5" t="s">
        <v>44</v>
      </c>
      <c r="V108" s="6">
        <v>42583</v>
      </c>
      <c r="W108" s="6">
        <v>42642</v>
      </c>
      <c r="X108" s="5" t="s">
        <v>544</v>
      </c>
      <c r="Y108" s="5" t="s">
        <v>545</v>
      </c>
      <c r="Z108" s="5" t="s">
        <v>212</v>
      </c>
      <c r="AA108" s="40" t="s">
        <v>40</v>
      </c>
      <c r="AB108" s="5" t="s">
        <v>40</v>
      </c>
    </row>
    <row r="109" spans="1:28" ht="67.5">
      <c r="A109" s="5">
        <v>2016</v>
      </c>
      <c r="B109" s="5" t="s">
        <v>296</v>
      </c>
      <c r="C109" s="79" t="s">
        <v>553</v>
      </c>
      <c r="D109" s="12">
        <v>42580</v>
      </c>
      <c r="E109" s="7"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109" s="7" t="s">
        <v>67</v>
      </c>
      <c r="G109" s="8">
        <f>'[1]V, inciso p) (OP)'!AG27</f>
        <v>2157478.2999999998</v>
      </c>
      <c r="H109" s="7" t="str">
        <f>'[1]V, inciso p) (OP)'!AS27</f>
        <v>Col. Villas de Guadalupe</v>
      </c>
      <c r="I109" s="5" t="s">
        <v>116</v>
      </c>
      <c r="J109" s="5" t="s">
        <v>149</v>
      </c>
      <c r="K109" s="5" t="s">
        <v>150</v>
      </c>
      <c r="L109" s="7" t="s">
        <v>554</v>
      </c>
      <c r="M109" s="5" t="s">
        <v>152</v>
      </c>
      <c r="N109" s="8">
        <v>2157478.2999999998</v>
      </c>
      <c r="O109" s="77" t="s">
        <v>40</v>
      </c>
      <c r="P109" s="5" t="s">
        <v>555</v>
      </c>
      <c r="Q109" s="8">
        <f>N109/808</f>
        <v>2670.1464108910891</v>
      </c>
      <c r="R109" s="5" t="s">
        <v>42</v>
      </c>
      <c r="S109" s="11">
        <v>2762</v>
      </c>
      <c r="T109" s="7" t="s">
        <v>43</v>
      </c>
      <c r="U109" s="5" t="s">
        <v>44</v>
      </c>
      <c r="V109" s="6">
        <v>42583</v>
      </c>
      <c r="W109" s="6">
        <v>42642</v>
      </c>
      <c r="X109" s="5" t="s">
        <v>556</v>
      </c>
      <c r="Y109" s="5" t="s">
        <v>557</v>
      </c>
      <c r="Z109" s="5" t="s">
        <v>558</v>
      </c>
      <c r="AA109" s="40" t="s">
        <v>40</v>
      </c>
      <c r="AB109" s="5" t="s">
        <v>40</v>
      </c>
    </row>
    <row r="110" spans="1:28" ht="67.5">
      <c r="A110" s="5">
        <v>2016</v>
      </c>
      <c r="B110" s="5" t="s">
        <v>296</v>
      </c>
      <c r="C110" s="79" t="s">
        <v>559</v>
      </c>
      <c r="D110" s="12">
        <v>42580</v>
      </c>
      <c r="E110" s="7" t="str">
        <f>'[1]V, inciso p) (OP)'!AL28</f>
        <v>Construcción de líneas de drenaje sanitario y de agua potable, subrasante y base hidráulica en la calle Idolina Gaona entre Decima Oriente y Cuarta Oriente  en la colonia Jardines de Nuevo México, municipio de Zapopan, Jalisco.</v>
      </c>
      <c r="F110" s="7" t="s">
        <v>67</v>
      </c>
      <c r="G110" s="8">
        <f>'[1]V, inciso p) (OP)'!AG28</f>
        <v>3164998.73</v>
      </c>
      <c r="H110" s="7" t="str">
        <f>'[1]V, inciso p) (OP)'!AS28</f>
        <v>Col. Jardines de Nuevo México</v>
      </c>
      <c r="I110" s="5" t="s">
        <v>547</v>
      </c>
      <c r="J110" s="5" t="s">
        <v>560</v>
      </c>
      <c r="K110" s="5" t="s">
        <v>117</v>
      </c>
      <c r="L110" s="7" t="s">
        <v>561</v>
      </c>
      <c r="M110" s="5" t="s">
        <v>562</v>
      </c>
      <c r="N110" s="8">
        <v>3164998.73</v>
      </c>
      <c r="O110" s="77" t="s">
        <v>40</v>
      </c>
      <c r="P110" s="5" t="s">
        <v>563</v>
      </c>
      <c r="Q110" s="8">
        <f>N110/561</f>
        <v>5641.7089661319069</v>
      </c>
      <c r="R110" s="5" t="s">
        <v>42</v>
      </c>
      <c r="S110" s="11">
        <v>4470</v>
      </c>
      <c r="T110" s="7" t="s">
        <v>43</v>
      </c>
      <c r="U110" s="5" t="s">
        <v>44</v>
      </c>
      <c r="V110" s="6">
        <v>42583</v>
      </c>
      <c r="W110" s="6">
        <v>42642</v>
      </c>
      <c r="X110" s="5" t="s">
        <v>544</v>
      </c>
      <c r="Y110" s="5" t="s">
        <v>545</v>
      </c>
      <c r="Z110" s="5" t="s">
        <v>212</v>
      </c>
      <c r="AA110" s="40" t="s">
        <v>40</v>
      </c>
      <c r="AB110" s="5" t="s">
        <v>40</v>
      </c>
    </row>
    <row r="111" spans="1:28" ht="94.5">
      <c r="A111" s="5">
        <v>2016</v>
      </c>
      <c r="B111" s="5" t="s">
        <v>30</v>
      </c>
      <c r="C111" s="79" t="str">
        <f>'[1]V, inciso p) (OP)'!D29</f>
        <v>DOPI-MUN-PP-PAV-LP-050-2016</v>
      </c>
      <c r="D111" s="12">
        <f>'[1]V, inciso p) (OP)'!AD29</f>
        <v>42593</v>
      </c>
      <c r="E111" s="7"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111" s="7" t="s">
        <v>67</v>
      </c>
      <c r="G111" s="8">
        <f>'[1]V, inciso p) (OP)'!AG29</f>
        <v>4426493.25</v>
      </c>
      <c r="H111" s="7" t="str">
        <f>'[1]V, inciso p) (OP)'!AS29</f>
        <v>Tesitán</v>
      </c>
      <c r="I111" s="5" t="str">
        <f>'[1]V, inciso p) (OP)'!T29</f>
        <v>Julio Eduardo</v>
      </c>
      <c r="J111" s="5" t="str">
        <f>'[1]V, inciso p) (OP)'!U29</f>
        <v>Lopez</v>
      </c>
      <c r="K111" s="5" t="str">
        <f>'[1]V, inciso p) (OP)'!V29</f>
        <v>Perez</v>
      </c>
      <c r="L111" s="7" t="str">
        <f>'[1]V, inciso p) (OP)'!W29</f>
        <v>Proyectos e Insumos Industriales Jelp, S.A. de C.V.</v>
      </c>
      <c r="M111" s="5" t="str">
        <f>'[1]V, inciso p) (OP)'!X29</f>
        <v>PEI020208RW0</v>
      </c>
      <c r="N111" s="8">
        <f>G111</f>
        <v>4426493.25</v>
      </c>
      <c r="O111" s="77" t="s">
        <v>40</v>
      </c>
      <c r="P111" s="5" t="s">
        <v>564</v>
      </c>
      <c r="Q111" s="8">
        <f>N111/2010</f>
        <v>2202.2354477611939</v>
      </c>
      <c r="R111" s="5" t="s">
        <v>42</v>
      </c>
      <c r="S111" s="11">
        <v>60027</v>
      </c>
      <c r="T111" s="7" t="s">
        <v>43</v>
      </c>
      <c r="U111" s="5" t="s">
        <v>565</v>
      </c>
      <c r="V111" s="6">
        <f>'[1]V, inciso p) (OP)'!AM29</f>
        <v>42614</v>
      </c>
      <c r="W111" s="6">
        <f>'[1]V, inciso p) (OP)'!AN29</f>
        <v>42735</v>
      </c>
      <c r="X111" s="5" t="s">
        <v>544</v>
      </c>
      <c r="Y111" s="5" t="s">
        <v>545</v>
      </c>
      <c r="Z111" s="5" t="s">
        <v>212</v>
      </c>
      <c r="AA111" s="40" t="s">
        <v>40</v>
      </c>
      <c r="AB111" s="5" t="s">
        <v>40</v>
      </c>
    </row>
    <row r="112" spans="1:28" ht="94.5">
      <c r="A112" s="5">
        <v>2016</v>
      </c>
      <c r="B112" s="5" t="s">
        <v>30</v>
      </c>
      <c r="C112" s="79" t="str">
        <f>'[1]V, inciso p) (OP)'!D30</f>
        <v>DOPI-MUN-PP-PAV-LP-051-2016</v>
      </c>
      <c r="D112" s="12">
        <f>'[1]V, inciso p) (OP)'!AD30</f>
        <v>42600</v>
      </c>
      <c r="E112" s="7"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112" s="7" t="s">
        <v>67</v>
      </c>
      <c r="G112" s="8">
        <f>'[1]V, inciso p) (OP)'!AG30</f>
        <v>8579575.5199999996</v>
      </c>
      <c r="H112" s="7" t="str">
        <f>'[1]V, inciso p) (OP)'!AS30</f>
        <v>Tesitán</v>
      </c>
      <c r="I112" s="5" t="str">
        <f>'[1]V, inciso p) (OP)'!T30</f>
        <v xml:space="preserve">Cesar Agustin </v>
      </c>
      <c r="J112" s="5" t="str">
        <f>'[1]V, inciso p) (OP)'!U30</f>
        <v>Salgado</v>
      </c>
      <c r="K112" s="5" t="str">
        <f>'[1]V, inciso p) (OP)'!V30</f>
        <v>Santiago</v>
      </c>
      <c r="L112" s="7" t="str">
        <f>'[1]V, inciso p) (OP)'!W30</f>
        <v>Ecopav de México, S.A. de C.V.</v>
      </c>
      <c r="M112" s="5" t="str">
        <f>'[1]V, inciso p) (OP)'!X30</f>
        <v>FRA070416K99</v>
      </c>
      <c r="N112" s="8">
        <f t="shared" ref="N112:N133" si="1">G112</f>
        <v>8579575.5199999996</v>
      </c>
      <c r="O112" s="77" t="s">
        <v>40</v>
      </c>
      <c r="P112" s="5" t="s">
        <v>566</v>
      </c>
      <c r="Q112" s="8">
        <f>N112/4400</f>
        <v>1949.9035272727272</v>
      </c>
      <c r="R112" s="5" t="s">
        <v>42</v>
      </c>
      <c r="S112" s="11">
        <v>60027</v>
      </c>
      <c r="T112" s="7" t="s">
        <v>43</v>
      </c>
      <c r="U112" s="5" t="s">
        <v>565</v>
      </c>
      <c r="V112" s="6">
        <f>'[1]V, inciso p) (OP)'!AM30</f>
        <v>42614</v>
      </c>
      <c r="W112" s="6">
        <f>'[1]V, inciso p) (OP)'!AN30</f>
        <v>42735</v>
      </c>
      <c r="X112" s="5" t="s">
        <v>544</v>
      </c>
      <c r="Y112" s="5" t="s">
        <v>545</v>
      </c>
      <c r="Z112" s="5" t="s">
        <v>212</v>
      </c>
      <c r="AA112" s="40" t="s">
        <v>40</v>
      </c>
      <c r="AB112" s="5" t="s">
        <v>40</v>
      </c>
    </row>
    <row r="113" spans="1:28" ht="94.5">
      <c r="A113" s="5">
        <v>2016</v>
      </c>
      <c r="B113" s="5" t="s">
        <v>30</v>
      </c>
      <c r="C113" s="79" t="str">
        <f>'[1]V, inciso p) (OP)'!D31</f>
        <v>DOPI-MUN-PP-PAV-LP-052-2016</v>
      </c>
      <c r="D113" s="12">
        <f>'[1]V, inciso p) (OP)'!AD31</f>
        <v>42601</v>
      </c>
      <c r="E113" s="7"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113" s="7" t="s">
        <v>67</v>
      </c>
      <c r="G113" s="8">
        <f>'[1]V, inciso p) (OP)'!AG31</f>
        <v>4875141.67</v>
      </c>
      <c r="H113" s="7" t="str">
        <f>'[1]V, inciso p) (OP)'!AS31</f>
        <v>Tesitán</v>
      </c>
      <c r="I113" s="5" t="str">
        <f>'[1]V, inciso p) (OP)'!T31</f>
        <v>Jose Antonio</v>
      </c>
      <c r="J113" s="5" t="str">
        <f>'[1]V, inciso p) (OP)'!U31</f>
        <v>Alvarez</v>
      </c>
      <c r="K113" s="5" t="str">
        <f>'[1]V, inciso p) (OP)'!V31</f>
        <v>Zuloaga</v>
      </c>
      <c r="L113" s="7" t="str">
        <f>'[1]V, inciso p) (OP)'!W31</f>
        <v>Grupo Desarrollador Alzu, S.A. de C.V.</v>
      </c>
      <c r="M113" s="5" t="str">
        <f>'[1]V, inciso p) (OP)'!X31</f>
        <v>GDA150928286</v>
      </c>
      <c r="N113" s="8">
        <f t="shared" si="1"/>
        <v>4875141.67</v>
      </c>
      <c r="O113" s="77" t="s">
        <v>40</v>
      </c>
      <c r="P113" s="5" t="s">
        <v>567</v>
      </c>
      <c r="Q113" s="8">
        <f>N113/3090</f>
        <v>1577.7157508090615</v>
      </c>
      <c r="R113" s="5" t="s">
        <v>42</v>
      </c>
      <c r="S113" s="11">
        <v>60027</v>
      </c>
      <c r="T113" s="7" t="s">
        <v>43</v>
      </c>
      <c r="U113" s="5" t="s">
        <v>565</v>
      </c>
      <c r="V113" s="6">
        <f>'[1]V, inciso p) (OP)'!AM31</f>
        <v>42614</v>
      </c>
      <c r="W113" s="6">
        <f>'[1]V, inciso p) (OP)'!AN31</f>
        <v>42735</v>
      </c>
      <c r="X113" s="5" t="s">
        <v>544</v>
      </c>
      <c r="Y113" s="5" t="s">
        <v>545</v>
      </c>
      <c r="Z113" s="5" t="s">
        <v>212</v>
      </c>
      <c r="AA113" s="40" t="s">
        <v>40</v>
      </c>
      <c r="AB113" s="5" t="s">
        <v>40</v>
      </c>
    </row>
    <row r="114" spans="1:28" ht="94.5">
      <c r="A114" s="5">
        <v>2016</v>
      </c>
      <c r="B114" s="5" t="s">
        <v>30</v>
      </c>
      <c r="C114" s="79" t="str">
        <f>'[1]V, inciso p) (OP)'!D32</f>
        <v>DOPI-MUN-PP-PAV-LP-053-2016</v>
      </c>
      <c r="D114" s="12">
        <f>'[1]V, inciso p) (OP)'!AD32</f>
        <v>42604</v>
      </c>
      <c r="E114" s="7"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114" s="7" t="s">
        <v>67</v>
      </c>
      <c r="G114" s="8">
        <f>'[1]V, inciso p) (OP)'!AG32</f>
        <v>999852.22</v>
      </c>
      <c r="H114" s="7" t="str">
        <f>'[1]V, inciso p) (OP)'!AS32</f>
        <v>Tesitán</v>
      </c>
      <c r="I114" s="5" t="str">
        <f>'[1]V, inciso p) (OP)'!T32</f>
        <v>Guadalupe Alejandrina</v>
      </c>
      <c r="J114" s="5" t="str">
        <f>'[1]V, inciso p) (OP)'!U32</f>
        <v>Maldonado</v>
      </c>
      <c r="K114" s="5" t="str">
        <f>'[1]V, inciso p) (OP)'!V32</f>
        <v>Lara</v>
      </c>
      <c r="L114" s="7" t="str">
        <f>'[1]V, inciso p) (OP)'!W32</f>
        <v>L&amp;A Ejecución, Construcción y Proyectos Corporativo JM, S.A. de C.V.</v>
      </c>
      <c r="M114" s="5" t="str">
        <f>'[1]V, inciso p) (OP)'!X32</f>
        <v>LAE1306263B5</v>
      </c>
      <c r="N114" s="8">
        <f t="shared" si="1"/>
        <v>999852.22</v>
      </c>
      <c r="O114" s="77" t="s">
        <v>40</v>
      </c>
      <c r="P114" s="5" t="s">
        <v>568</v>
      </c>
      <c r="Q114" s="8">
        <f>N114/510</f>
        <v>1960.4945490196078</v>
      </c>
      <c r="R114" s="5" t="s">
        <v>42</v>
      </c>
      <c r="S114" s="11">
        <v>60027</v>
      </c>
      <c r="T114" s="7" t="s">
        <v>43</v>
      </c>
      <c r="U114" s="5" t="s">
        <v>565</v>
      </c>
      <c r="V114" s="6">
        <f>'[1]V, inciso p) (OP)'!AM32</f>
        <v>42614</v>
      </c>
      <c r="W114" s="6">
        <f>'[1]V, inciso p) (OP)'!AN32</f>
        <v>42705</v>
      </c>
      <c r="X114" s="5" t="s">
        <v>544</v>
      </c>
      <c r="Y114" s="5" t="s">
        <v>545</v>
      </c>
      <c r="Z114" s="5" t="s">
        <v>212</v>
      </c>
      <c r="AA114" s="40" t="s">
        <v>40</v>
      </c>
      <c r="AB114" s="5" t="s">
        <v>40</v>
      </c>
    </row>
    <row r="115" spans="1:28" ht="94.5">
      <c r="A115" s="5">
        <v>2016</v>
      </c>
      <c r="B115" s="5" t="s">
        <v>30</v>
      </c>
      <c r="C115" s="79" t="str">
        <f>'[1]V, inciso p) (OP)'!D33</f>
        <v>DOPI-MUN-PP-PAV-LP-054-2016</v>
      </c>
      <c r="D115" s="12">
        <f>'[1]V, inciso p) (OP)'!AD33</f>
        <v>42605</v>
      </c>
      <c r="E115" s="7"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115" s="7" t="s">
        <v>67</v>
      </c>
      <c r="G115" s="8">
        <f>'[1]V, inciso p) (OP)'!AG33</f>
        <v>1223679.9099999999</v>
      </c>
      <c r="H115" s="7" t="str">
        <f>'[1]V, inciso p) (OP)'!AS33</f>
        <v>Tesitán</v>
      </c>
      <c r="I115" s="5" t="str">
        <f>'[1]V, inciso p) (OP)'!T33</f>
        <v>Clarissa Gabriela</v>
      </c>
      <c r="J115" s="5" t="str">
        <f>'[1]V, inciso p) (OP)'!U33</f>
        <v>Valdez</v>
      </c>
      <c r="K115" s="5" t="str">
        <f>'[1]V, inciso p) (OP)'!V33</f>
        <v>Manjarrez</v>
      </c>
      <c r="L115" s="7" t="str">
        <f>'[1]V, inciso p) (OP)'!W33</f>
        <v>Tekton Grupo Empresarial, S.A. de C.V.</v>
      </c>
      <c r="M115" s="5" t="str">
        <f>'[1]V, inciso p) (OP)'!X33</f>
        <v>TGE101215JI6</v>
      </c>
      <c r="N115" s="8">
        <f t="shared" si="1"/>
        <v>1223679.9099999999</v>
      </c>
      <c r="O115" s="77" t="s">
        <v>40</v>
      </c>
      <c r="P115" s="5" t="s">
        <v>568</v>
      </c>
      <c r="Q115" s="8">
        <f>N115/510</f>
        <v>2399.3723725490195</v>
      </c>
      <c r="R115" s="5" t="s">
        <v>42</v>
      </c>
      <c r="S115" s="11">
        <v>60027</v>
      </c>
      <c r="T115" s="7" t="s">
        <v>43</v>
      </c>
      <c r="U115" s="5" t="s">
        <v>565</v>
      </c>
      <c r="V115" s="6">
        <f>'[1]V, inciso p) (OP)'!AM33</f>
        <v>42614</v>
      </c>
      <c r="W115" s="6">
        <f>'[1]V, inciso p) (OP)'!AN33</f>
        <v>42705</v>
      </c>
      <c r="X115" s="5" t="s">
        <v>544</v>
      </c>
      <c r="Y115" s="5" t="s">
        <v>545</v>
      </c>
      <c r="Z115" s="5" t="s">
        <v>212</v>
      </c>
      <c r="AA115" s="53" t="s">
        <v>1385</v>
      </c>
      <c r="AB115" s="5" t="s">
        <v>40</v>
      </c>
    </row>
    <row r="116" spans="1:28" ht="94.5">
      <c r="A116" s="5">
        <v>2016</v>
      </c>
      <c r="B116" s="5" t="s">
        <v>30</v>
      </c>
      <c r="C116" s="79" t="str">
        <f>'[1]V, inciso p) (OP)'!D34</f>
        <v>DOPI-MUN-PP-PAV-LP-055-2016</v>
      </c>
      <c r="D116" s="12">
        <f>'[1]V, inciso p) (OP)'!AD34</f>
        <v>42605</v>
      </c>
      <c r="E116" s="7"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116" s="7" t="s">
        <v>67</v>
      </c>
      <c r="G116" s="8">
        <f>'[1]V, inciso p) (OP)'!AG34</f>
        <v>1229696.57</v>
      </c>
      <c r="H116" s="7" t="str">
        <f>'[1]V, inciso p) (OP)'!AS34</f>
        <v>Tesitán</v>
      </c>
      <c r="I116" s="5" t="str">
        <f>'[1]V, inciso p) (OP)'!T34</f>
        <v>Raul</v>
      </c>
      <c r="J116" s="5" t="str">
        <f>'[1]V, inciso p) (OP)'!U34</f>
        <v xml:space="preserve">Ortega </v>
      </c>
      <c r="K116" s="5" t="str">
        <f>'[1]V, inciso p) (OP)'!V34</f>
        <v>Jara</v>
      </c>
      <c r="L116" s="7" t="str">
        <f>'[1]V, inciso p) (OP)'!W34</f>
        <v>Construcciones Anayari, S.A. de C.V.</v>
      </c>
      <c r="M116" s="5" t="str">
        <f>'[1]V, inciso p) (OP)'!X34</f>
        <v>CAN030528ME0</v>
      </c>
      <c r="N116" s="8">
        <f t="shared" si="1"/>
        <v>1229696.57</v>
      </c>
      <c r="O116" s="77" t="s">
        <v>40</v>
      </c>
      <c r="P116" s="5" t="s">
        <v>568</v>
      </c>
      <c r="Q116" s="8">
        <f>N116/510</f>
        <v>2411.1697450980391</v>
      </c>
      <c r="R116" s="5" t="s">
        <v>42</v>
      </c>
      <c r="S116" s="11">
        <v>60027</v>
      </c>
      <c r="T116" s="7" t="s">
        <v>43</v>
      </c>
      <c r="U116" s="5" t="s">
        <v>565</v>
      </c>
      <c r="V116" s="6">
        <f>'[1]V, inciso p) (OP)'!AM34</f>
        <v>42614</v>
      </c>
      <c r="W116" s="6">
        <f>'[1]V, inciso p) (OP)'!AN34</f>
        <v>42705</v>
      </c>
      <c r="X116" s="5" t="s">
        <v>544</v>
      </c>
      <c r="Y116" s="5" t="s">
        <v>545</v>
      </c>
      <c r="Z116" s="5" t="s">
        <v>212</v>
      </c>
      <c r="AA116" s="40" t="s">
        <v>40</v>
      </c>
      <c r="AB116" s="5" t="s">
        <v>40</v>
      </c>
    </row>
    <row r="117" spans="1:28" ht="94.5">
      <c r="A117" s="5">
        <v>2016</v>
      </c>
      <c r="B117" s="5" t="s">
        <v>30</v>
      </c>
      <c r="C117" s="79" t="str">
        <f>'[1]V, inciso p) (OP)'!D35</f>
        <v>DOPI-MUN-PP-PAV-LP-056-2016</v>
      </c>
      <c r="D117" s="12">
        <f>'[1]V, inciso p) (OP)'!AD35</f>
        <v>42591</v>
      </c>
      <c r="E117" s="7"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117" s="7" t="s">
        <v>67</v>
      </c>
      <c r="G117" s="8">
        <f>'[1]V, inciso p) (OP)'!AG35</f>
        <v>5518122.6399999997</v>
      </c>
      <c r="H117" s="7" t="str">
        <f>'[1]V, inciso p) (OP)'!AS35</f>
        <v>Colonia Arenales Tapatios</v>
      </c>
      <c r="I117" s="5" t="str">
        <f>'[1]V, inciso p) (OP)'!T35</f>
        <v>Carlos Ignacio</v>
      </c>
      <c r="J117" s="5" t="str">
        <f>'[1]V, inciso p) (OP)'!U35</f>
        <v>Curiel</v>
      </c>
      <c r="K117" s="5" t="str">
        <f>'[1]V, inciso p) (OP)'!V35</f>
        <v>Dueñas</v>
      </c>
      <c r="L117" s="7" t="str">
        <f>'[1]V, inciso p) (OP)'!W35</f>
        <v>Constructora Cecuchi, S.A. de C.V.</v>
      </c>
      <c r="M117" s="5" t="str">
        <f>'[1]V, inciso p) (OP)'!X35</f>
        <v>CCE130723IR7</v>
      </c>
      <c r="N117" s="8">
        <f t="shared" si="1"/>
        <v>5518122.6399999997</v>
      </c>
      <c r="O117" s="77" t="s">
        <v>40</v>
      </c>
      <c r="P117" s="5" t="s">
        <v>569</v>
      </c>
      <c r="Q117" s="8">
        <f>N117/3045</f>
        <v>1812.1913431855501</v>
      </c>
      <c r="R117" s="5" t="s">
        <v>42</v>
      </c>
      <c r="S117" s="11">
        <v>6432</v>
      </c>
      <c r="T117" s="7" t="s">
        <v>43</v>
      </c>
      <c r="U117" s="5" t="s">
        <v>44</v>
      </c>
      <c r="V117" s="6">
        <f>'[1]V, inciso p) (OP)'!AM35</f>
        <v>42592</v>
      </c>
      <c r="W117" s="6">
        <f>'[1]V, inciso p) (OP)'!AN35</f>
        <v>42713</v>
      </c>
      <c r="X117" s="5" t="s">
        <v>570</v>
      </c>
      <c r="Y117" s="5" t="s">
        <v>383</v>
      </c>
      <c r="Z117" s="5" t="s">
        <v>300</v>
      </c>
      <c r="AA117" s="40" t="s">
        <v>40</v>
      </c>
      <c r="AB117" s="5" t="s">
        <v>40</v>
      </c>
    </row>
    <row r="118" spans="1:28" ht="94.5">
      <c r="A118" s="5">
        <v>2016</v>
      </c>
      <c r="B118" s="5" t="s">
        <v>30</v>
      </c>
      <c r="C118" s="79" t="str">
        <f>'[1]V, inciso p) (OP)'!D36</f>
        <v>DOPI-MUN-PP-PAV-LP-057-2016</v>
      </c>
      <c r="D118" s="12">
        <f>'[1]V, inciso p) (OP)'!AD36</f>
        <v>42591</v>
      </c>
      <c r="E118" s="7"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118" s="7" t="s">
        <v>67</v>
      </c>
      <c r="G118" s="8">
        <f>'[1]V, inciso p) (OP)'!AG36</f>
        <v>5312056.17</v>
      </c>
      <c r="H118" s="7" t="str">
        <f>'[1]V, inciso p) (OP)'!AS36</f>
        <v>Colonia Arenales Tapatios</v>
      </c>
      <c r="I118" s="5" t="str">
        <f>'[1]V, inciso p) (OP)'!T36</f>
        <v>Sergio Cesar</v>
      </c>
      <c r="J118" s="5" t="str">
        <f>'[1]V, inciso p) (OP)'!U36</f>
        <v>Diaz</v>
      </c>
      <c r="K118" s="5" t="str">
        <f>'[1]V, inciso p) (OP)'!V36</f>
        <v>Quiroz</v>
      </c>
      <c r="L118" s="7" t="str">
        <f>'[1]V, inciso p) (OP)'!W36</f>
        <v>Transcreto S.A. de C.V.</v>
      </c>
      <c r="M118" s="5" t="str">
        <f>'[1]V, inciso p) (OP)'!X36</f>
        <v>TRA750528286</v>
      </c>
      <c r="N118" s="8">
        <f t="shared" si="1"/>
        <v>5312056.17</v>
      </c>
      <c r="O118" s="77" t="s">
        <v>40</v>
      </c>
      <c r="P118" s="5" t="s">
        <v>569</v>
      </c>
      <c r="Q118" s="8">
        <f>N118/3045</f>
        <v>1744.5176256157636</v>
      </c>
      <c r="R118" s="5" t="s">
        <v>42</v>
      </c>
      <c r="S118" s="11">
        <v>6432</v>
      </c>
      <c r="T118" s="7" t="s">
        <v>43</v>
      </c>
      <c r="U118" s="5" t="s">
        <v>44</v>
      </c>
      <c r="V118" s="6">
        <f>'[1]V, inciso p) (OP)'!AM36</f>
        <v>42592</v>
      </c>
      <c r="W118" s="6">
        <f>'[1]V, inciso p) (OP)'!AN36</f>
        <v>42713</v>
      </c>
      <c r="X118" s="5" t="s">
        <v>570</v>
      </c>
      <c r="Y118" s="5" t="s">
        <v>383</v>
      </c>
      <c r="Z118" s="5" t="s">
        <v>300</v>
      </c>
      <c r="AA118" s="40" t="s">
        <v>40</v>
      </c>
      <c r="AB118" s="5" t="s">
        <v>40</v>
      </c>
    </row>
    <row r="119" spans="1:28" ht="135">
      <c r="A119" s="5">
        <v>2016</v>
      </c>
      <c r="B119" s="5" t="s">
        <v>30</v>
      </c>
      <c r="C119" s="79" t="str">
        <f>'[1]V, inciso p) (OP)'!D37</f>
        <v>DOPI-MUN-PP-PAV-LP-058-2016</v>
      </c>
      <c r="D119" s="12">
        <f>'[1]V, inciso p) (OP)'!AD37</f>
        <v>42591</v>
      </c>
      <c r="E119" s="7"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119" s="7" t="s">
        <v>67</v>
      </c>
      <c r="G119" s="8">
        <f>'[1]V, inciso p) (OP)'!AG37</f>
        <v>7853005.75</v>
      </c>
      <c r="H119" s="7" t="str">
        <f>'[1]V, inciso p) (OP)'!AS37</f>
        <v>Tesitán</v>
      </c>
      <c r="I119" s="5" t="str">
        <f>'[1]V, inciso p) (OP)'!T37</f>
        <v>Enrique Christian</v>
      </c>
      <c r="J119" s="5" t="str">
        <f>'[1]V, inciso p) (OP)'!U37</f>
        <v>Anshiro Minakata</v>
      </c>
      <c r="K119" s="5" t="str">
        <f>'[1]V, inciso p) (OP)'!V37</f>
        <v>Morentin</v>
      </c>
      <c r="L119" s="7" t="str">
        <f>'[1]V, inciso p) (OP)'!W37</f>
        <v>Construcciones Mirot, S.A. de C.V.</v>
      </c>
      <c r="M119" s="5" t="str">
        <f>'[1]V, inciso p) (OP)'!X37</f>
        <v>CMI110222AA0</v>
      </c>
      <c r="N119" s="8">
        <f t="shared" si="1"/>
        <v>7853005.75</v>
      </c>
      <c r="O119" s="77" t="s">
        <v>40</v>
      </c>
      <c r="P119" s="5" t="s">
        <v>571</v>
      </c>
      <c r="Q119" s="8">
        <f>N119/13005</f>
        <v>603.84511726259132</v>
      </c>
      <c r="R119" s="5" t="s">
        <v>42</v>
      </c>
      <c r="S119" s="11">
        <v>21089</v>
      </c>
      <c r="T119" s="7" t="s">
        <v>43</v>
      </c>
      <c r="U119" s="5" t="s">
        <v>44</v>
      </c>
      <c r="V119" s="6">
        <f>'[1]V, inciso p) (OP)'!AM37</f>
        <v>42592</v>
      </c>
      <c r="W119" s="6">
        <f>'[1]V, inciso p) (OP)'!AN37</f>
        <v>42683</v>
      </c>
      <c r="X119" s="5" t="s">
        <v>572</v>
      </c>
      <c r="Y119" s="5" t="s">
        <v>573</v>
      </c>
      <c r="Z119" s="5" t="s">
        <v>574</v>
      </c>
      <c r="AA119" s="40" t="s">
        <v>40</v>
      </c>
      <c r="AB119" s="5" t="s">
        <v>40</v>
      </c>
    </row>
    <row r="120" spans="1:28" ht="135">
      <c r="A120" s="5">
        <v>2016</v>
      </c>
      <c r="B120" s="5" t="s">
        <v>30</v>
      </c>
      <c r="C120" s="79" t="str">
        <f>'[1]V, inciso p) (OP)'!D38</f>
        <v>DOPI-MUN-PP-PAV-LP-059-2016</v>
      </c>
      <c r="D120" s="12">
        <f>'[1]V, inciso p) (OP)'!AD38</f>
        <v>42591</v>
      </c>
      <c r="E120" s="7"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120" s="7" t="s">
        <v>67</v>
      </c>
      <c r="G120" s="8">
        <f>'[1]V, inciso p) (OP)'!AG38</f>
        <v>6564336.8600000003</v>
      </c>
      <c r="H120" s="7" t="str">
        <f>'[1]V, inciso p) (OP)'!AS38</f>
        <v>Colonia Valle de Atemajac</v>
      </c>
      <c r="I120" s="5" t="str">
        <f>'[1]V, inciso p) (OP)'!T38</f>
        <v>Rodrigo</v>
      </c>
      <c r="J120" s="5" t="str">
        <f>'[1]V, inciso p) (OP)'!U38</f>
        <v>Ramos</v>
      </c>
      <c r="K120" s="5" t="str">
        <f>'[1]V, inciso p) (OP)'!V38</f>
        <v>Garibi</v>
      </c>
      <c r="L120" s="7" t="str">
        <f>'[1]V, inciso p) (OP)'!W38</f>
        <v>Metro Asfaltos, S.A. de C.V.</v>
      </c>
      <c r="M120" s="5" t="str">
        <f>'[1]V, inciso p) (OP)'!X38</f>
        <v>CMA070307RU6</v>
      </c>
      <c r="N120" s="8">
        <f t="shared" si="1"/>
        <v>6564336.8600000003</v>
      </c>
      <c r="O120" s="77" t="s">
        <v>40</v>
      </c>
      <c r="P120" s="5" t="s">
        <v>575</v>
      </c>
      <c r="Q120" s="8">
        <f>N120/8610</f>
        <v>762.40846225319399</v>
      </c>
      <c r="R120" s="5" t="s">
        <v>42</v>
      </c>
      <c r="S120" s="11">
        <v>21089</v>
      </c>
      <c r="T120" s="7" t="s">
        <v>43</v>
      </c>
      <c r="U120" s="5" t="s">
        <v>44</v>
      </c>
      <c r="V120" s="6">
        <f>'[1]V, inciso p) (OP)'!AM38</f>
        <v>42592</v>
      </c>
      <c r="W120" s="6">
        <f>'[1]V, inciso p) (OP)'!AN38</f>
        <v>42713</v>
      </c>
      <c r="X120" s="5" t="s">
        <v>572</v>
      </c>
      <c r="Y120" s="5" t="s">
        <v>573</v>
      </c>
      <c r="Z120" s="5" t="s">
        <v>574</v>
      </c>
      <c r="AA120" s="40" t="s">
        <v>40</v>
      </c>
      <c r="AB120" s="5" t="s">
        <v>40</v>
      </c>
    </row>
    <row r="121" spans="1:28" ht="121.5">
      <c r="A121" s="5">
        <v>2016</v>
      </c>
      <c r="B121" s="5" t="s">
        <v>30</v>
      </c>
      <c r="C121" s="79" t="str">
        <f>'[1]V, inciso p) (OP)'!D39</f>
        <v>DOPI-MUN-PP-PAV-LP-060-2016</v>
      </c>
      <c r="D121" s="12">
        <f>'[1]V, inciso p) (OP)'!AD39</f>
        <v>42591</v>
      </c>
      <c r="E121" s="7"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121" s="7" t="s">
        <v>67</v>
      </c>
      <c r="G121" s="8">
        <f>'[1]V, inciso p) (OP)'!AG39</f>
        <v>7287576.9199999999</v>
      </c>
      <c r="H121" s="7" t="str">
        <f>'[1]V, inciso p) (OP)'!AS39</f>
        <v>Colonia Girasoles Acueducto</v>
      </c>
      <c r="I121" s="5" t="str">
        <f>'[1]V, inciso p) (OP)'!T39</f>
        <v>Ignacio Javier</v>
      </c>
      <c r="J121" s="5" t="str">
        <f>'[1]V, inciso p) (OP)'!U39</f>
        <v>Curiel</v>
      </c>
      <c r="K121" s="5" t="str">
        <f>'[1]V, inciso p) (OP)'!V39</f>
        <v>Dueñas</v>
      </c>
      <c r="L121" s="7" t="str">
        <f>'[1]V, inciso p) (OP)'!W39</f>
        <v>Tc Construcción Y Mantenimiento, S.A. de C.V.</v>
      </c>
      <c r="M121" s="5" t="str">
        <f>'[1]V, inciso p) (OP)'!X39</f>
        <v>TCM100915HA1</v>
      </c>
      <c r="N121" s="8">
        <f t="shared" si="1"/>
        <v>7287576.9199999999</v>
      </c>
      <c r="O121" s="77" t="s">
        <v>40</v>
      </c>
      <c r="P121" s="5" t="s">
        <v>576</v>
      </c>
      <c r="Q121" s="8">
        <f>N121/13445</f>
        <v>542.02877798438078</v>
      </c>
      <c r="R121" s="5" t="s">
        <v>42</v>
      </c>
      <c r="S121" s="11">
        <v>21089</v>
      </c>
      <c r="T121" s="7" t="s">
        <v>43</v>
      </c>
      <c r="U121" s="5" t="s">
        <v>44</v>
      </c>
      <c r="V121" s="6">
        <f>'[1]V, inciso p) (OP)'!AM39</f>
        <v>42592</v>
      </c>
      <c r="W121" s="6">
        <f>'[1]V, inciso p) (OP)'!AN39</f>
        <v>42683</v>
      </c>
      <c r="X121" s="5" t="s">
        <v>572</v>
      </c>
      <c r="Y121" s="5" t="s">
        <v>573</v>
      </c>
      <c r="Z121" s="5" t="s">
        <v>574</v>
      </c>
      <c r="AA121" s="40" t="s">
        <v>40</v>
      </c>
      <c r="AB121" s="5" t="s">
        <v>40</v>
      </c>
    </row>
    <row r="122" spans="1:28" ht="121.5">
      <c r="A122" s="5">
        <v>2016</v>
      </c>
      <c r="B122" s="5" t="s">
        <v>30</v>
      </c>
      <c r="C122" s="79" t="str">
        <f>'[1]V, inciso p) (OP)'!D40</f>
        <v>DOPI-MUN-PP-PAV-LP-061-2016</v>
      </c>
      <c r="D122" s="12">
        <f>'[1]V, inciso p) (OP)'!AD40</f>
        <v>42591</v>
      </c>
      <c r="E122" s="7"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122" s="7" t="s">
        <v>67</v>
      </c>
      <c r="G122" s="8">
        <f>'[1]V, inciso p) (OP)'!AG40</f>
        <v>6426888.9699999997</v>
      </c>
      <c r="H122" s="7" t="str">
        <f>'[1]V, inciso p) (OP)'!AS40</f>
        <v>Colonia Las Bóvedas</v>
      </c>
      <c r="I122" s="5" t="str">
        <f>'[1]V, inciso p) (OP)'!T40</f>
        <v>Ignacio Javier</v>
      </c>
      <c r="J122" s="5" t="str">
        <f>'[1]V, inciso p) (OP)'!U40</f>
        <v>Curiel</v>
      </c>
      <c r="K122" s="5" t="str">
        <f>'[1]V, inciso p) (OP)'!V40</f>
        <v>Dueñas</v>
      </c>
      <c r="L122" s="7" t="str">
        <f>'[1]V, inciso p) (OP)'!W40</f>
        <v>Tc Construcción Y Mantenimiento, S.A. de C.V.</v>
      </c>
      <c r="M122" s="5" t="str">
        <f>'[1]V, inciso p) (OP)'!X40</f>
        <v>TCM100915HA1</v>
      </c>
      <c r="N122" s="8">
        <f t="shared" si="1"/>
        <v>6426888.9699999997</v>
      </c>
      <c r="O122" s="77" t="s">
        <v>40</v>
      </c>
      <c r="P122" s="5" t="s">
        <v>577</v>
      </c>
      <c r="Q122" s="8">
        <f>N122/11700</f>
        <v>549.30674957264955</v>
      </c>
      <c r="R122" s="5" t="s">
        <v>42</v>
      </c>
      <c r="S122" s="11">
        <v>21089</v>
      </c>
      <c r="T122" s="7" t="s">
        <v>43</v>
      </c>
      <c r="U122" s="5" t="s">
        <v>44</v>
      </c>
      <c r="V122" s="6">
        <f>'[1]V, inciso p) (OP)'!AM40</f>
        <v>42592</v>
      </c>
      <c r="W122" s="6">
        <f>'[1]V, inciso p) (OP)'!AN40</f>
        <v>42683</v>
      </c>
      <c r="X122" s="5" t="s">
        <v>572</v>
      </c>
      <c r="Y122" s="5" t="s">
        <v>573</v>
      </c>
      <c r="Z122" s="5" t="s">
        <v>574</v>
      </c>
      <c r="AA122" s="40" t="s">
        <v>40</v>
      </c>
      <c r="AB122" s="5" t="s">
        <v>40</v>
      </c>
    </row>
    <row r="123" spans="1:28" ht="54">
      <c r="A123" s="5">
        <v>2016</v>
      </c>
      <c r="B123" s="5" t="s">
        <v>30</v>
      </c>
      <c r="C123" s="79" t="str">
        <f>'[1]V, inciso p) (OP)'!D41</f>
        <v>DOPI-MUN-MA-PAV-LP-062-2016</v>
      </c>
      <c r="D123" s="12">
        <f>'[1]V, inciso p) (OP)'!AD41</f>
        <v>42632</v>
      </c>
      <c r="E123" s="7" t="str">
        <f>'[1]V, inciso p) (OP)'!AL41</f>
        <v>Rehabilitación de la pavimentación de la Av. López Mateos Sur de Periférico Sur a Av. Copérnico (carriles centrales se sustituyen con concreto hidráulico).</v>
      </c>
      <c r="F123" s="7" t="s">
        <v>67</v>
      </c>
      <c r="G123" s="8">
        <f>'[1]V, inciso p) (OP)'!AJ41</f>
        <v>79605111.310000002</v>
      </c>
      <c r="H123" s="7" t="s">
        <v>578</v>
      </c>
      <c r="I123" s="5" t="str">
        <f>'[1]V, inciso p) (OP)'!T41</f>
        <v>José Manuel</v>
      </c>
      <c r="J123" s="5" t="str">
        <f>'[1]V, inciso p) (OP)'!U41</f>
        <v>Gómez</v>
      </c>
      <c r="K123" s="5" t="str">
        <f>'[1]V, inciso p) (OP)'!V41</f>
        <v>Castellanos</v>
      </c>
      <c r="L123" s="7" t="str">
        <f>'[1]V, inciso p) (OP)'!W41</f>
        <v>GVA Desarrollos Integrales, S.A. de C.V.</v>
      </c>
      <c r="M123" s="5" t="str">
        <f>'[1]V, inciso p) (OP)'!X41</f>
        <v>GDI020122D2A</v>
      </c>
      <c r="N123" s="8">
        <f>G123</f>
        <v>79605111.310000002</v>
      </c>
      <c r="O123" s="77" t="s">
        <v>40</v>
      </c>
      <c r="P123" s="9" t="s">
        <v>579</v>
      </c>
      <c r="Q123" s="10">
        <f>N123/38846</f>
        <v>2049.2486050043763</v>
      </c>
      <c r="R123" s="9" t="s">
        <v>42</v>
      </c>
      <c r="S123" s="13">
        <v>845000</v>
      </c>
      <c r="T123" s="7" t="s">
        <v>43</v>
      </c>
      <c r="U123" s="5" t="s">
        <v>565</v>
      </c>
      <c r="V123" s="6">
        <f>'[1]V, inciso p) (OP)'!AM41</f>
        <v>42632</v>
      </c>
      <c r="W123" s="6">
        <f>'[1]V, inciso p) (OP)'!AN41</f>
        <v>42768</v>
      </c>
      <c r="X123" s="5" t="s">
        <v>580</v>
      </c>
      <c r="Y123" s="5" t="s">
        <v>581</v>
      </c>
      <c r="Z123" s="5" t="s">
        <v>582</v>
      </c>
      <c r="AA123" s="40" t="s">
        <v>40</v>
      </c>
      <c r="AB123" s="5" t="s">
        <v>40</v>
      </c>
    </row>
    <row r="124" spans="1:28" ht="54">
      <c r="A124" s="5">
        <v>2016</v>
      </c>
      <c r="B124" s="5" t="s">
        <v>30</v>
      </c>
      <c r="C124" s="79" t="str">
        <f>'[1]V, inciso p) (OP)'!D42</f>
        <v>DOPI-MUN-MA-PAV-LP-063-2016</v>
      </c>
      <c r="D124" s="12">
        <f>'[1]V, inciso p) (OP)'!AD42</f>
        <v>42632</v>
      </c>
      <c r="E124" s="7" t="str">
        <f>'[1]V, inciso p) (OP)'!AL42</f>
        <v>Rehabilitación y mantenimiento de pavimentos de vialidades (reencarpetamiento, sellado, sustitución de lozas dañadas, calafateo y señalamiento horizontal) en diferentes colonias del municipio.</v>
      </c>
      <c r="F124" s="7" t="s">
        <v>67</v>
      </c>
      <c r="G124" s="8">
        <f>'[1]V, inciso p) (OP)'!AJ42</f>
        <v>79764410.700000003</v>
      </c>
      <c r="H124" s="7" t="s">
        <v>583</v>
      </c>
      <c r="I124" s="5" t="str">
        <f>'[1]V, inciso p) (OP)'!T42</f>
        <v>Diego</v>
      </c>
      <c r="J124" s="5" t="str">
        <f>'[1]V, inciso p) (OP)'!U42</f>
        <v>Valenzuela</v>
      </c>
      <c r="K124" s="5" t="str">
        <f>'[1]V, inciso p) (OP)'!V42</f>
        <v>Cadena</v>
      </c>
      <c r="L124" s="7" t="str">
        <f>'[1]V, inciso p) (OP)'!W42</f>
        <v>Fuerza de Apoyo Constructiva de Occidente, S.A. de C.V.</v>
      </c>
      <c r="M124" s="5" t="str">
        <f>'[1]V, inciso p) (OP)'!X42</f>
        <v>FAC010607TI0</v>
      </c>
      <c r="N124" s="8">
        <f>G124</f>
        <v>79764410.700000003</v>
      </c>
      <c r="O124" s="77" t="s">
        <v>40</v>
      </c>
      <c r="P124" s="9" t="s">
        <v>584</v>
      </c>
      <c r="Q124" s="10">
        <f>N124/95806</f>
        <v>832.56174665469803</v>
      </c>
      <c r="R124" s="9" t="s">
        <v>42</v>
      </c>
      <c r="S124" s="13">
        <v>243524</v>
      </c>
      <c r="T124" s="7" t="s">
        <v>43</v>
      </c>
      <c r="U124" s="5" t="s">
        <v>565</v>
      </c>
      <c r="V124" s="6">
        <f>'[1]V, inciso p) (OP)'!AM42</f>
        <v>42632</v>
      </c>
      <c r="W124" s="6">
        <f>'[1]V, inciso p) (OP)'!AN42</f>
        <v>42768</v>
      </c>
      <c r="X124" s="5" t="s">
        <v>580</v>
      </c>
      <c r="Y124" s="5" t="s">
        <v>581</v>
      </c>
      <c r="Z124" s="5" t="s">
        <v>582</v>
      </c>
      <c r="AA124" s="40" t="s">
        <v>40</v>
      </c>
      <c r="AB124" s="5" t="s">
        <v>40</v>
      </c>
    </row>
    <row r="125" spans="1:28" ht="108">
      <c r="A125" s="5">
        <v>2016</v>
      </c>
      <c r="B125" s="5" t="s">
        <v>30</v>
      </c>
      <c r="C125" s="79" t="str">
        <f>'[1]V, inciso p) (OP)'!D43</f>
        <v>DOPI-MUN-AMP-PAV-LP-064-2016</v>
      </c>
      <c r="D125" s="12">
        <f>'[1]V, inciso p) (OP)'!AD43</f>
        <v>42591</v>
      </c>
      <c r="E125" s="7"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125" s="7" t="s">
        <v>67</v>
      </c>
      <c r="G125" s="8">
        <f>'[1]V, inciso p) (OP)'!AG43</f>
        <v>12009584.140000001</v>
      </c>
      <c r="H125" s="7" t="str">
        <f>'[1]V, inciso p) (OP)'!AS43</f>
        <v>Colonia Nuevo México</v>
      </c>
      <c r="I125" s="5" t="str">
        <f>'[1]V, inciso p) (OP)'!T43</f>
        <v>Rodrigo</v>
      </c>
      <c r="J125" s="5" t="str">
        <f>'[1]V, inciso p) (OP)'!U43</f>
        <v>Ramos</v>
      </c>
      <c r="K125" s="5" t="str">
        <f>'[1]V, inciso p) (OP)'!V43</f>
        <v>Garibi</v>
      </c>
      <c r="L125" s="7" t="str">
        <f>'[1]V, inciso p) (OP)'!W43</f>
        <v>Metro Asfaltos, S.A. de C.V.</v>
      </c>
      <c r="M125" s="5" t="str">
        <f>'[1]V, inciso p) (OP)'!X43</f>
        <v>CMA070307RU6</v>
      </c>
      <c r="N125" s="8">
        <f t="shared" si="1"/>
        <v>12009584.140000001</v>
      </c>
      <c r="O125" s="77" t="s">
        <v>40</v>
      </c>
      <c r="P125" s="5" t="s">
        <v>585</v>
      </c>
      <c r="Q125" s="8">
        <f>N125/40328</f>
        <v>297.79766266613768</v>
      </c>
      <c r="R125" s="5" t="s">
        <v>42</v>
      </c>
      <c r="S125" s="11">
        <v>60027</v>
      </c>
      <c r="T125" s="7" t="s">
        <v>43</v>
      </c>
      <c r="U125" s="5" t="s">
        <v>44</v>
      </c>
      <c r="V125" s="6">
        <f>'[1]V, inciso p) (OP)'!AM43</f>
        <v>42592</v>
      </c>
      <c r="W125" s="6">
        <f>'[1]V, inciso p) (OP)'!AN43</f>
        <v>42666</v>
      </c>
      <c r="X125" s="5" t="s">
        <v>586</v>
      </c>
      <c r="Y125" s="5" t="s">
        <v>404</v>
      </c>
      <c r="Z125" s="5" t="s">
        <v>405</v>
      </c>
      <c r="AA125" s="53" t="s">
        <v>1241</v>
      </c>
      <c r="AB125" s="5" t="s">
        <v>40</v>
      </c>
    </row>
    <row r="126" spans="1:28" ht="108">
      <c r="A126" s="5">
        <v>2016</v>
      </c>
      <c r="B126" s="5" t="s">
        <v>30</v>
      </c>
      <c r="C126" s="79" t="str">
        <f>'[1]V, inciso p) (OP)'!D44</f>
        <v>DOPI-MUN-AMP-PAV-LP-065-2016</v>
      </c>
      <c r="D126" s="12">
        <f>'[1]V, inciso p) (OP)'!AD44</f>
        <v>42592</v>
      </c>
      <c r="E126" s="7"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126" s="7" t="s">
        <v>67</v>
      </c>
      <c r="G126" s="8">
        <f>'[1]V, inciso p) (OP)'!AG44</f>
        <v>10115493.029999999</v>
      </c>
      <c r="H126" s="7" t="str">
        <f>'[1]V, inciso p) (OP)'!AS44</f>
        <v>Colonia Nuevo México</v>
      </c>
      <c r="I126" s="5" t="str">
        <f>'[1]V, inciso p) (OP)'!T44</f>
        <v>Jose Luis</v>
      </c>
      <c r="J126" s="5" t="str">
        <f>'[1]V, inciso p) (OP)'!U44</f>
        <v>Brenez</v>
      </c>
      <c r="K126" s="5" t="str">
        <f>'[1]V, inciso p) (OP)'!V44</f>
        <v>Moreno</v>
      </c>
      <c r="L126" s="7" t="str">
        <f>'[1]V, inciso p) (OP)'!W44</f>
        <v>Breysa Constructora, S.A. de C.V.</v>
      </c>
      <c r="M126" s="5" t="str">
        <f>'[1]V, inciso p) (OP)'!X44</f>
        <v>BCO900423GC5</v>
      </c>
      <c r="N126" s="8">
        <f t="shared" si="1"/>
        <v>10115493.029999999</v>
      </c>
      <c r="O126" s="77" t="s">
        <v>40</v>
      </c>
      <c r="P126" s="5" t="s">
        <v>587</v>
      </c>
      <c r="Q126" s="8">
        <f>N126/24640</f>
        <v>410.53137297077922</v>
      </c>
      <c r="R126" s="5" t="s">
        <v>42</v>
      </c>
      <c r="S126" s="11">
        <v>60027</v>
      </c>
      <c r="T126" s="7" t="s">
        <v>43</v>
      </c>
      <c r="U126" s="5" t="s">
        <v>44</v>
      </c>
      <c r="V126" s="6">
        <f>'[1]V, inciso p) (OP)'!AM44</f>
        <v>42592</v>
      </c>
      <c r="W126" s="6">
        <f>'[1]V, inciso p) (OP)'!AN44</f>
        <v>42683</v>
      </c>
      <c r="X126" s="5" t="s">
        <v>586</v>
      </c>
      <c r="Y126" s="5" t="s">
        <v>404</v>
      </c>
      <c r="Z126" s="5" t="s">
        <v>405</v>
      </c>
      <c r="AA126" s="40" t="s">
        <v>40</v>
      </c>
      <c r="AB126" s="5" t="s">
        <v>40</v>
      </c>
    </row>
    <row r="127" spans="1:28" ht="94.5">
      <c r="A127" s="5">
        <v>2016</v>
      </c>
      <c r="B127" s="5" t="s">
        <v>30</v>
      </c>
      <c r="C127" s="79" t="str">
        <f>'[1]V, inciso p) (OP)'!D45</f>
        <v>DOPI-MUN-AMP-PAV-LP-066-2016</v>
      </c>
      <c r="D127" s="12">
        <f>'[1]V, inciso p) (OP)'!AD45</f>
        <v>42592</v>
      </c>
      <c r="E127" s="7"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127" s="7" t="s">
        <v>67</v>
      </c>
      <c r="G127" s="8">
        <f>'[1]V, inciso p) (OP)'!AG45</f>
        <v>9475895.3699999992</v>
      </c>
      <c r="H127" s="7" t="str">
        <f>'[1]V, inciso p) (OP)'!AS45</f>
        <v>Colonia Base Aerea Militar</v>
      </c>
      <c r="I127" s="5" t="str">
        <f>'[1]V, inciso p) (OP)'!T45</f>
        <v>Sergio Cesar</v>
      </c>
      <c r="J127" s="5" t="str">
        <f>'[1]V, inciso p) (OP)'!U45</f>
        <v>Diaz</v>
      </c>
      <c r="K127" s="5" t="str">
        <f>'[1]V, inciso p) (OP)'!V45</f>
        <v>Quiroz</v>
      </c>
      <c r="L127" s="7" t="str">
        <f>'[1]V, inciso p) (OP)'!W45</f>
        <v>Grupo Unicreto S.A. de C.V.</v>
      </c>
      <c r="M127" s="5" t="str">
        <f>'[1]V, inciso p) (OP)'!X45</f>
        <v>GUN880613NY1</v>
      </c>
      <c r="N127" s="8">
        <f t="shared" si="1"/>
        <v>9475895.3699999992</v>
      </c>
      <c r="O127" s="77" t="s">
        <v>40</v>
      </c>
      <c r="P127" s="5" t="s">
        <v>588</v>
      </c>
      <c r="Q127" s="8">
        <f>N127/6073</f>
        <v>1560.3318574016137</v>
      </c>
      <c r="R127" s="5" t="s">
        <v>42</v>
      </c>
      <c r="S127" s="11">
        <v>3428</v>
      </c>
      <c r="T127" s="7" t="s">
        <v>43</v>
      </c>
      <c r="U127" s="5" t="s">
        <v>44</v>
      </c>
      <c r="V127" s="6">
        <f>'[1]V, inciso p) (OP)'!AM45</f>
        <v>42592</v>
      </c>
      <c r="W127" s="6">
        <f>'[1]V, inciso p) (OP)'!AN45</f>
        <v>42713</v>
      </c>
      <c r="X127" s="5" t="s">
        <v>570</v>
      </c>
      <c r="Y127" s="5" t="s">
        <v>383</v>
      </c>
      <c r="Z127" s="5" t="s">
        <v>300</v>
      </c>
      <c r="AA127" s="40" t="s">
        <v>40</v>
      </c>
      <c r="AB127" s="5" t="s">
        <v>40</v>
      </c>
    </row>
    <row r="128" spans="1:28" ht="67.5">
      <c r="A128" s="5">
        <v>2016</v>
      </c>
      <c r="B128" s="5" t="s">
        <v>64</v>
      </c>
      <c r="C128" s="79" t="str">
        <f>'[1]V, inciso o) (OP)'!C42</f>
        <v>DOPI-MUN-RM-EM-AD-068-2016</v>
      </c>
      <c r="D128" s="12">
        <f>'[1]V, inciso o) (OP)'!V42</f>
        <v>42545</v>
      </c>
      <c r="E128" s="7" t="str">
        <f>'[1]V, inciso o) (OP)'!AA42</f>
        <v>Construcción de solución pluvial y de reforzamiento en terreno afectado por deslaves en paredes de terreno natural en terreno anexo a Residencial Poniente, Municipio de Zapopan, Jalisco.</v>
      </c>
      <c r="F128" s="7" t="s">
        <v>184</v>
      </c>
      <c r="G128" s="8">
        <f>'[1]V, inciso o) (OP)'!Y42</f>
        <v>4496387.16</v>
      </c>
      <c r="H128" s="7" t="s">
        <v>589</v>
      </c>
      <c r="I128" s="5" t="str">
        <f>'[1]V, inciso o) (OP)'!M42</f>
        <v>Alfredo</v>
      </c>
      <c r="J128" s="5" t="str">
        <f>'[1]V, inciso o) (OP)'!N42</f>
        <v>Aguirre</v>
      </c>
      <c r="K128" s="5" t="str">
        <f>'[1]V, inciso o) (OP)'!O42</f>
        <v>Montoya</v>
      </c>
      <c r="L128" s="7" t="str">
        <f>'[1]V, inciso o) (OP)'!P42</f>
        <v>Torres Aguirre Ingenieros, S.A. de C.V.</v>
      </c>
      <c r="M128" s="5" t="str">
        <f>'[1]V, inciso o) (OP)'!Q42</f>
        <v>TAI920312952</v>
      </c>
      <c r="N128" s="8">
        <f t="shared" si="1"/>
        <v>4496387.16</v>
      </c>
      <c r="O128" s="77" t="s">
        <v>40</v>
      </c>
      <c r="P128" s="5" t="s">
        <v>590</v>
      </c>
      <c r="Q128" s="8">
        <f>N128/855</f>
        <v>5258.9323508771931</v>
      </c>
      <c r="R128" s="5" t="s">
        <v>42</v>
      </c>
      <c r="S128" s="11">
        <v>342</v>
      </c>
      <c r="T128" s="7" t="s">
        <v>43</v>
      </c>
      <c r="U128" s="5" t="s">
        <v>44</v>
      </c>
      <c r="V128" s="6">
        <f>'[1]V, inciso o) (OP)'!AD42</f>
        <v>42548</v>
      </c>
      <c r="W128" s="6">
        <f>'[1]V, inciso o) (OP)'!AE42</f>
        <v>42637</v>
      </c>
      <c r="X128" s="5" t="s">
        <v>591</v>
      </c>
      <c r="Y128" s="5" t="s">
        <v>46</v>
      </c>
      <c r="Z128" s="5" t="s">
        <v>47</v>
      </c>
      <c r="AA128" s="40" t="s">
        <v>40</v>
      </c>
      <c r="AB128" s="5" t="s">
        <v>40</v>
      </c>
    </row>
    <row r="129" spans="1:28" ht="94.5">
      <c r="A129" s="5">
        <v>2016</v>
      </c>
      <c r="B129" s="5" t="s">
        <v>64</v>
      </c>
      <c r="C129" s="79" t="str">
        <f>'[1]V, inciso o) (OP)'!C43</f>
        <v>DOPI-MUN-RM-EM-AD-069-2016</v>
      </c>
      <c r="D129" s="12">
        <f>'[1]V, inciso o) (OP)'!V43</f>
        <v>42542</v>
      </c>
      <c r="E129" s="7"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129" s="7" t="s">
        <v>67</v>
      </c>
      <c r="G129" s="8">
        <f>'[1]V, inciso o) (OP)'!Y43</f>
        <v>2358235.4400000004</v>
      </c>
      <c r="H129" s="7" t="s">
        <v>592</v>
      </c>
      <c r="I129" s="5" t="str">
        <f>'[1]V, inciso o) (OP)'!M43</f>
        <v>José Antonio</v>
      </c>
      <c r="J129" s="5" t="str">
        <f>'[1]V, inciso o) (OP)'!N43</f>
        <v>Cuevas</v>
      </c>
      <c r="K129" s="5" t="str">
        <f>'[1]V, inciso o) (OP)'!O43</f>
        <v>Briseño</v>
      </c>
      <c r="L129" s="7" t="str">
        <f>'[1]V, inciso o) (OP)'!P43</f>
        <v>José Antonio Cuevas Briseño</v>
      </c>
      <c r="M129" s="5" t="str">
        <f>'[1]V, inciso o) (OP)'!Q43</f>
        <v>CUBA5705179V8</v>
      </c>
      <c r="N129" s="8">
        <f t="shared" si="1"/>
        <v>2358235.4400000004</v>
      </c>
      <c r="O129" s="77" t="s">
        <v>40</v>
      </c>
      <c r="P129" s="5" t="s">
        <v>593</v>
      </c>
      <c r="Q129" s="8">
        <f>N129/462</f>
        <v>5104.4057142857155</v>
      </c>
      <c r="R129" s="5" t="s">
        <v>42</v>
      </c>
      <c r="S129" s="11">
        <v>14</v>
      </c>
      <c r="T129" s="7" t="s">
        <v>43</v>
      </c>
      <c r="U129" s="5" t="s">
        <v>44</v>
      </c>
      <c r="V129" s="6">
        <f>'[1]V, inciso o) (OP)'!AD43</f>
        <v>42543</v>
      </c>
      <c r="W129" s="6">
        <f>'[1]V, inciso o) (OP)'!AE43</f>
        <v>42632</v>
      </c>
      <c r="X129" s="5" t="s">
        <v>594</v>
      </c>
      <c r="Y129" s="5" t="s">
        <v>595</v>
      </c>
      <c r="Z129" s="5" t="s">
        <v>596</v>
      </c>
      <c r="AA129" s="40" t="s">
        <v>40</v>
      </c>
      <c r="AB129" s="5" t="s">
        <v>40</v>
      </c>
    </row>
    <row r="130" spans="1:28" ht="81">
      <c r="A130" s="5">
        <v>2016</v>
      </c>
      <c r="B130" s="5" t="s">
        <v>64</v>
      </c>
      <c r="C130" s="79" t="str">
        <f>'[1]V, inciso o) (OP)'!C44</f>
        <v>DOPI-MUN-RM-CA-AD-070-2016</v>
      </c>
      <c r="D130" s="12">
        <f>'[1]V, inciso o) (OP)'!V44</f>
        <v>42542</v>
      </c>
      <c r="E130" s="7"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130" s="7" t="s">
        <v>184</v>
      </c>
      <c r="G130" s="8">
        <f>'[1]V, inciso o) (OP)'!Y44</f>
        <v>1449650.2300000002</v>
      </c>
      <c r="H130" s="7" t="s">
        <v>597</v>
      </c>
      <c r="I130" s="5" t="str">
        <f>'[1]V, inciso o) (OP)'!M44</f>
        <v xml:space="preserve">Eduardo </v>
      </c>
      <c r="J130" s="5" t="str">
        <f>'[1]V, inciso o) (OP)'!N44</f>
        <v>Plascencia</v>
      </c>
      <c r="K130" s="5" t="str">
        <f>'[1]V, inciso o) (OP)'!O44</f>
        <v>Macias</v>
      </c>
      <c r="L130" s="7" t="str">
        <f>'[1]V, inciso o) (OP)'!P44</f>
        <v>Constructora y Edificadora Plasma, S.A. de C.V.</v>
      </c>
      <c r="M130" s="5" t="str">
        <f>'[1]V, inciso o) (OP)'!Q44</f>
        <v>CEP080129EK6</v>
      </c>
      <c r="N130" s="8">
        <f t="shared" si="1"/>
        <v>1449650.2300000002</v>
      </c>
      <c r="O130" s="78">
        <v>1049516.9099999999</v>
      </c>
      <c r="P130" s="5" t="s">
        <v>598</v>
      </c>
      <c r="Q130" s="8">
        <f>N130/1137</f>
        <v>1274.9782145998242</v>
      </c>
      <c r="R130" s="5" t="s">
        <v>42</v>
      </c>
      <c r="S130" s="11">
        <v>89669</v>
      </c>
      <c r="T130" s="7" t="s">
        <v>43</v>
      </c>
      <c r="U130" s="5" t="s">
        <v>44</v>
      </c>
      <c r="V130" s="6">
        <f>'[1]V, inciso o) (OP)'!AD44</f>
        <v>42543</v>
      </c>
      <c r="W130" s="6">
        <f>'[1]V, inciso o) (OP)'!AE44</f>
        <v>42632</v>
      </c>
      <c r="X130" s="5" t="s">
        <v>544</v>
      </c>
      <c r="Y130" s="5" t="s">
        <v>545</v>
      </c>
      <c r="Z130" s="5" t="s">
        <v>212</v>
      </c>
      <c r="AA130" s="40" t="s">
        <v>40</v>
      </c>
      <c r="AB130" s="5" t="s">
        <v>40</v>
      </c>
    </row>
    <row r="131" spans="1:28" ht="94.5">
      <c r="A131" s="5">
        <v>2016</v>
      </c>
      <c r="B131" s="5" t="s">
        <v>64</v>
      </c>
      <c r="C131" s="79" t="str">
        <f>'[1]V, inciso o) (OP)'!C45</f>
        <v>DOPI-MUN-RM-CA-AD-071-2016</v>
      </c>
      <c r="D131" s="12">
        <f>'[1]V, inciso o) (OP)'!V45</f>
        <v>42542</v>
      </c>
      <c r="E131" s="7"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131" s="7" t="s">
        <v>67</v>
      </c>
      <c r="G131" s="8">
        <f>'[1]V, inciso o) (OP)'!Y45</f>
        <v>1301258.44</v>
      </c>
      <c r="H131" s="7" t="s">
        <v>599</v>
      </c>
      <c r="I131" s="5" t="str">
        <f>'[1]V, inciso o) (OP)'!M45</f>
        <v>Ofelia</v>
      </c>
      <c r="J131" s="5" t="str">
        <f>'[1]V, inciso o) (OP)'!N45</f>
        <v>Reyes</v>
      </c>
      <c r="K131" s="5" t="str">
        <f>'[1]V, inciso o) (OP)'!O45</f>
        <v>Estrella</v>
      </c>
      <c r="L131" s="7" t="str">
        <f>'[1]V, inciso o) (OP)'!P45</f>
        <v>Wences Construcciones, S.A. de C.V.</v>
      </c>
      <c r="M131" s="5" t="str">
        <f>'[1]V, inciso o) (OP)'!Q45</f>
        <v>WCO130628TM3</v>
      </c>
      <c r="N131" s="8">
        <f t="shared" si="1"/>
        <v>1301258.44</v>
      </c>
      <c r="O131" s="78">
        <v>1301248.2200000002</v>
      </c>
      <c r="P131" s="5" t="s">
        <v>600</v>
      </c>
      <c r="Q131" s="8">
        <f>N131/112</f>
        <v>11618.378928571428</v>
      </c>
      <c r="R131" s="5" t="s">
        <v>42</v>
      </c>
      <c r="S131" s="11">
        <v>36304</v>
      </c>
      <c r="T131" s="7" t="s">
        <v>43</v>
      </c>
      <c r="U131" s="5" t="s">
        <v>44</v>
      </c>
      <c r="V131" s="6">
        <f>'[1]V, inciso o) (OP)'!AD45</f>
        <v>42543</v>
      </c>
      <c r="W131" s="6">
        <f>'[1]V, inciso o) (OP)'!AE45</f>
        <v>42602</v>
      </c>
      <c r="X131" s="5" t="s">
        <v>572</v>
      </c>
      <c r="Y131" s="5" t="s">
        <v>573</v>
      </c>
      <c r="Z131" s="5" t="s">
        <v>574</v>
      </c>
      <c r="AA131" s="40" t="s">
        <v>40</v>
      </c>
      <c r="AB131" s="5" t="s">
        <v>40</v>
      </c>
    </row>
    <row r="132" spans="1:28" ht="94.5">
      <c r="A132" s="5">
        <v>2016</v>
      </c>
      <c r="B132" s="5" t="s">
        <v>64</v>
      </c>
      <c r="C132" s="79" t="str">
        <f>'[1]V, inciso o) (OP)'!C46</f>
        <v>DOPI-MUN-RM-PAV-AD-072-2016</v>
      </c>
      <c r="D132" s="12">
        <f>'[1]V, inciso o) (OP)'!V46</f>
        <v>42542</v>
      </c>
      <c r="E132" s="7"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132" s="7" t="s">
        <v>184</v>
      </c>
      <c r="G132" s="8">
        <f>'[1]V, inciso o) (OP)'!Y46</f>
        <v>1503202.18</v>
      </c>
      <c r="H132" s="7" t="s">
        <v>601</v>
      </c>
      <c r="I132" s="5" t="str">
        <f>'[1]V, inciso o) (OP)'!M46</f>
        <v>Elba</v>
      </c>
      <c r="J132" s="5" t="str">
        <f>'[1]V, inciso o) (OP)'!N46</f>
        <v xml:space="preserve">González </v>
      </c>
      <c r="K132" s="5" t="str">
        <f>'[1]V, inciso o) (OP)'!O46</f>
        <v>Aguirre</v>
      </c>
      <c r="L132" s="7" t="str">
        <f>'[1]V, inciso o) (OP)'!P46</f>
        <v>GA Urbanización, S.A. de C.V.</v>
      </c>
      <c r="M132" s="5" t="str">
        <f>'[1]V, inciso o) (OP)'!Q46</f>
        <v>GUR120612P22</v>
      </c>
      <c r="N132" s="8">
        <f t="shared" si="1"/>
        <v>1503202.18</v>
      </c>
      <c r="O132" s="78">
        <v>704023.13</v>
      </c>
      <c r="P132" s="5" t="s">
        <v>602</v>
      </c>
      <c r="Q132" s="8">
        <f>N132/680</f>
        <v>2210.5914411764707</v>
      </c>
      <c r="R132" s="5" t="s">
        <v>42</v>
      </c>
      <c r="S132" s="11">
        <v>918</v>
      </c>
      <c r="T132" s="7" t="s">
        <v>43</v>
      </c>
      <c r="U132" s="5" t="s">
        <v>44</v>
      </c>
      <c r="V132" s="6">
        <f>'[1]V, inciso o) (OP)'!AD46</f>
        <v>42543</v>
      </c>
      <c r="W132" s="6">
        <f>'[1]V, inciso o) (OP)'!AE46</f>
        <v>42632</v>
      </c>
      <c r="X132" s="5" t="s">
        <v>556</v>
      </c>
      <c r="Y132" s="5" t="s">
        <v>557</v>
      </c>
      <c r="Z132" s="5" t="s">
        <v>558</v>
      </c>
      <c r="AA132" s="40" t="s">
        <v>40</v>
      </c>
      <c r="AB132" s="5" t="s">
        <v>40</v>
      </c>
    </row>
    <row r="133" spans="1:28" ht="67.5">
      <c r="A133" s="5">
        <v>2016</v>
      </c>
      <c r="B133" s="5" t="s">
        <v>64</v>
      </c>
      <c r="C133" s="79" t="str">
        <f>'[1]V, inciso o) (OP)'!C47</f>
        <v>DOPI-MUN-RM-IM-AD-073-2016</v>
      </c>
      <c r="D133" s="12">
        <f>'[1]V, inciso o) (OP)'!V47</f>
        <v>42545</v>
      </c>
      <c r="E133" s="7" t="str">
        <f>'[1]V, inciso o) (OP)'!AA47</f>
        <v>Construcción y rehabilitación de bardas perimetrales en el Centro Comunitario No. 15 del DIF ubicado en San Juan de Ocotán y en la guardería CAIC del DIF ubicado en Miramar, Municipio de Zapopan, Jalisco.</v>
      </c>
      <c r="F133" s="7" t="s">
        <v>184</v>
      </c>
      <c r="G133" s="8">
        <f>'[1]V, inciso o) (OP)'!Y47</f>
        <v>1398736.1200000003</v>
      </c>
      <c r="H133" s="7" t="s">
        <v>603</v>
      </c>
      <c r="I133" s="5" t="str">
        <f>'[1]V, inciso o) (OP)'!M47</f>
        <v>Hugo Armando</v>
      </c>
      <c r="J133" s="5" t="str">
        <f>'[1]V, inciso o) (OP)'!N47</f>
        <v>Prieto</v>
      </c>
      <c r="K133" s="5" t="str">
        <f>'[1]V, inciso o) (OP)'!O47</f>
        <v>Jiménez</v>
      </c>
      <c r="L133" s="7" t="str">
        <f>'[1]V, inciso o) (OP)'!P47</f>
        <v>Constructora Rural del Pais, S.A. de C.V.</v>
      </c>
      <c r="M133" s="5" t="str">
        <f>'[1]V, inciso o) (OP)'!Q47</f>
        <v>CRP870708I62</v>
      </c>
      <c r="N133" s="8">
        <f t="shared" si="1"/>
        <v>1398736.1200000003</v>
      </c>
      <c r="O133" s="77" t="s">
        <v>40</v>
      </c>
      <c r="P133" s="5" t="s">
        <v>604</v>
      </c>
      <c r="Q133" s="8">
        <f>N133/312</f>
        <v>4483.128589743591</v>
      </c>
      <c r="R133" s="5" t="s">
        <v>42</v>
      </c>
      <c r="S133" s="11">
        <v>19228</v>
      </c>
      <c r="T133" s="7" t="s">
        <v>43</v>
      </c>
      <c r="U133" s="5" t="s">
        <v>44</v>
      </c>
      <c r="V133" s="6">
        <f>'[1]V, inciso o) (OP)'!AD47</f>
        <v>42548</v>
      </c>
      <c r="W133" s="6">
        <f>'[1]V, inciso o) (OP)'!AE47</f>
        <v>42607</v>
      </c>
      <c r="X133" s="5" t="s">
        <v>605</v>
      </c>
      <c r="Y133" s="5" t="s">
        <v>442</v>
      </c>
      <c r="Z133" s="5" t="s">
        <v>101</v>
      </c>
      <c r="AA133" s="40" t="s">
        <v>40</v>
      </c>
      <c r="AB133" s="5" t="s">
        <v>40</v>
      </c>
    </row>
    <row r="134" spans="1:28" ht="81">
      <c r="A134" s="5">
        <v>2016</v>
      </c>
      <c r="B134" s="5" t="s">
        <v>64</v>
      </c>
      <c r="C134" s="77" t="s">
        <v>606</v>
      </c>
      <c r="D134" s="12">
        <v>42521</v>
      </c>
      <c r="E134" s="7" t="s">
        <v>607</v>
      </c>
      <c r="F134" s="7" t="s">
        <v>184</v>
      </c>
      <c r="G134" s="8">
        <v>1472628.4</v>
      </c>
      <c r="H134" s="7" t="s">
        <v>608</v>
      </c>
      <c r="I134" s="5" t="s">
        <v>609</v>
      </c>
      <c r="J134" s="5" t="s">
        <v>610</v>
      </c>
      <c r="K134" s="5" t="s">
        <v>611</v>
      </c>
      <c r="L134" s="7" t="s">
        <v>612</v>
      </c>
      <c r="M134" s="5" t="s">
        <v>613</v>
      </c>
      <c r="N134" s="8">
        <v>1472628.4</v>
      </c>
      <c r="O134" s="78">
        <v>1381638.21</v>
      </c>
      <c r="P134" s="5" t="s">
        <v>614</v>
      </c>
      <c r="Q134" s="8">
        <f>N134/4700</f>
        <v>313.32519148936166</v>
      </c>
      <c r="R134" s="5" t="s">
        <v>222</v>
      </c>
      <c r="S134" s="11">
        <v>122345</v>
      </c>
      <c r="T134" s="7" t="s">
        <v>43</v>
      </c>
      <c r="U134" s="5" t="s">
        <v>44</v>
      </c>
      <c r="V134" s="6">
        <v>42522</v>
      </c>
      <c r="W134" s="6">
        <v>42566</v>
      </c>
      <c r="X134" s="5" t="s">
        <v>333</v>
      </c>
      <c r="Y134" s="5" t="s">
        <v>334</v>
      </c>
      <c r="Z134" s="5" t="s">
        <v>133</v>
      </c>
      <c r="AA134" s="40" t="s">
        <v>40</v>
      </c>
      <c r="AB134" s="5" t="s">
        <v>40</v>
      </c>
    </row>
    <row r="135" spans="1:28" ht="40.5">
      <c r="A135" s="5">
        <v>2016</v>
      </c>
      <c r="B135" s="5" t="s">
        <v>64</v>
      </c>
      <c r="C135" s="77" t="s">
        <v>615</v>
      </c>
      <c r="D135" s="12">
        <v>42521</v>
      </c>
      <c r="E135" s="7" t="s">
        <v>616</v>
      </c>
      <c r="F135" s="7" t="s">
        <v>184</v>
      </c>
      <c r="G135" s="8">
        <v>1386929.62</v>
      </c>
      <c r="H135" s="7" t="s">
        <v>617</v>
      </c>
      <c r="I135" s="5" t="s">
        <v>618</v>
      </c>
      <c r="J135" s="5" t="s">
        <v>619</v>
      </c>
      <c r="K135" s="5" t="s">
        <v>377</v>
      </c>
      <c r="L135" s="7" t="s">
        <v>620</v>
      </c>
      <c r="M135" s="5" t="s">
        <v>621</v>
      </c>
      <c r="N135" s="8">
        <v>1386929.62</v>
      </c>
      <c r="O135" s="78">
        <v>1386928.81</v>
      </c>
      <c r="P135" s="5" t="s">
        <v>622</v>
      </c>
      <c r="Q135" s="8">
        <f>N135/30700</f>
        <v>45.176860586319222</v>
      </c>
      <c r="R135" s="5" t="s">
        <v>222</v>
      </c>
      <c r="S135" s="11">
        <v>164322</v>
      </c>
      <c r="T135" s="7" t="s">
        <v>43</v>
      </c>
      <c r="U135" s="5" t="s">
        <v>44</v>
      </c>
      <c r="V135" s="6">
        <v>42522</v>
      </c>
      <c r="W135" s="6">
        <v>42566</v>
      </c>
      <c r="X135" s="5" t="s">
        <v>342</v>
      </c>
      <c r="Y135" s="5" t="s">
        <v>343</v>
      </c>
      <c r="Z135" s="5" t="s">
        <v>344</v>
      </c>
      <c r="AA135" s="40" t="s">
        <v>40</v>
      </c>
      <c r="AB135" s="5" t="s">
        <v>40</v>
      </c>
    </row>
    <row r="136" spans="1:28" ht="189">
      <c r="A136" s="5">
        <v>2016</v>
      </c>
      <c r="B136" s="5" t="s">
        <v>64</v>
      </c>
      <c r="C136" s="77" t="s">
        <v>623</v>
      </c>
      <c r="D136" s="12">
        <v>42523</v>
      </c>
      <c r="E136" s="7" t="s">
        <v>624</v>
      </c>
      <c r="F136" s="7" t="s">
        <v>184</v>
      </c>
      <c r="G136" s="8">
        <v>1414800.15</v>
      </c>
      <c r="H136" s="7" t="s">
        <v>617</v>
      </c>
      <c r="I136" s="5" t="s">
        <v>625</v>
      </c>
      <c r="J136" s="5" t="s">
        <v>139</v>
      </c>
      <c r="K136" s="5" t="s">
        <v>626</v>
      </c>
      <c r="L136" s="7" t="s">
        <v>627</v>
      </c>
      <c r="M136" s="5" t="s">
        <v>628</v>
      </c>
      <c r="N136" s="8">
        <v>1414800.15</v>
      </c>
      <c r="O136" s="78">
        <v>1390957.67</v>
      </c>
      <c r="P136" s="5" t="s">
        <v>629</v>
      </c>
      <c r="Q136" s="8">
        <f>N136/2495</f>
        <v>567.05416833667334</v>
      </c>
      <c r="R136" s="5" t="s">
        <v>222</v>
      </c>
      <c r="S136" s="11">
        <v>264114</v>
      </c>
      <c r="T136" s="7" t="s">
        <v>43</v>
      </c>
      <c r="U136" s="5" t="s">
        <v>44</v>
      </c>
      <c r="V136" s="6">
        <v>42524</v>
      </c>
      <c r="W136" s="6">
        <v>42573</v>
      </c>
      <c r="X136" s="5" t="str">
        <f>X134</f>
        <v xml:space="preserve">Carlos Gerardo </v>
      </c>
      <c r="Y136" s="5" t="str">
        <f>Y134</f>
        <v xml:space="preserve">Peña </v>
      </c>
      <c r="Z136" s="5" t="str">
        <f>Z134</f>
        <v>Ortega</v>
      </c>
      <c r="AA136" s="40" t="s">
        <v>40</v>
      </c>
      <c r="AB136" s="5" t="s">
        <v>40</v>
      </c>
    </row>
    <row r="137" spans="1:28" ht="148.5">
      <c r="A137" s="5">
        <v>2016</v>
      </c>
      <c r="B137" s="5" t="s">
        <v>64</v>
      </c>
      <c r="C137" s="77" t="s">
        <v>630</v>
      </c>
      <c r="D137" s="12">
        <v>42530</v>
      </c>
      <c r="E137" s="7" t="s">
        <v>631</v>
      </c>
      <c r="F137" s="7" t="s">
        <v>184</v>
      </c>
      <c r="G137" s="8">
        <v>1495650.36</v>
      </c>
      <c r="H137" s="7" t="s">
        <v>617</v>
      </c>
      <c r="I137" s="5" t="s">
        <v>632</v>
      </c>
      <c r="J137" s="5" t="s">
        <v>633</v>
      </c>
      <c r="K137" s="7" t="s">
        <v>634</v>
      </c>
      <c r="L137" s="7" t="s">
        <v>635</v>
      </c>
      <c r="M137" s="5" t="s">
        <v>636</v>
      </c>
      <c r="N137" s="8">
        <v>1495650.36</v>
      </c>
      <c r="O137" s="77" t="s">
        <v>40</v>
      </c>
      <c r="P137" s="5" t="s">
        <v>231</v>
      </c>
      <c r="Q137" s="5" t="s">
        <v>231</v>
      </c>
      <c r="R137" s="5" t="s">
        <v>232</v>
      </c>
      <c r="S137" s="11" t="s">
        <v>232</v>
      </c>
      <c r="T137" s="7" t="s">
        <v>43</v>
      </c>
      <c r="U137" s="5" t="s">
        <v>44</v>
      </c>
      <c r="V137" s="6">
        <v>42531</v>
      </c>
      <c r="W137" s="6">
        <v>42643</v>
      </c>
      <c r="X137" s="5" t="s">
        <v>523</v>
      </c>
      <c r="Y137" s="5" t="s">
        <v>524</v>
      </c>
      <c r="Z137" s="5" t="s">
        <v>462</v>
      </c>
      <c r="AA137" s="40" t="s">
        <v>40</v>
      </c>
      <c r="AB137" s="5" t="s">
        <v>40</v>
      </c>
    </row>
    <row r="138" spans="1:28" ht="81">
      <c r="A138" s="5">
        <v>2016</v>
      </c>
      <c r="B138" s="5" t="s">
        <v>64</v>
      </c>
      <c r="C138" s="79" t="str">
        <f>'[1]V, inciso o) (OP)'!C52</f>
        <v>DOPI-MUN-RM-IM-AD-078-2016</v>
      </c>
      <c r="D138" s="12">
        <f>'[1]V, inciso o) (OP)'!V52</f>
        <v>42545</v>
      </c>
      <c r="E138" s="7" t="str">
        <f>'[1]V, inciso o) (OP)'!AA52</f>
        <v>Construcción de estacionamiento con pavimento asfáltico y sello tipo Slurry Seal, guarniciones, banquetas, adecuaciones a la instalación eléctrica y aire acondicionado en el archivo histórico de Zapopan, Municipio de Zapopan, Jalisco.</v>
      </c>
      <c r="F138" s="7" t="s">
        <v>184</v>
      </c>
      <c r="G138" s="8">
        <f>'[1]V, inciso o) (OP)'!Y52</f>
        <v>1598479.88</v>
      </c>
      <c r="H138" s="7" t="s">
        <v>637</v>
      </c>
      <c r="I138" s="5" t="str">
        <f>'[1]V, inciso o) (OP)'!M52</f>
        <v>J. Gerardo</v>
      </c>
      <c r="J138" s="5" t="str">
        <f>'[1]V, inciso o) (OP)'!N52</f>
        <v>Nicanor</v>
      </c>
      <c r="K138" s="5" t="str">
        <f>'[1]V, inciso o) (OP)'!O52</f>
        <v>Mejia Mariscal</v>
      </c>
      <c r="L138" s="7" t="str">
        <f>'[1]V, inciso o) (OP)'!P52</f>
        <v>Ineco Construye, S.A. de C.V.</v>
      </c>
      <c r="M138" s="5" t="str">
        <f>'[1]V, inciso o) (OP)'!Q52</f>
        <v>ICO980722M04</v>
      </c>
      <c r="N138" s="8">
        <f t="shared" ref="N138:N194" si="2">G138</f>
        <v>1598479.88</v>
      </c>
      <c r="O138" s="77" t="s">
        <v>40</v>
      </c>
      <c r="P138" s="5" t="s">
        <v>638</v>
      </c>
      <c r="Q138" s="8">
        <f>N138/812</f>
        <v>1968.5712807881771</v>
      </c>
      <c r="R138" s="5" t="s">
        <v>42</v>
      </c>
      <c r="S138" s="11">
        <v>134</v>
      </c>
      <c r="T138" s="7" t="s">
        <v>43</v>
      </c>
      <c r="U138" s="5" t="s">
        <v>44</v>
      </c>
      <c r="V138" s="6">
        <f>'[1]V, inciso o) (OP)'!AD52</f>
        <v>42548</v>
      </c>
      <c r="W138" s="6">
        <f>'[1]V, inciso o) (OP)'!AE52</f>
        <v>42607</v>
      </c>
      <c r="X138" s="5" t="s">
        <v>594</v>
      </c>
      <c r="Y138" s="5" t="s">
        <v>595</v>
      </c>
      <c r="Z138" s="5" t="s">
        <v>596</v>
      </c>
      <c r="AA138" s="40" t="s">
        <v>40</v>
      </c>
      <c r="AB138" s="5" t="s">
        <v>40</v>
      </c>
    </row>
    <row r="139" spans="1:28" ht="40.5">
      <c r="A139" s="5">
        <v>2016</v>
      </c>
      <c r="B139" s="5" t="s">
        <v>64</v>
      </c>
      <c r="C139" s="79" t="str">
        <f>'[1]V, inciso o) (OP)'!C53</f>
        <v>DOPI-MUN-RM-PROY-AD-079-2016</v>
      </c>
      <c r="D139" s="12">
        <f>'[1]V, inciso o) (OP)'!V53</f>
        <v>42545</v>
      </c>
      <c r="E139" s="7" t="str">
        <f>'[1]V, inciso o) (OP)'!AA53</f>
        <v>Proyecto ejecutivo para la construcción de la celda 5 en el relleno sanitario Picachos, Municipio de Zapopan, Jalisco.</v>
      </c>
      <c r="F139" s="7" t="s">
        <v>184</v>
      </c>
      <c r="G139" s="8">
        <f>'[1]V, inciso o) (OP)'!Y53</f>
        <v>1115518.2</v>
      </c>
      <c r="H139" s="7" t="s">
        <v>231</v>
      </c>
      <c r="I139" s="5" t="str">
        <f>'[1]V, inciso o) (OP)'!M53</f>
        <v>Juan Ramón</v>
      </c>
      <c r="J139" s="5" t="str">
        <f>'[1]V, inciso o) (OP)'!N53</f>
        <v>Ramírez</v>
      </c>
      <c r="K139" s="5" t="str">
        <f>'[1]V, inciso o) (OP)'!O53</f>
        <v>Alatorre</v>
      </c>
      <c r="L139" s="7" t="str">
        <f>'[1]V, inciso o) (OP)'!P53</f>
        <v>Quercus Geosoluciones, S.A. de C.V.</v>
      </c>
      <c r="M139" s="5" t="str">
        <f>'[1]V, inciso o) (OP)'!Q53</f>
        <v>QGE080213988</v>
      </c>
      <c r="N139" s="8">
        <f t="shared" si="2"/>
        <v>1115518.2</v>
      </c>
      <c r="O139" s="77" t="s">
        <v>40</v>
      </c>
      <c r="P139" s="5" t="s">
        <v>231</v>
      </c>
      <c r="Q139" s="5" t="s">
        <v>231</v>
      </c>
      <c r="R139" s="5" t="s">
        <v>42</v>
      </c>
      <c r="S139" s="11" t="s">
        <v>231</v>
      </c>
      <c r="T139" s="7" t="s">
        <v>43</v>
      </c>
      <c r="U139" s="5" t="s">
        <v>44</v>
      </c>
      <c r="V139" s="6">
        <f>'[1]V, inciso o) (OP)'!AD53</f>
        <v>42548</v>
      </c>
      <c r="W139" s="6">
        <f>'[1]V, inciso o) (OP)'!AE53</f>
        <v>42592</v>
      </c>
      <c r="X139" s="5" t="s">
        <v>639</v>
      </c>
      <c r="Y139" s="5" t="s">
        <v>524</v>
      </c>
      <c r="Z139" s="5" t="s">
        <v>462</v>
      </c>
      <c r="AA139" s="40" t="s">
        <v>40</v>
      </c>
      <c r="AB139" s="5" t="s">
        <v>40</v>
      </c>
    </row>
    <row r="140" spans="1:28" ht="40.5">
      <c r="A140" s="5">
        <v>2016</v>
      </c>
      <c r="B140" s="5" t="s">
        <v>64</v>
      </c>
      <c r="C140" s="79" t="str">
        <f>'[1]V, inciso o) (OP)'!C54</f>
        <v>DOPI-MUN-RM-MOV-AD-080-2016</v>
      </c>
      <c r="D140" s="12">
        <f>'[1]V, inciso o) (OP)'!V54</f>
        <v>42552</v>
      </c>
      <c r="E140" s="7" t="str">
        <f>'[1]V, inciso o) (OP)'!AA54</f>
        <v>Señalización vertical y horizontal en diferentes obras del municipio de Zapopan, Jalisco, frente 1.</v>
      </c>
      <c r="F140" s="7" t="s">
        <v>184</v>
      </c>
      <c r="G140" s="8">
        <f>'[1]V, inciso o) (OP)'!Y54</f>
        <v>1250236.98</v>
      </c>
      <c r="H140" s="7" t="s">
        <v>225</v>
      </c>
      <c r="I140" s="5" t="str">
        <f>'[1]V, inciso o) (OP)'!M54</f>
        <v>Jorge Alberto</v>
      </c>
      <c r="J140" s="5" t="str">
        <f>'[1]V, inciso o) (OP)'!N54</f>
        <v>Mena</v>
      </c>
      <c r="K140" s="5" t="str">
        <f>'[1]V, inciso o) (OP)'!O54</f>
        <v>Adames</v>
      </c>
      <c r="L140" s="7" t="str">
        <f>'[1]V, inciso o) (OP)'!P54</f>
        <v>Divicon, S.A. de C.V.</v>
      </c>
      <c r="M140" s="5" t="str">
        <f>'[1]V, inciso o) (OP)'!Q54</f>
        <v>DIV010905510</v>
      </c>
      <c r="N140" s="8">
        <f t="shared" si="2"/>
        <v>1250236.98</v>
      </c>
      <c r="O140" s="77" t="s">
        <v>40</v>
      </c>
      <c r="P140" s="5" t="s">
        <v>231</v>
      </c>
      <c r="Q140" s="8" t="s">
        <v>231</v>
      </c>
      <c r="R140" s="5" t="s">
        <v>42</v>
      </c>
      <c r="S140" s="11">
        <v>333068</v>
      </c>
      <c r="T140" s="7" t="s">
        <v>43</v>
      </c>
      <c r="U140" s="5" t="s">
        <v>44</v>
      </c>
      <c r="V140" s="6">
        <f>'[1]V, inciso o) (OP)'!AD54</f>
        <v>42555</v>
      </c>
      <c r="W140" s="6">
        <f>'[1]V, inciso o) (OP)'!AE54</f>
        <v>42724</v>
      </c>
      <c r="X140" s="5" t="s">
        <v>640</v>
      </c>
      <c r="Y140" s="5" t="s">
        <v>641</v>
      </c>
      <c r="Z140" s="5" t="s">
        <v>167</v>
      </c>
      <c r="AA140" s="40" t="s">
        <v>40</v>
      </c>
      <c r="AB140" s="5" t="s">
        <v>40</v>
      </c>
    </row>
    <row r="141" spans="1:28" ht="94.5">
      <c r="A141" s="5">
        <v>2016</v>
      </c>
      <c r="B141" s="5" t="s">
        <v>64</v>
      </c>
      <c r="C141" s="79" t="str">
        <f>'[1]V, inciso o) (OP)'!C55</f>
        <v>DOPI-MUN-RM-PAV-AD-081-2016</v>
      </c>
      <c r="D141" s="12">
        <f>'[1]V, inciso o) (OP)'!V55</f>
        <v>42552</v>
      </c>
      <c r="E141" s="7"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141" s="7" t="s">
        <v>184</v>
      </c>
      <c r="G141" s="8">
        <f>'[1]V, inciso o) (OP)'!Y55</f>
        <v>1475028.6100000003</v>
      </c>
      <c r="H141" s="7" t="s">
        <v>642</v>
      </c>
      <c r="I141" s="5" t="str">
        <f>'[1]V, inciso o) (OP)'!M55</f>
        <v>Miguel</v>
      </c>
      <c r="J141" s="5" t="str">
        <f>'[1]V, inciso o) (OP)'!N55</f>
        <v>Rodríguez</v>
      </c>
      <c r="K141" s="5" t="str">
        <f>'[1]V, inciso o) (OP)'!O55</f>
        <v>Rosas</v>
      </c>
      <c r="L141" s="7" t="str">
        <f>'[1]V, inciso o) (OP)'!P55</f>
        <v>Stella Construcciones, S.A. de C.V.</v>
      </c>
      <c r="M141" s="5" t="str">
        <f>'[1]V, inciso o) (OP)'!Q55</f>
        <v>SCO0102137E1</v>
      </c>
      <c r="N141" s="8">
        <f t="shared" si="2"/>
        <v>1475028.6100000003</v>
      </c>
      <c r="O141" s="77" t="s">
        <v>40</v>
      </c>
      <c r="P141" s="5" t="s">
        <v>643</v>
      </c>
      <c r="Q141" s="8">
        <f>N141/768</f>
        <v>1920.6101692708337</v>
      </c>
      <c r="R141" s="5" t="s">
        <v>42</v>
      </c>
      <c r="S141" s="11">
        <v>1929</v>
      </c>
      <c r="T141" s="7" t="s">
        <v>43</v>
      </c>
      <c r="U141" s="5" t="s">
        <v>44</v>
      </c>
      <c r="V141" s="6">
        <f>'[1]V, inciso o) (OP)'!AD55</f>
        <v>42555</v>
      </c>
      <c r="W141" s="6">
        <f>'[1]V, inciso o) (OP)'!AE55</f>
        <v>42613</v>
      </c>
      <c r="X141" s="5" t="s">
        <v>530</v>
      </c>
      <c r="Y141" s="5" t="s">
        <v>343</v>
      </c>
      <c r="Z141" s="5" t="s">
        <v>344</v>
      </c>
      <c r="AA141" s="40" t="s">
        <v>40</v>
      </c>
      <c r="AB141" s="5" t="s">
        <v>40</v>
      </c>
    </row>
    <row r="142" spans="1:28" ht="135">
      <c r="A142" s="5">
        <v>2016</v>
      </c>
      <c r="B142" s="5" t="s">
        <v>64</v>
      </c>
      <c r="C142" s="79" t="str">
        <f>'[1]V, inciso o) (OP)'!C56</f>
        <v>DOPI-MUN-RM-PAV-AD-082-2016</v>
      </c>
      <c r="D142" s="12">
        <f>'[1]V, inciso o) (OP)'!V56</f>
        <v>42555</v>
      </c>
      <c r="E142" s="7"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142" s="7" t="s">
        <v>184</v>
      </c>
      <c r="G142" s="8">
        <f>'[1]V, inciso o) (OP)'!Y56</f>
        <v>1497852.13</v>
      </c>
      <c r="H142" s="7" t="s">
        <v>644</v>
      </c>
      <c r="I142" s="5" t="str">
        <f>'[1]V, inciso o) (OP)'!M56</f>
        <v xml:space="preserve">José Luis </v>
      </c>
      <c r="J142" s="5" t="str">
        <f>'[1]V, inciso o) (OP)'!N56</f>
        <v xml:space="preserve">Castillo </v>
      </c>
      <c r="K142" s="5" t="str">
        <f>'[1]V, inciso o) (OP)'!O56</f>
        <v>Rodríguez</v>
      </c>
      <c r="L142" s="7" t="str">
        <f>'[1]V, inciso o) (OP)'!P56</f>
        <v>Felal Construcciones, S.A. de C.V.</v>
      </c>
      <c r="M142" s="5" t="str">
        <f>'[1]V, inciso o) (OP)'!Q56</f>
        <v>FCO9911092V5</v>
      </c>
      <c r="N142" s="8">
        <f t="shared" si="2"/>
        <v>1497852.13</v>
      </c>
      <c r="O142" s="77" t="s">
        <v>40</v>
      </c>
      <c r="P142" s="5" t="s">
        <v>645</v>
      </c>
      <c r="Q142" s="8">
        <f>N142/925</f>
        <v>1619.2995999999998</v>
      </c>
      <c r="R142" s="5" t="s">
        <v>42</v>
      </c>
      <c r="S142" s="11">
        <v>98751</v>
      </c>
      <c r="T142" s="7" t="s">
        <v>43</v>
      </c>
      <c r="U142" s="5" t="s">
        <v>44</v>
      </c>
      <c r="V142" s="6">
        <f>'[1]V, inciso o) (OP)'!AD56</f>
        <v>42556</v>
      </c>
      <c r="W142" s="6">
        <f>'[1]V, inciso o) (OP)'!AE56</f>
        <v>42585</v>
      </c>
      <c r="X142" s="5" t="s">
        <v>530</v>
      </c>
      <c r="Y142" s="5" t="s">
        <v>343</v>
      </c>
      <c r="Z142" s="5" t="s">
        <v>344</v>
      </c>
      <c r="AA142" s="40" t="s">
        <v>40</v>
      </c>
      <c r="AB142" s="5" t="s">
        <v>40</v>
      </c>
    </row>
    <row r="143" spans="1:28" ht="67.5">
      <c r="A143" s="5">
        <v>2016</v>
      </c>
      <c r="B143" s="5" t="s">
        <v>64</v>
      </c>
      <c r="C143" s="79" t="str">
        <f>'[1]V, inciso o) (OP)'!C57</f>
        <v>DOPI-MUN-RM-OC-AD-083-2016</v>
      </c>
      <c r="D143" s="12">
        <f>'[1]V, inciso o) (OP)'!V57</f>
        <v>42555</v>
      </c>
      <c r="E143" s="7" t="str">
        <f>'[1]V, inciso o) (OP)'!AA57</f>
        <v>Corrección de canal pluvial, construcción de mamposteos, zampeados, puente peatonal, accesos y aproches en el cruce del arroyo ubicado en la colonia Las Higueras, municipio de Zapopan, Jalisco.</v>
      </c>
      <c r="F143" s="7" t="s">
        <v>184</v>
      </c>
      <c r="G143" s="8">
        <f>'[1]V, inciso o) (OP)'!Y57</f>
        <v>1394254.6600000001</v>
      </c>
      <c r="H143" s="7" t="s">
        <v>646</v>
      </c>
      <c r="I143" s="5" t="str">
        <f>'[1]V, inciso o) (OP)'!M57</f>
        <v>José Gilberto</v>
      </c>
      <c r="J143" s="5" t="str">
        <f>'[1]V, inciso o) (OP)'!N57</f>
        <v>Luján</v>
      </c>
      <c r="K143" s="5" t="str">
        <f>'[1]V, inciso o) (OP)'!O57</f>
        <v>Barajas</v>
      </c>
      <c r="L143" s="7" t="str">
        <f>'[1]V, inciso o) (OP)'!P57</f>
        <v>Gilco Ingeniería, S.A. de C.V.</v>
      </c>
      <c r="M143" s="5" t="str">
        <f>'[1]V, inciso o) (OP)'!Q57</f>
        <v>GIN1202272F9</v>
      </c>
      <c r="N143" s="8">
        <f t="shared" si="2"/>
        <v>1394254.6600000001</v>
      </c>
      <c r="O143" s="77" t="s">
        <v>40</v>
      </c>
      <c r="P143" s="5" t="s">
        <v>647</v>
      </c>
      <c r="Q143" s="8">
        <f>N143/5324</f>
        <v>261.88104057099929</v>
      </c>
      <c r="R143" s="5" t="s">
        <v>42</v>
      </c>
      <c r="S143" s="11">
        <v>3061</v>
      </c>
      <c r="T143" s="7" t="s">
        <v>43</v>
      </c>
      <c r="U143" s="5" t="s">
        <v>44</v>
      </c>
      <c r="V143" s="6">
        <f>'[1]V, inciso o) (OP)'!AD57</f>
        <v>42556</v>
      </c>
      <c r="W143" s="6">
        <f>'[1]V, inciso o) (OP)'!AE57</f>
        <v>42615</v>
      </c>
      <c r="X143" s="5" t="s">
        <v>605</v>
      </c>
      <c r="Y143" s="5" t="s">
        <v>442</v>
      </c>
      <c r="Z143" s="5" t="s">
        <v>101</v>
      </c>
      <c r="AA143" s="40" t="s">
        <v>40</v>
      </c>
      <c r="AB143" s="5" t="s">
        <v>40</v>
      </c>
    </row>
    <row r="144" spans="1:28" ht="40.5">
      <c r="A144" s="5">
        <v>2016</v>
      </c>
      <c r="B144" s="5" t="s">
        <v>30</v>
      </c>
      <c r="C144" s="79" t="str">
        <f>'[1]V, inciso p) (OP)'!D46</f>
        <v>DOPI-FED-R23-PAV-LP-084-2016</v>
      </c>
      <c r="D144" s="12">
        <f>'[1]V, inciso p) (OP)'!AD46</f>
        <v>42656</v>
      </c>
      <c r="E144" s="7" t="str">
        <f>'[1]V, inciso p) (OP)'!I46</f>
        <v>Reencarpetamiento de la Av. Obreros de Cananea, municipio de Zapopan, Jalisco.</v>
      </c>
      <c r="F144" s="7" t="s">
        <v>648</v>
      </c>
      <c r="G144" s="8">
        <f>'[1]V, inciso p) (OP)'!AG46</f>
        <v>8740845.9000000004</v>
      </c>
      <c r="H144" s="7" t="str">
        <f>'[1]V, inciso p) (OP)'!AS46</f>
        <v>Colonia El Paraiso</v>
      </c>
      <c r="I144" s="5" t="str">
        <f>'[1]V, inciso p) (OP)'!T46</f>
        <v>Salvador</v>
      </c>
      <c r="J144" s="5" t="str">
        <f>'[1]V, inciso p) (OP)'!U46</f>
        <v>Meza</v>
      </c>
      <c r="K144" s="5" t="str">
        <f>'[1]V, inciso p) (OP)'!V46</f>
        <v>López</v>
      </c>
      <c r="L144" s="7" t="str">
        <f>'[1]V, inciso p) (OP)'!W46</f>
        <v>Constructores en Corporación, S.A. de C.V.</v>
      </c>
      <c r="M144" s="5" t="str">
        <f>'[1]V, inciso p) (OP)'!X46</f>
        <v>CCO780607JD6</v>
      </c>
      <c r="N144" s="8">
        <f t="shared" si="2"/>
        <v>8740845.9000000004</v>
      </c>
      <c r="O144" s="77" t="s">
        <v>40</v>
      </c>
      <c r="P144" s="9" t="s">
        <v>649</v>
      </c>
      <c r="Q144" s="10">
        <f>N144/28562</f>
        <v>306.03059659687699</v>
      </c>
      <c r="R144" s="9" t="s">
        <v>42</v>
      </c>
      <c r="S144" s="13">
        <v>4325</v>
      </c>
      <c r="T144" s="7" t="s">
        <v>43</v>
      </c>
      <c r="U144" s="5" t="s">
        <v>565</v>
      </c>
      <c r="V144" s="6">
        <f>'[1]V, inciso p) (OP)'!AM46</f>
        <v>42656</v>
      </c>
      <c r="W144" s="6">
        <f>'[1]V, inciso p) (OP)'!AN46</f>
        <v>42722</v>
      </c>
      <c r="X144" s="5" t="s">
        <v>650</v>
      </c>
      <c r="Y144" s="5" t="s">
        <v>651</v>
      </c>
      <c r="Z144" s="5" t="s">
        <v>652</v>
      </c>
      <c r="AA144" s="40" t="s">
        <v>40</v>
      </c>
      <c r="AB144" s="5" t="s">
        <v>40</v>
      </c>
    </row>
    <row r="145" spans="1:28" ht="40.5">
      <c r="A145" s="5">
        <v>2016</v>
      </c>
      <c r="B145" s="5" t="s">
        <v>30</v>
      </c>
      <c r="C145" s="79" t="str">
        <f>'[1]V, inciso p) (OP)'!D47</f>
        <v>DOPI-FED-R23-PAV-LP-085-2016</v>
      </c>
      <c r="D145" s="12">
        <f>'[1]V, inciso p) (OP)'!AD47</f>
        <v>42656</v>
      </c>
      <c r="E145" s="7" t="str">
        <f>'[1]V, inciso p) (OP)'!I47</f>
        <v>Reencarpetamiento de la Calle Industria, municipio de Zapopan, Jalisco.</v>
      </c>
      <c r="F145" s="7" t="s">
        <v>648</v>
      </c>
      <c r="G145" s="8">
        <f>'[1]V, inciso p) (OP)'!AG47</f>
        <v>3747446.55</v>
      </c>
      <c r="H145" s="7" t="str">
        <f>'[1]V, inciso p) (OP)'!AS47</f>
        <v>Colonia El Paraiso</v>
      </c>
      <c r="I145" s="5" t="str">
        <f>'[1]V, inciso p) (OP)'!T47</f>
        <v>Ernesto</v>
      </c>
      <c r="J145" s="5" t="str">
        <f>'[1]V, inciso p) (OP)'!U47</f>
        <v>Zamora</v>
      </c>
      <c r="K145" s="5" t="str">
        <f>'[1]V, inciso p) (OP)'!V47</f>
        <v>Corona</v>
      </c>
      <c r="L145" s="7" t="str">
        <f>'[1]V, inciso p) (OP)'!W47</f>
        <v>Keops Ingenieria y Construccion, S.A. de C.V.</v>
      </c>
      <c r="M145" s="5" t="str">
        <f>'[1]V, inciso p) (OP)'!X47</f>
        <v>KIC040617JIA</v>
      </c>
      <c r="N145" s="8">
        <f t="shared" si="2"/>
        <v>3747446.55</v>
      </c>
      <c r="O145" s="77" t="s">
        <v>40</v>
      </c>
      <c r="P145" s="5" t="s">
        <v>653</v>
      </c>
      <c r="Q145" s="8">
        <f>N145/22150</f>
        <v>169.18494582392776</v>
      </c>
      <c r="R145" s="5" t="s">
        <v>42</v>
      </c>
      <c r="S145" s="11">
        <v>4365</v>
      </c>
      <c r="T145" s="7" t="s">
        <v>43</v>
      </c>
      <c r="U145" s="5" t="s">
        <v>44</v>
      </c>
      <c r="V145" s="6">
        <f>'[1]V, inciso p) (OP)'!AM47</f>
        <v>42656</v>
      </c>
      <c r="W145" s="6">
        <f>'[1]V, inciso p) (OP)'!AN47</f>
        <v>42722</v>
      </c>
      <c r="X145" s="5" t="s">
        <v>650</v>
      </c>
      <c r="Y145" s="5" t="s">
        <v>651</v>
      </c>
      <c r="Z145" s="5" t="s">
        <v>652</v>
      </c>
      <c r="AA145" s="40" t="s">
        <v>40</v>
      </c>
      <c r="AB145" s="5" t="s">
        <v>40</v>
      </c>
    </row>
    <row r="146" spans="1:28" ht="40.5">
      <c r="A146" s="5">
        <v>2016</v>
      </c>
      <c r="B146" s="5" t="s">
        <v>30</v>
      </c>
      <c r="C146" s="79" t="str">
        <f>'[1]V, inciso p) (OP)'!D48</f>
        <v>DOPI-FED-R23-PAV-LP-086-2016</v>
      </c>
      <c r="D146" s="12">
        <f>'[1]V, inciso p) (OP)'!AD48</f>
        <v>42656</v>
      </c>
      <c r="E146" s="7" t="str">
        <f>'[1]V, inciso p) (OP)'!I48</f>
        <v>Reencarpetamiento de la Calle Epigmenio Preciado, municipio de Zapopan, Jalisco.</v>
      </c>
      <c r="F146" s="7" t="s">
        <v>648</v>
      </c>
      <c r="G146" s="8">
        <f>'[1]V, inciso p) (OP)'!AG48</f>
        <v>3579474.78</v>
      </c>
      <c r="H146" s="7" t="str">
        <f>'[1]V, inciso p) (OP)'!AS48</f>
        <v>Colonia El Paraiso</v>
      </c>
      <c r="I146" s="5" t="str">
        <f>'[1]V, inciso p) (OP)'!T48</f>
        <v>Ignacio Javier</v>
      </c>
      <c r="J146" s="5" t="str">
        <f>'[1]V, inciso p) (OP)'!U48</f>
        <v>Curiel</v>
      </c>
      <c r="K146" s="5" t="str">
        <f>'[1]V, inciso p) (OP)'!V48</f>
        <v>Dueñas</v>
      </c>
      <c r="L146" s="7" t="str">
        <f>'[1]V, inciso p) (OP)'!W48</f>
        <v>TC Construcción y Mantenimiento, S.A. de C.V.</v>
      </c>
      <c r="M146" s="5" t="str">
        <f>'[1]V, inciso p) (OP)'!X48</f>
        <v>TCM100915HA1</v>
      </c>
      <c r="N146" s="8">
        <f t="shared" si="2"/>
        <v>3579474.78</v>
      </c>
      <c r="O146" s="77" t="s">
        <v>40</v>
      </c>
      <c r="P146" s="5" t="s">
        <v>654</v>
      </c>
      <c r="Q146" s="8">
        <f>N146/10640</f>
        <v>336.41680263157895</v>
      </c>
      <c r="R146" s="5" t="s">
        <v>42</v>
      </c>
      <c r="S146" s="11">
        <v>4220</v>
      </c>
      <c r="T146" s="7" t="s">
        <v>43</v>
      </c>
      <c r="U146" s="5" t="s">
        <v>565</v>
      </c>
      <c r="V146" s="6">
        <f>'[1]V, inciso p) (OP)'!AM48</f>
        <v>42656</v>
      </c>
      <c r="W146" s="6">
        <f>'[1]V, inciso p) (OP)'!AN48</f>
        <v>42722</v>
      </c>
      <c r="X146" s="5" t="s">
        <v>650</v>
      </c>
      <c r="Y146" s="5" t="s">
        <v>651</v>
      </c>
      <c r="Z146" s="5" t="s">
        <v>652</v>
      </c>
      <c r="AA146" s="40" t="s">
        <v>40</v>
      </c>
      <c r="AB146" s="5" t="s">
        <v>40</v>
      </c>
    </row>
    <row r="147" spans="1:28" ht="40.5">
      <c r="A147" s="5">
        <v>2016</v>
      </c>
      <c r="B147" s="5" t="s">
        <v>30</v>
      </c>
      <c r="C147" s="79" t="str">
        <f>'[1]V, inciso p) (OP)'!D49</f>
        <v>DOPI-FED-R23-PAV-LP-087-2016</v>
      </c>
      <c r="D147" s="12">
        <f>'[1]V, inciso p) (OP)'!AD49</f>
        <v>42656</v>
      </c>
      <c r="E147" s="7" t="str">
        <f>'[1]V, inciso p) (OP)'!I49</f>
        <v>Reencarpetamiento de la Av. Constituyentes, municipio de Zapopan, Jalisco.</v>
      </c>
      <c r="F147" s="7" t="s">
        <v>648</v>
      </c>
      <c r="G147" s="8">
        <f>'[1]V, inciso p) (OP)'!AG49</f>
        <v>2527207.35</v>
      </c>
      <c r="H147" s="7" t="str">
        <f>'[1]V, inciso p) (OP)'!AS49</f>
        <v>Colonia Constitución</v>
      </c>
      <c r="I147" s="5" t="str">
        <f>'[1]V, inciso p) (OP)'!T49</f>
        <v>Ignacio Javier</v>
      </c>
      <c r="J147" s="5" t="str">
        <f>'[1]V, inciso p) (OP)'!U49</f>
        <v>Curiel</v>
      </c>
      <c r="K147" s="5" t="str">
        <f>'[1]V, inciso p) (OP)'!V49</f>
        <v>Dueñas</v>
      </c>
      <c r="L147" s="7" t="str">
        <f>'[1]V, inciso p) (OP)'!W49</f>
        <v>TC Construcción y Mantenimiento, S.A. de C.V.</v>
      </c>
      <c r="M147" s="5" t="str">
        <f>'[1]V, inciso p) (OP)'!X49</f>
        <v>TCM100915HA1</v>
      </c>
      <c r="N147" s="8">
        <f t="shared" si="2"/>
        <v>2527207.35</v>
      </c>
      <c r="O147" s="77" t="s">
        <v>40</v>
      </c>
      <c r="P147" s="5" t="s">
        <v>655</v>
      </c>
      <c r="Q147" s="8">
        <f>N147/7380</f>
        <v>342.44002032520325</v>
      </c>
      <c r="R147" s="5" t="s">
        <v>42</v>
      </c>
      <c r="S147" s="11">
        <v>8642</v>
      </c>
      <c r="T147" s="7" t="s">
        <v>43</v>
      </c>
      <c r="U147" s="5" t="s">
        <v>565</v>
      </c>
      <c r="V147" s="6">
        <f>'[1]V, inciso p) (OP)'!AM49</f>
        <v>42656</v>
      </c>
      <c r="W147" s="6">
        <f>'[1]V, inciso p) (OP)'!AN49</f>
        <v>42722</v>
      </c>
      <c r="X147" s="5" t="s">
        <v>650</v>
      </c>
      <c r="Y147" s="5" t="s">
        <v>651</v>
      </c>
      <c r="Z147" s="5" t="s">
        <v>652</v>
      </c>
      <c r="AA147" s="40" t="s">
        <v>40</v>
      </c>
      <c r="AB147" s="5" t="s">
        <v>40</v>
      </c>
    </row>
    <row r="148" spans="1:28" ht="81">
      <c r="A148" s="5">
        <v>2016</v>
      </c>
      <c r="B148" s="5" t="s">
        <v>30</v>
      </c>
      <c r="C148" s="79" t="str">
        <f>'[1]V, inciso p) (OP)'!D50</f>
        <v>DOPI-FED-PR-PAV-LP-088-2016</v>
      </c>
      <c r="D148" s="12">
        <f>'[1]V, inciso p) (OP)'!AD50</f>
        <v>42656</v>
      </c>
      <c r="E148" s="7"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148" s="7" t="s">
        <v>648</v>
      </c>
      <c r="G148" s="8">
        <f>'[1]V, inciso p) (OP)'!AG50</f>
        <v>1331847.2</v>
      </c>
      <c r="H148" s="7" t="str">
        <f>'[1]V, inciso p) (OP)'!AS50</f>
        <v>Zona de Las Mesas</v>
      </c>
      <c r="I148" s="5" t="str">
        <f>'[1]V, inciso p) (OP)'!T50</f>
        <v>Carlos Ignacio</v>
      </c>
      <c r="J148" s="5" t="str">
        <f>'[1]V, inciso p) (OP)'!U50</f>
        <v>Curiel</v>
      </c>
      <c r="K148" s="5" t="str">
        <f>'[1]V, inciso p) (OP)'!V50</f>
        <v>Dueñas</v>
      </c>
      <c r="L148" s="7" t="str">
        <f>'[1]V, inciso p) (OP)'!W50</f>
        <v>Constructora Cecuchi, S.A. de C.V.</v>
      </c>
      <c r="M148" s="5" t="str">
        <f>'[1]V, inciso p) (OP)'!X50</f>
        <v>CCE130723IR7</v>
      </c>
      <c r="N148" s="8">
        <f t="shared" si="2"/>
        <v>1331847.2</v>
      </c>
      <c r="O148" s="77" t="s">
        <v>40</v>
      </c>
      <c r="P148" s="5" t="s">
        <v>200</v>
      </c>
      <c r="Q148" s="8">
        <f>N148/850</f>
        <v>1566.8790588235292</v>
      </c>
      <c r="R148" s="5" t="s">
        <v>42</v>
      </c>
      <c r="S148" s="11">
        <v>3612</v>
      </c>
      <c r="T148" s="7" t="s">
        <v>43</v>
      </c>
      <c r="U148" s="5" t="s">
        <v>44</v>
      </c>
      <c r="V148" s="6">
        <f>'[1]V, inciso p) (OP)'!AM50</f>
        <v>42656</v>
      </c>
      <c r="W148" s="6">
        <f>'[1]V, inciso p) (OP)'!AN50</f>
        <v>42722</v>
      </c>
      <c r="X148" s="5" t="s">
        <v>556</v>
      </c>
      <c r="Y148" s="5" t="s">
        <v>557</v>
      </c>
      <c r="Z148" s="5" t="s">
        <v>558</v>
      </c>
      <c r="AA148" s="40" t="s">
        <v>40</v>
      </c>
      <c r="AB148" s="5" t="s">
        <v>40</v>
      </c>
    </row>
    <row r="149" spans="1:28" ht="81">
      <c r="A149" s="5">
        <v>2016</v>
      </c>
      <c r="B149" s="5" t="s">
        <v>30</v>
      </c>
      <c r="C149" s="79" t="str">
        <f>'[1]V, inciso p) (OP)'!D51</f>
        <v>DOPI-FED-PR-PAV-LP-089-2016</v>
      </c>
      <c r="D149" s="12">
        <f>'[1]V, inciso p) (OP)'!AD51</f>
        <v>42656</v>
      </c>
      <c r="E149" s="7" t="str">
        <f>'[1]V, inciso p) (OP)'!I51</f>
        <v>Construcción de vialidad con concreto hidráulico calle Michí desde la calle Cuatlicue a la calle Comitl, incluye: guarniciones, banquetas, red de agua potable, alcantarillado y alumbrado público, zona las Mesas, Municipio de Zapopan, Jalisco.</v>
      </c>
      <c r="F149" s="7" t="s">
        <v>648</v>
      </c>
      <c r="G149" s="8">
        <f>'[1]V, inciso p) (OP)'!AG51</f>
        <v>1301540.1000000001</v>
      </c>
      <c r="H149" s="7" t="str">
        <f>'[1]V, inciso p) (OP)'!AS51</f>
        <v>Zona de Las Mesas</v>
      </c>
      <c r="I149" s="5" t="str">
        <f>'[1]V, inciso p) (OP)'!T51</f>
        <v>Carlos Ignacio</v>
      </c>
      <c r="J149" s="5" t="str">
        <f>'[1]V, inciso p) (OP)'!U51</f>
        <v>Curiel</v>
      </c>
      <c r="K149" s="5" t="str">
        <f>'[1]V, inciso p) (OP)'!V51</f>
        <v>Dueñas</v>
      </c>
      <c r="L149" s="7" t="str">
        <f>'[1]V, inciso p) (OP)'!W51</f>
        <v>Constructora Cecuchi, S.A. de C.V.</v>
      </c>
      <c r="M149" s="5" t="str">
        <f>'[1]V, inciso p) (OP)'!X51</f>
        <v>CCE130723IR7</v>
      </c>
      <c r="N149" s="8">
        <f t="shared" si="2"/>
        <v>1301540.1000000001</v>
      </c>
      <c r="O149" s="77" t="s">
        <v>40</v>
      </c>
      <c r="P149" s="5" t="s">
        <v>656</v>
      </c>
      <c r="Q149" s="8">
        <f>N149/840</f>
        <v>1549.4525000000001</v>
      </c>
      <c r="R149" s="5" t="s">
        <v>42</v>
      </c>
      <c r="S149" s="11">
        <v>2351</v>
      </c>
      <c r="T149" s="7" t="s">
        <v>43</v>
      </c>
      <c r="U149" s="5" t="s">
        <v>44</v>
      </c>
      <c r="V149" s="6">
        <f>'[1]V, inciso p) (OP)'!AM51</f>
        <v>42657</v>
      </c>
      <c r="W149" s="6">
        <f>'[1]V, inciso p) (OP)'!AN51</f>
        <v>42723</v>
      </c>
      <c r="X149" s="5" t="s">
        <v>556</v>
      </c>
      <c r="Y149" s="5" t="s">
        <v>557</v>
      </c>
      <c r="Z149" s="5" t="s">
        <v>558</v>
      </c>
      <c r="AA149" s="40" t="s">
        <v>40</v>
      </c>
      <c r="AB149" s="5" t="s">
        <v>40</v>
      </c>
    </row>
    <row r="150" spans="1:28" ht="81">
      <c r="A150" s="5">
        <v>2016</v>
      </c>
      <c r="B150" s="5" t="s">
        <v>30</v>
      </c>
      <c r="C150" s="79" t="str">
        <f>'[1]V, inciso p) (OP)'!D52</f>
        <v>DOPI-FED-PR-PAV-LP-090-2016</v>
      </c>
      <c r="D150" s="12">
        <f>'[1]V, inciso p) (OP)'!AD52</f>
        <v>42656</v>
      </c>
      <c r="E150" s="7" t="str">
        <f>'[1]V, inciso p) (OP)'!I52</f>
        <v>Construcción de vialidad con concreto hidráulico calle Cuatlicue desde la calle Ozomatlí a la calle Michí, incluye: guarniciones, banquetas, red de agua potable, alcantarillado y alumbrado público, zona las Mesas, Municipio de Zapopan, Jalisco.</v>
      </c>
      <c r="F150" s="7" t="s">
        <v>648</v>
      </c>
      <c r="G150" s="8">
        <f>'[1]V, inciso p) (OP)'!AG52</f>
        <v>1504875.62</v>
      </c>
      <c r="H150" s="7" t="str">
        <f>'[1]V, inciso p) (OP)'!AS52</f>
        <v>Zona de Las Mesas</v>
      </c>
      <c r="I150" s="5" t="str">
        <f>'[1]V, inciso p) (OP)'!T52</f>
        <v>José Omar</v>
      </c>
      <c r="J150" s="5" t="str">
        <f>'[1]V, inciso p) (OP)'!U52</f>
        <v>Fernández</v>
      </c>
      <c r="K150" s="5" t="str">
        <f>'[1]V, inciso p) (OP)'!V52</f>
        <v>Vázquez</v>
      </c>
      <c r="L150" s="7" t="str">
        <f>'[1]V, inciso p) (OP)'!W52</f>
        <v>Extra Construcciones, S.A. de C.V.</v>
      </c>
      <c r="M150" s="5" t="str">
        <f>'[1]V, inciso p) (OP)'!X52</f>
        <v>ECO0908115Z7</v>
      </c>
      <c r="N150" s="8">
        <f t="shared" si="2"/>
        <v>1504875.62</v>
      </c>
      <c r="O150" s="77" t="s">
        <v>40</v>
      </c>
      <c r="P150" s="5" t="s">
        <v>656</v>
      </c>
      <c r="Q150" s="8">
        <f>N150/840</f>
        <v>1791.5185952380953</v>
      </c>
      <c r="R150" s="5" t="s">
        <v>42</v>
      </c>
      <c r="S150" s="11">
        <v>2622</v>
      </c>
      <c r="T150" s="7" t="s">
        <v>43</v>
      </c>
      <c r="U150" s="5" t="s">
        <v>44</v>
      </c>
      <c r="V150" s="6">
        <f>'[1]V, inciso p) (OP)'!AM52</f>
        <v>42656</v>
      </c>
      <c r="W150" s="6">
        <f>'[1]V, inciso p) (OP)'!AN52</f>
        <v>42722</v>
      </c>
      <c r="X150" s="5" t="s">
        <v>556</v>
      </c>
      <c r="Y150" s="5" t="s">
        <v>557</v>
      </c>
      <c r="Z150" s="5" t="s">
        <v>558</v>
      </c>
      <c r="AA150" s="40" t="s">
        <v>40</v>
      </c>
      <c r="AB150" s="5" t="s">
        <v>40</v>
      </c>
    </row>
    <row r="151" spans="1:28" ht="67.5">
      <c r="A151" s="5">
        <v>2016</v>
      </c>
      <c r="B151" s="5" t="s">
        <v>30</v>
      </c>
      <c r="C151" s="79" t="str">
        <f>'[1]V, inciso p) (OP)'!D53</f>
        <v>DOPI-FED-PR-PAV-LP-091-2016</v>
      </c>
      <c r="D151" s="12">
        <f>'[1]V, inciso p) (OP)'!AD53</f>
        <v>42656</v>
      </c>
      <c r="E151" s="7" t="str">
        <f>'[1]V, inciso p) (OP)'!I53</f>
        <v>Construcción de vialidad con concreto hidráulico calle Comitl desde la calle Dellí a la calle Michí, incluye: guarniciones, banquetas, red de agua potable, alcantarillado y alumbrado público, zona las Mesas, Municipio de Zapopan, Jalisco.</v>
      </c>
      <c r="F151" s="7" t="s">
        <v>648</v>
      </c>
      <c r="G151" s="8">
        <f>'[1]V, inciso p) (OP)'!AG53</f>
        <v>6611635.3700000001</v>
      </c>
      <c r="H151" s="7" t="str">
        <f>'[1]V, inciso p) (OP)'!AS53</f>
        <v>Zona de Las Mesas</v>
      </c>
      <c r="I151" s="5" t="str">
        <f>'[1]V, inciso p) (OP)'!T53</f>
        <v>Sergio Alberto</v>
      </c>
      <c r="J151" s="5" t="str">
        <f>'[1]V, inciso p) (OP)'!U53</f>
        <v>Baylon</v>
      </c>
      <c r="K151" s="5" t="str">
        <f>'[1]V, inciso p) (OP)'!V53</f>
        <v>Moreno</v>
      </c>
      <c r="L151" s="7" t="str">
        <f>'[1]V, inciso p) (OP)'!W53</f>
        <v>Edificaciones Estructurales Cobay, S. A. de C. V.</v>
      </c>
      <c r="M151" s="5" t="str">
        <f>'[1]V, inciso p) (OP)'!X53</f>
        <v>EEC9909173A7</v>
      </c>
      <c r="N151" s="8">
        <f t="shared" si="2"/>
        <v>6611635.3700000001</v>
      </c>
      <c r="O151" s="77" t="s">
        <v>40</v>
      </c>
      <c r="P151" s="5" t="s">
        <v>657</v>
      </c>
      <c r="Q151" s="8">
        <f>N151/4015</f>
        <v>1646.733591531756</v>
      </c>
      <c r="R151" s="5" t="s">
        <v>42</v>
      </c>
      <c r="S151" s="11">
        <v>2453</v>
      </c>
      <c r="T151" s="7" t="s">
        <v>43</v>
      </c>
      <c r="U151" s="5" t="s">
        <v>44</v>
      </c>
      <c r="V151" s="6">
        <f>'[1]V, inciso p) (OP)'!AM53</f>
        <v>42657</v>
      </c>
      <c r="W151" s="6">
        <f>'[1]V, inciso p) (OP)'!AN53</f>
        <v>42723</v>
      </c>
      <c r="X151" s="5" t="s">
        <v>556</v>
      </c>
      <c r="Y151" s="5" t="s">
        <v>557</v>
      </c>
      <c r="Z151" s="5" t="s">
        <v>558</v>
      </c>
      <c r="AA151" s="40" t="s">
        <v>40</v>
      </c>
      <c r="AB151" s="5" t="s">
        <v>40</v>
      </c>
    </row>
    <row r="152" spans="1:28" ht="81">
      <c r="A152" s="5">
        <v>2016</v>
      </c>
      <c r="B152" s="5" t="s">
        <v>30</v>
      </c>
      <c r="C152" s="79" t="str">
        <f>'[1]V, inciso p) (OP)'!D54</f>
        <v>DOPI-FED-PR-PAV-LP-092-2016</v>
      </c>
      <c r="D152" s="12">
        <f>'[1]V, inciso p) (OP)'!AD54</f>
        <v>42656</v>
      </c>
      <c r="E152" s="7" t="str">
        <f>'[1]V, inciso p) (OP)'!I54</f>
        <v>Construcción de vialidad con concreto hidráulico calle Eligio Delgado entre calle Tepatl a calle Indígena, incluye: guarniciones, banquetas, red de agua potable, alcantarillado y alumbrado público, zona las Mesas, Municipio de Zapopan, Jalisco.</v>
      </c>
      <c r="F152" s="7" t="s">
        <v>648</v>
      </c>
      <c r="G152" s="8">
        <f>'[1]V, inciso p) (OP)'!AG54</f>
        <v>3070604.74</v>
      </c>
      <c r="H152" s="7" t="str">
        <f>'[1]V, inciso p) (OP)'!AS54</f>
        <v>Zona de Las Mesas</v>
      </c>
      <c r="I152" s="5" t="str">
        <f>'[1]V, inciso p) (OP)'!T54</f>
        <v>Bernardo</v>
      </c>
      <c r="J152" s="5" t="str">
        <f>'[1]V, inciso p) (OP)'!U54</f>
        <v>Saenz</v>
      </c>
      <c r="K152" s="5" t="str">
        <f>'[1]V, inciso p) (OP)'!V54</f>
        <v>Barba</v>
      </c>
      <c r="L152" s="7" t="str">
        <f>'[1]V, inciso p) (OP)'!W54</f>
        <v>Grupo Edificador Mayab, S.A. de C.V.</v>
      </c>
      <c r="M152" s="5" t="str">
        <f>'[1]V, inciso p) (OP)'!X54</f>
        <v>GEM070112PX8</v>
      </c>
      <c r="N152" s="8">
        <f t="shared" si="2"/>
        <v>3070604.74</v>
      </c>
      <c r="O152" s="77" t="s">
        <v>40</v>
      </c>
      <c r="P152" s="5" t="s">
        <v>658</v>
      </c>
      <c r="Q152" s="8">
        <f>N152/1885</f>
        <v>1628.9680318302389</v>
      </c>
      <c r="R152" s="5" t="s">
        <v>42</v>
      </c>
      <c r="S152" s="11">
        <v>2728</v>
      </c>
      <c r="T152" s="7" t="s">
        <v>43</v>
      </c>
      <c r="U152" s="5" t="s">
        <v>44</v>
      </c>
      <c r="V152" s="6">
        <f>'[1]V, inciso p) (OP)'!AM54</f>
        <v>42657</v>
      </c>
      <c r="W152" s="6">
        <f>'[1]V, inciso p) (OP)'!AN54</f>
        <v>42723</v>
      </c>
      <c r="X152" s="5" t="s">
        <v>556</v>
      </c>
      <c r="Y152" s="5" t="s">
        <v>557</v>
      </c>
      <c r="Z152" s="5" t="s">
        <v>558</v>
      </c>
      <c r="AA152" s="40" t="s">
        <v>40</v>
      </c>
      <c r="AB152" s="5" t="s">
        <v>40</v>
      </c>
    </row>
    <row r="153" spans="1:28" ht="81">
      <c r="A153" s="5">
        <v>2016</v>
      </c>
      <c r="B153" s="5" t="s">
        <v>30</v>
      </c>
      <c r="C153" s="79" t="str">
        <f>'[1]V, inciso p) (OP)'!D55</f>
        <v>DOPI-FED-PR-PAV-LP-093-2016</v>
      </c>
      <c r="D153" s="12">
        <f>'[1]V, inciso p) (OP)'!AD55</f>
        <v>42656</v>
      </c>
      <c r="E153" s="7" t="str">
        <f>'[1]V, inciso p) (OP)'!I55</f>
        <v>Construcción de vialidad con concreto hidráulico calle Ozomatlí desde la calle Cholollan a la calle Lenteja, incluye: guarniciones, banquetas, red de agua potable, alcantarillado y alumbrado público, zona las Mesas, Municipio de Zapopan, Jalisco.</v>
      </c>
      <c r="F153" s="7" t="s">
        <v>648</v>
      </c>
      <c r="G153" s="8">
        <f>'[1]V, inciso p) (OP)'!AG55</f>
        <v>5663734.8300000001</v>
      </c>
      <c r="H153" s="7" t="str">
        <f>'[1]V, inciso p) (OP)'!AS55</f>
        <v>Zona de Las Mesas</v>
      </c>
      <c r="I153" s="5" t="str">
        <f>'[1]V, inciso p) (OP)'!T55</f>
        <v>Ignacio Javier</v>
      </c>
      <c r="J153" s="5" t="str">
        <f>'[1]V, inciso p) (OP)'!U55</f>
        <v>Curiel</v>
      </c>
      <c r="K153" s="5" t="str">
        <f>'[1]V, inciso p) (OP)'!V55</f>
        <v>Dueñas</v>
      </c>
      <c r="L153" s="7" t="str">
        <f>'[1]V, inciso p) (OP)'!W55</f>
        <v>TC Construcción y Mantenimiento, S.A. de C.V.</v>
      </c>
      <c r="M153" s="5" t="str">
        <f>'[1]V, inciso p) (OP)'!X55</f>
        <v>TCM100915HA1</v>
      </c>
      <c r="N153" s="8">
        <f t="shared" si="2"/>
        <v>5663734.8300000001</v>
      </c>
      <c r="O153" s="77" t="s">
        <v>40</v>
      </c>
      <c r="P153" s="5" t="s">
        <v>659</v>
      </c>
      <c r="Q153" s="8">
        <f>N153/3796</f>
        <v>1492.0270890410959</v>
      </c>
      <c r="R153" s="5" t="s">
        <v>42</v>
      </c>
      <c r="S153" s="11">
        <v>2612</v>
      </c>
      <c r="T153" s="7" t="s">
        <v>43</v>
      </c>
      <c r="U153" s="5" t="s">
        <v>44</v>
      </c>
      <c r="V153" s="6">
        <f>'[1]V, inciso p) (OP)'!AM55</f>
        <v>42657</v>
      </c>
      <c r="W153" s="6">
        <f>'[1]V, inciso p) (OP)'!AN55</f>
        <v>42723</v>
      </c>
      <c r="X153" s="5" t="s">
        <v>556</v>
      </c>
      <c r="Y153" s="5" t="s">
        <v>557</v>
      </c>
      <c r="Z153" s="5" t="s">
        <v>558</v>
      </c>
      <c r="AA153" s="40" t="s">
        <v>40</v>
      </c>
      <c r="AB153" s="5" t="s">
        <v>40</v>
      </c>
    </row>
    <row r="154" spans="1:28" ht="108">
      <c r="A154" s="5">
        <v>2016</v>
      </c>
      <c r="B154" s="5" t="s">
        <v>30</v>
      </c>
      <c r="C154" s="79" t="str">
        <f>'[1]V, inciso p) (OP)'!D56</f>
        <v>DOPI-FED-PR-PAV-LP-094-2016</v>
      </c>
      <c r="D154" s="12">
        <f>'[1]V, inciso p) (OP)'!AD56</f>
        <v>42656</v>
      </c>
      <c r="E154" s="7"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154" s="7" t="s">
        <v>648</v>
      </c>
      <c r="G154" s="8">
        <f>'[1]V, inciso p) (OP)'!AG56</f>
        <v>9145513.7300000004</v>
      </c>
      <c r="H154" s="7" t="str">
        <f>'[1]V, inciso p) (OP)'!AS56</f>
        <v>Mesa Colorada</v>
      </c>
      <c r="I154" s="5" t="str">
        <f>'[1]V, inciso p) (OP)'!T56</f>
        <v>J. Gerardo</v>
      </c>
      <c r="J154" s="5" t="str">
        <f>'[1]V, inciso p) (OP)'!U56</f>
        <v>Nicanor</v>
      </c>
      <c r="K154" s="5" t="str">
        <f>'[1]V, inciso p) (OP)'!V56</f>
        <v>Mejia Mariscal</v>
      </c>
      <c r="L154" s="7" t="str">
        <f>'[1]V, inciso p) (OP)'!W56</f>
        <v>Ineco Construye, S.A. de C.V.</v>
      </c>
      <c r="M154" s="5" t="str">
        <f>'[1]V, inciso p) (OP)'!X56</f>
        <v>ICO980722M04</v>
      </c>
      <c r="N154" s="8">
        <f t="shared" si="2"/>
        <v>9145513.7300000004</v>
      </c>
      <c r="O154" s="77" t="s">
        <v>40</v>
      </c>
      <c r="P154" s="5" t="s">
        <v>660</v>
      </c>
      <c r="Q154" s="8">
        <f>N154/4847</f>
        <v>1886.840051578296</v>
      </c>
      <c r="R154" s="5" t="s">
        <v>42</v>
      </c>
      <c r="S154" s="11">
        <v>4325</v>
      </c>
      <c r="T154" s="7" t="s">
        <v>43</v>
      </c>
      <c r="U154" s="5" t="s">
        <v>44</v>
      </c>
      <c r="V154" s="6">
        <f>'[1]V, inciso p) (OP)'!AM56</f>
        <v>42657</v>
      </c>
      <c r="W154" s="6">
        <f>'[1]V, inciso p) (OP)'!AN56</f>
        <v>42723</v>
      </c>
      <c r="X154" s="5" t="s">
        <v>556</v>
      </c>
      <c r="Y154" s="5" t="s">
        <v>557</v>
      </c>
      <c r="Z154" s="5" t="s">
        <v>558</v>
      </c>
      <c r="AA154" s="40" t="s">
        <v>40</v>
      </c>
      <c r="AB154" s="5" t="s">
        <v>40</v>
      </c>
    </row>
    <row r="155" spans="1:28" ht="67.5">
      <c r="A155" s="5">
        <v>2016</v>
      </c>
      <c r="B155" s="5" t="s">
        <v>30</v>
      </c>
      <c r="C155" s="79" t="str">
        <f>'[1]V, inciso p) (OP)'!D57</f>
        <v>DOPI-FED-PR-PAV-LP-095-2016</v>
      </c>
      <c r="D155" s="12">
        <f>'[1]V, inciso p) (OP)'!AD57</f>
        <v>42656</v>
      </c>
      <c r="E155" s="7" t="str">
        <f>'[1]V, inciso p) (OP)'!I57</f>
        <v>Reencarpetamiento de la Av. Santa Margarita, en la colonia Santa Margarita, incluye: guarniciones, banquetas, renivelación de pozos y cajas, señalamiento vertical y horizontal, Municipio de Zapopan, Jalisco, frente 1.</v>
      </c>
      <c r="F155" s="7" t="s">
        <v>648</v>
      </c>
      <c r="G155" s="8">
        <f>'[1]V, inciso p) (OP)'!AG57</f>
        <v>6756554.5</v>
      </c>
      <c r="H155" s="7" t="str">
        <f>'[1]V, inciso p) (OP)'!AS57</f>
        <v>Colonia Santa Margarita</v>
      </c>
      <c r="I155" s="5" t="str">
        <f>'[1]V, inciso p) (OP)'!T57</f>
        <v>Víctor Manuel</v>
      </c>
      <c r="J155" s="5" t="str">
        <f>'[1]V, inciso p) (OP)'!U57</f>
        <v>Jauregui</v>
      </c>
      <c r="K155" s="5" t="str">
        <f>'[1]V, inciso p) (OP)'!V57</f>
        <v>Torres</v>
      </c>
      <c r="L155" s="7" t="str">
        <f>'[1]V, inciso p) (OP)'!W57</f>
        <v>Constructora Erlort y Asociados, S.A. de C.V.</v>
      </c>
      <c r="M155" s="5" t="str">
        <f>'[1]V, inciso p) (OP)'!X57</f>
        <v>CEA070208SB1</v>
      </c>
      <c r="N155" s="8">
        <f t="shared" si="2"/>
        <v>6756554.5</v>
      </c>
      <c r="O155" s="77" t="s">
        <v>40</v>
      </c>
      <c r="P155" s="5" t="s">
        <v>661</v>
      </c>
      <c r="Q155" s="8">
        <f>N155/11696</f>
        <v>577.68078830369359</v>
      </c>
      <c r="R155" s="5" t="s">
        <v>42</v>
      </c>
      <c r="S155" s="11">
        <v>52846</v>
      </c>
      <c r="T155" s="7" t="s">
        <v>43</v>
      </c>
      <c r="U155" s="5" t="s">
        <v>44</v>
      </c>
      <c r="V155" s="6">
        <f>'[1]V, inciso p) (OP)'!AM57</f>
        <v>42657</v>
      </c>
      <c r="W155" s="6">
        <f>'[1]V, inciso p) (OP)'!AN57</f>
        <v>42732</v>
      </c>
      <c r="X155" s="5" t="s">
        <v>572</v>
      </c>
      <c r="Y155" s="5" t="s">
        <v>573</v>
      </c>
      <c r="Z155" s="5" t="s">
        <v>574</v>
      </c>
      <c r="AA155" s="40" t="s">
        <v>40</v>
      </c>
      <c r="AB155" s="5" t="s">
        <v>40</v>
      </c>
    </row>
    <row r="156" spans="1:28" ht="67.5">
      <c r="A156" s="5">
        <v>2016</v>
      </c>
      <c r="B156" s="5" t="s">
        <v>30</v>
      </c>
      <c r="C156" s="79" t="str">
        <f>'[1]V, inciso p) (OP)'!D58</f>
        <v>DOPI-FED-PR-PAV-LP-096-2016</v>
      </c>
      <c r="D156" s="12">
        <f>'[1]V, inciso p) (OP)'!AD58</f>
        <v>42656</v>
      </c>
      <c r="E156" s="7" t="str">
        <f>'[1]V, inciso p) (OP)'!I58</f>
        <v>Reencarpetamiento de la Av. Santa Margarita, en la colonia Santa Margarita, incluye: guarniciones, banquetas, renivelación de pozos y cajas, señalamiento vertical y horizontal, Municipio de Zapopan, Jalisco, frente 2.</v>
      </c>
      <c r="F156" s="7" t="s">
        <v>648</v>
      </c>
      <c r="G156" s="8">
        <f>'[1]V, inciso p) (OP)'!AG58</f>
        <v>8604721.4600000009</v>
      </c>
      <c r="H156" s="7" t="str">
        <f>'[1]V, inciso p) (OP)'!AS58</f>
        <v>Colonia Santa Margarita</v>
      </c>
      <c r="I156" s="5" t="str">
        <f>'[1]V, inciso p) (OP)'!T58</f>
        <v>Víctor Manuel</v>
      </c>
      <c r="J156" s="5" t="str">
        <f>'[1]V, inciso p) (OP)'!U58</f>
        <v>Jauregui</v>
      </c>
      <c r="K156" s="5" t="str">
        <f>'[1]V, inciso p) (OP)'!V58</f>
        <v>Torres</v>
      </c>
      <c r="L156" s="7" t="str">
        <f>'[1]V, inciso p) (OP)'!W58</f>
        <v>Constructora Erlort y Asociados, S.A. de C.V.</v>
      </c>
      <c r="M156" s="5" t="str">
        <f>'[1]V, inciso p) (OP)'!X58</f>
        <v>CEA070208SB1</v>
      </c>
      <c r="N156" s="8">
        <f t="shared" si="2"/>
        <v>8604721.4600000009</v>
      </c>
      <c r="O156" s="77" t="s">
        <v>40</v>
      </c>
      <c r="P156" s="5" t="s">
        <v>662</v>
      </c>
      <c r="Q156" s="8">
        <f>N156/14923</f>
        <v>576.60801849494078</v>
      </c>
      <c r="R156" s="5" t="s">
        <v>42</v>
      </c>
      <c r="S156" s="11">
        <v>52846</v>
      </c>
      <c r="T156" s="7" t="s">
        <v>43</v>
      </c>
      <c r="U156" s="5" t="s">
        <v>44</v>
      </c>
      <c r="V156" s="6">
        <f>'[1]V, inciso p) (OP)'!AM58</f>
        <v>42657</v>
      </c>
      <c r="W156" s="6">
        <f>'[1]V, inciso p) (OP)'!AN58</f>
        <v>42732</v>
      </c>
      <c r="X156" s="5" t="s">
        <v>572</v>
      </c>
      <c r="Y156" s="5" t="s">
        <v>573</v>
      </c>
      <c r="Z156" s="5" t="s">
        <v>574</v>
      </c>
      <c r="AA156" s="40" t="s">
        <v>40</v>
      </c>
      <c r="AB156" s="5" t="s">
        <v>40</v>
      </c>
    </row>
    <row r="157" spans="1:28" ht="67.5">
      <c r="A157" s="5">
        <v>2016</v>
      </c>
      <c r="B157" s="5" t="s">
        <v>30</v>
      </c>
      <c r="C157" s="79" t="str">
        <f>'[1]V, inciso p) (OP)'!D59</f>
        <v>DOPI-FED-PR-PAV-LP-097-2016</v>
      </c>
      <c r="D157" s="12">
        <f>'[1]V, inciso p) (OP)'!AD59</f>
        <v>42656</v>
      </c>
      <c r="E157" s="7" t="str">
        <f>'[1]V, inciso p) (OP)'!I59</f>
        <v>Reencarpetamiento de la Av. Santa Margarita, en la colonia Santa Margarita, incluye: guarniciones, banquetas, renivelación de pozos y cajas, señalamiento vertical y horizontal, Municipio de Zapopan, Jalisco, frente 3.</v>
      </c>
      <c r="F157" s="7" t="s">
        <v>648</v>
      </c>
      <c r="G157" s="8">
        <f>'[1]V, inciso p) (OP)'!AG59</f>
        <v>7620310.1200000001</v>
      </c>
      <c r="H157" s="7" t="str">
        <f>'[1]V, inciso p) (OP)'!AS59</f>
        <v>Colonia Santa Margarita</v>
      </c>
      <c r="I157" s="5" t="str">
        <f>'[1]V, inciso p) (OP)'!T59</f>
        <v>Víctor Manuel</v>
      </c>
      <c r="J157" s="5" t="str">
        <f>'[1]V, inciso p) (OP)'!U59</f>
        <v>Jauregui</v>
      </c>
      <c r="K157" s="5" t="str">
        <f>'[1]V, inciso p) (OP)'!V59</f>
        <v>Torres</v>
      </c>
      <c r="L157" s="7" t="str">
        <f>'[1]V, inciso p) (OP)'!W59</f>
        <v>Constructora Erlort y Asociados, S.A. de C.V.</v>
      </c>
      <c r="M157" s="5" t="str">
        <f>'[1]V, inciso p) (OP)'!X59</f>
        <v>CEA070208SB1</v>
      </c>
      <c r="N157" s="8">
        <f t="shared" si="2"/>
        <v>7620310.1200000001</v>
      </c>
      <c r="O157" s="77" t="s">
        <v>40</v>
      </c>
      <c r="P157" s="5" t="s">
        <v>663</v>
      </c>
      <c r="Q157" s="8">
        <f>N157/13168</f>
        <v>578.69912818955038</v>
      </c>
      <c r="R157" s="5" t="s">
        <v>42</v>
      </c>
      <c r="S157" s="11">
        <v>52846</v>
      </c>
      <c r="T157" s="7" t="s">
        <v>43</v>
      </c>
      <c r="U157" s="5" t="s">
        <v>44</v>
      </c>
      <c r="V157" s="6">
        <f>'[1]V, inciso p) (OP)'!AM59</f>
        <v>42657</v>
      </c>
      <c r="W157" s="6">
        <f>'[1]V, inciso p) (OP)'!AN59</f>
        <v>42732</v>
      </c>
      <c r="X157" s="5" t="s">
        <v>572</v>
      </c>
      <c r="Y157" s="5" t="s">
        <v>573</v>
      </c>
      <c r="Z157" s="5" t="s">
        <v>574</v>
      </c>
      <c r="AA157" s="40" t="s">
        <v>40</v>
      </c>
      <c r="AB157" s="5" t="s">
        <v>40</v>
      </c>
    </row>
    <row r="158" spans="1:28" ht="67.5">
      <c r="A158" s="5">
        <v>2016</v>
      </c>
      <c r="B158" s="5" t="s">
        <v>30</v>
      </c>
      <c r="C158" s="79" t="str">
        <f>'[1]V, inciso p) (OP)'!D60</f>
        <v>DOPI-FED-PR-PAV-LP-098-2016</v>
      </c>
      <c r="D158" s="12">
        <f>'[1]V, inciso p) (OP)'!AD60</f>
        <v>42685</v>
      </c>
      <c r="E158" s="7" t="str">
        <f>'[1]V, inciso p) (OP)'!I60</f>
        <v>Construcción de la vialidad con concreto hidráulico de la Av. Ramón Corona, incluye: guarniciones, banquetas, red de agua potable, alcantarillado, alumbrado público y forestación, Municipio de Zapopan, Jalisco, frente 1.</v>
      </c>
      <c r="F158" s="7" t="s">
        <v>648</v>
      </c>
      <c r="G158" s="8">
        <f>'[1]V, inciso p) (OP)'!AG60</f>
        <v>11081287.630000001</v>
      </c>
      <c r="H158" s="7" t="str">
        <f>'[1]V, inciso p) (OP)'!AS60</f>
        <v>Colonia La Mojonera</v>
      </c>
      <c r="I158" s="5" t="str">
        <f>'[1]V, inciso p) (OP)'!T60</f>
        <v>J. Gerardo</v>
      </c>
      <c r="J158" s="5" t="str">
        <f>'[1]V, inciso p) (OP)'!U60</f>
        <v>Nicanor</v>
      </c>
      <c r="K158" s="5" t="str">
        <f>'[1]V, inciso p) (OP)'!V60</f>
        <v>Mejia Mariscal</v>
      </c>
      <c r="L158" s="7" t="str">
        <f>'[1]V, inciso p) (OP)'!W60</f>
        <v>Ineco Construye, S.A. de C.V.</v>
      </c>
      <c r="M158" s="5" t="str">
        <f>'[1]V, inciso p) (OP)'!X60</f>
        <v>ICO980722M04</v>
      </c>
      <c r="N158" s="8">
        <f>G158</f>
        <v>11081287.630000001</v>
      </c>
      <c r="O158" s="77" t="s">
        <v>40</v>
      </c>
      <c r="P158" s="9" t="s">
        <v>664</v>
      </c>
      <c r="Q158" s="10">
        <f>N158/7750</f>
        <v>1429.8435651612904</v>
      </c>
      <c r="R158" s="9" t="s">
        <v>42</v>
      </c>
      <c r="S158" s="13">
        <v>5622</v>
      </c>
      <c r="T158" s="7" t="s">
        <v>43</v>
      </c>
      <c r="U158" s="5" t="s">
        <v>565</v>
      </c>
      <c r="V158" s="6">
        <f>'[1]V, inciso p) (OP)'!AM60</f>
        <v>42688</v>
      </c>
      <c r="W158" s="6">
        <f>'[1]V, inciso p) (OP)'!AN60</f>
        <v>42763</v>
      </c>
      <c r="X158" s="5" t="s">
        <v>605</v>
      </c>
      <c r="Y158" s="5" t="s">
        <v>442</v>
      </c>
      <c r="Z158" s="5" t="s">
        <v>101</v>
      </c>
      <c r="AA158" s="40" t="s">
        <v>40</v>
      </c>
      <c r="AB158" s="5" t="s">
        <v>40</v>
      </c>
    </row>
    <row r="159" spans="1:28" ht="67.5">
      <c r="A159" s="5">
        <v>2016</v>
      </c>
      <c r="B159" s="5" t="s">
        <v>30</v>
      </c>
      <c r="C159" s="79" t="str">
        <f>'[1]V, inciso p) (OP)'!D61</f>
        <v>DOPI-FED-PR-PAV-LP-099-2016</v>
      </c>
      <c r="D159" s="12">
        <f>'[1]V, inciso p) (OP)'!AD61</f>
        <v>42685</v>
      </c>
      <c r="E159" s="7" t="str">
        <f>'[1]V, inciso p) (OP)'!I61</f>
        <v>Construcción de la vialidad con concreto hidráulico de la Av. Ramón Corona, incluye: guarniciones, banquetas, red de agua potable, alcantarillado, alumbrado público y forestación, Municipio de Zapopan, Jalisco, frente 2.</v>
      </c>
      <c r="F159" s="7" t="s">
        <v>648</v>
      </c>
      <c r="G159" s="8">
        <f>'[1]V, inciso p) (OP)'!AG61</f>
        <v>9389185.8900000006</v>
      </c>
      <c r="H159" s="7" t="str">
        <f>'[1]V, inciso p) (OP)'!AS61</f>
        <v>Colonia La Mojonera</v>
      </c>
      <c r="I159" s="5" t="str">
        <f>'[1]V, inciso p) (OP)'!T61</f>
        <v>Sergio Cesar</v>
      </c>
      <c r="J159" s="5" t="str">
        <f>'[1]V, inciso p) (OP)'!U61</f>
        <v>Diaz</v>
      </c>
      <c r="K159" s="5" t="str">
        <f>'[1]V, inciso p) (OP)'!V61</f>
        <v>Quiroz</v>
      </c>
      <c r="L159" s="7" t="str">
        <f>'[1]V, inciso p) (OP)'!W61</f>
        <v>Grupo Unicreto S.A. de C.V.</v>
      </c>
      <c r="M159" s="5" t="str">
        <f>'[1]V, inciso p) (OP)'!X61</f>
        <v>GUN880613NY1</v>
      </c>
      <c r="N159" s="8">
        <f>G159</f>
        <v>9389185.8900000006</v>
      </c>
      <c r="O159" s="77" t="s">
        <v>40</v>
      </c>
      <c r="P159" s="9" t="s">
        <v>665</v>
      </c>
      <c r="Q159" s="10">
        <f>N159/5500</f>
        <v>1707.1247072727274</v>
      </c>
      <c r="R159" s="9" t="s">
        <v>42</v>
      </c>
      <c r="S159" s="13">
        <v>5622</v>
      </c>
      <c r="T159" s="7" t="s">
        <v>43</v>
      </c>
      <c r="U159" s="5" t="s">
        <v>565</v>
      </c>
      <c r="V159" s="6">
        <f>'[1]V, inciso p) (OP)'!AM61</f>
        <v>42688</v>
      </c>
      <c r="W159" s="6">
        <f>'[1]V, inciso p) (OP)'!AN61</f>
        <v>42763</v>
      </c>
      <c r="X159" s="5" t="s">
        <v>605</v>
      </c>
      <c r="Y159" s="5" t="s">
        <v>442</v>
      </c>
      <c r="Z159" s="5" t="s">
        <v>101</v>
      </c>
      <c r="AA159" s="40" t="s">
        <v>40</v>
      </c>
      <c r="AB159" s="5" t="s">
        <v>40</v>
      </c>
    </row>
    <row r="160" spans="1:28" ht="67.5">
      <c r="A160" s="5">
        <v>2016</v>
      </c>
      <c r="B160" s="5" t="s">
        <v>30</v>
      </c>
      <c r="C160" s="79" t="str">
        <f>'[1]V, inciso p) (OP)'!D62</f>
        <v>DOPI-FED-PR-PAV-LP-100-2016</v>
      </c>
      <c r="D160" s="12">
        <f>'[1]V, inciso p) (OP)'!AD62</f>
        <v>42685</v>
      </c>
      <c r="E160" s="7" t="str">
        <f>'[1]V, inciso p) (OP)'!I62</f>
        <v>Construcción de la vialidad con concreto hidráulico de la Av. Ramón Corona, incluye: guarniciones, banquetas, red de agua potable, alcantarillado, alumbrado público y forestación, Municipio de Zapopan, Jalisco, frente 3.</v>
      </c>
      <c r="F160" s="7" t="s">
        <v>648</v>
      </c>
      <c r="G160" s="8">
        <f>'[1]V, inciso p) (OP)'!AG62</f>
        <v>6602792.5999999996</v>
      </c>
      <c r="H160" s="7" t="str">
        <f>'[1]V, inciso p) (OP)'!AS62</f>
        <v>Colonia La Mojonera</v>
      </c>
      <c r="I160" s="5" t="str">
        <f>'[1]V, inciso p) (OP)'!T62</f>
        <v>Sergio Cesar</v>
      </c>
      <c r="J160" s="5" t="str">
        <f>'[1]V, inciso p) (OP)'!U62</f>
        <v>Diaz</v>
      </c>
      <c r="K160" s="5" t="str">
        <f>'[1]V, inciso p) (OP)'!V62</f>
        <v>Quiroz</v>
      </c>
      <c r="L160" s="7" t="str">
        <f>'[1]V, inciso p) (OP)'!W62</f>
        <v>Grupo Unicreto S.A. de C.V.</v>
      </c>
      <c r="M160" s="5" t="str">
        <f>'[1]V, inciso p) (OP)'!X62</f>
        <v>GUN880613NY1</v>
      </c>
      <c r="N160" s="8">
        <f>G160</f>
        <v>6602792.5999999996</v>
      </c>
      <c r="O160" s="77" t="s">
        <v>40</v>
      </c>
      <c r="P160" s="9" t="s">
        <v>666</v>
      </c>
      <c r="Q160" s="10">
        <f>N160/3802.5</f>
        <v>1736.4346088099933</v>
      </c>
      <c r="R160" s="9" t="s">
        <v>42</v>
      </c>
      <c r="S160" s="13">
        <v>5622</v>
      </c>
      <c r="T160" s="7" t="s">
        <v>43</v>
      </c>
      <c r="U160" s="5" t="s">
        <v>565</v>
      </c>
      <c r="V160" s="6">
        <f>'[1]V, inciso p) (OP)'!AM62</f>
        <v>42688</v>
      </c>
      <c r="W160" s="6">
        <f>'[1]V, inciso p) (OP)'!AN62</f>
        <v>42763</v>
      </c>
      <c r="X160" s="5" t="s">
        <v>605</v>
      </c>
      <c r="Y160" s="5" t="s">
        <v>442</v>
      </c>
      <c r="Z160" s="5" t="s">
        <v>101</v>
      </c>
      <c r="AA160" s="40" t="s">
        <v>40</v>
      </c>
      <c r="AB160" s="5" t="s">
        <v>40</v>
      </c>
    </row>
    <row r="161" spans="1:28" ht="40.5">
      <c r="A161" s="5">
        <v>2016</v>
      </c>
      <c r="B161" s="5" t="s">
        <v>30</v>
      </c>
      <c r="C161" s="79" t="str">
        <f>'[1]V, inciso p) (OP)'!D63</f>
        <v>DOPI-FED-PR-PAV-LP-101-2016</v>
      </c>
      <c r="D161" s="12">
        <f>'[1]V, inciso p) (OP)'!AD63</f>
        <v>42685</v>
      </c>
      <c r="E161" s="7" t="str">
        <f>'[1]V, inciso p) (OP)'!I63</f>
        <v>Construcción de Centro de Desarrollo Infantil La Loma, Municipio de Zapopan, Jalisco.</v>
      </c>
      <c r="F161" s="7" t="s">
        <v>648</v>
      </c>
      <c r="G161" s="8">
        <f>'[1]V, inciso p) (OP)'!AG63</f>
        <v>17394240.84</v>
      </c>
      <c r="H161" s="7" t="str">
        <f>'[1]V, inciso p) (OP)'!AS63</f>
        <v>Colonia La Loma</v>
      </c>
      <c r="I161" s="5" t="str">
        <f>'[1]V, inciso p) (OP)'!T63</f>
        <v>Jesús</v>
      </c>
      <c r="J161" s="5" t="str">
        <f>'[1]V, inciso p) (OP)'!U63</f>
        <v>Arenas</v>
      </c>
      <c r="K161" s="5" t="str">
        <f>'[1]V, inciso p) (OP)'!V63</f>
        <v>Bravo</v>
      </c>
      <c r="L161" s="7" t="str">
        <f>'[1]V, inciso p) (OP)'!W63</f>
        <v>Sicosa, S.A. de C.V.</v>
      </c>
      <c r="M161" s="5" t="str">
        <f>'[1]V, inciso p) (OP)'!X63</f>
        <v>SIC940317FH7</v>
      </c>
      <c r="N161" s="8">
        <f>G161</f>
        <v>17394240.84</v>
      </c>
      <c r="O161" s="77" t="s">
        <v>40</v>
      </c>
      <c r="P161" s="9" t="s">
        <v>667</v>
      </c>
      <c r="Q161" s="10">
        <f>N161/1240</f>
        <v>14027.613580645162</v>
      </c>
      <c r="R161" s="9" t="s">
        <v>42</v>
      </c>
      <c r="S161" s="13">
        <v>8450</v>
      </c>
      <c r="T161" s="7" t="s">
        <v>43</v>
      </c>
      <c r="U161" s="5" t="s">
        <v>565</v>
      </c>
      <c r="V161" s="6">
        <f>'[1]V, inciso p) (OP)'!AM63</f>
        <v>42688</v>
      </c>
      <c r="W161" s="6">
        <f>'[1]V, inciso p) (OP)'!AN63</f>
        <v>42763</v>
      </c>
      <c r="X161" s="5" t="s">
        <v>668</v>
      </c>
      <c r="Y161" s="5" t="s">
        <v>476</v>
      </c>
      <c r="Z161" s="5" t="s">
        <v>89</v>
      </c>
      <c r="AA161" s="40" t="s">
        <v>40</v>
      </c>
      <c r="AB161" s="5" t="s">
        <v>40</v>
      </c>
    </row>
    <row r="162" spans="1:28" ht="94.5">
      <c r="A162" s="5">
        <v>2016</v>
      </c>
      <c r="B162" s="5" t="s">
        <v>30</v>
      </c>
      <c r="C162" s="79" t="str">
        <f>'[1]V, inciso p) (OP)'!D64</f>
        <v>DOPI-EST-CR-PAV-LP-102-2016</v>
      </c>
      <c r="D162" s="12">
        <f>'[1]V, inciso p) (OP)'!AD64</f>
        <v>42656</v>
      </c>
      <c r="E162" s="7"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62" s="7" t="s">
        <v>669</v>
      </c>
      <c r="G162" s="8">
        <f>'[1]V, inciso p) (OP)'!AG64</f>
        <v>800844.56</v>
      </c>
      <c r="H162" s="7" t="str">
        <f>'[1]V, inciso p) (OP)'!AS64</f>
        <v>Mesa Colorada</v>
      </c>
      <c r="I162" s="5" t="str">
        <f>'[1]V, inciso p) (OP)'!T64</f>
        <v>José Omar</v>
      </c>
      <c r="J162" s="5" t="str">
        <f>'[1]V, inciso p) (OP)'!U64</f>
        <v>Fernández</v>
      </c>
      <c r="K162" s="5" t="str">
        <f>'[1]V, inciso p) (OP)'!V64</f>
        <v>Vázquez</v>
      </c>
      <c r="L162" s="7" t="str">
        <f>'[1]V, inciso p) (OP)'!W64</f>
        <v>Extra Construcciones, S.A. de C.V.</v>
      </c>
      <c r="M162" s="5" t="str">
        <f>'[1]V, inciso p) (OP)'!X64</f>
        <v>ECO0908115Z7</v>
      </c>
      <c r="N162" s="8">
        <f t="shared" si="2"/>
        <v>800844.56</v>
      </c>
      <c r="O162" s="77" t="s">
        <v>40</v>
      </c>
      <c r="P162" s="5" t="s">
        <v>670</v>
      </c>
      <c r="Q162" s="8">
        <f>N162/315</f>
        <v>2542.3636825396829</v>
      </c>
      <c r="R162" s="5" t="s">
        <v>42</v>
      </c>
      <c r="S162" s="11">
        <v>1874</v>
      </c>
      <c r="T162" s="7" t="s">
        <v>43</v>
      </c>
      <c r="U162" s="5" t="s">
        <v>565</v>
      </c>
      <c r="V162" s="6">
        <f>'[1]V, inciso p) (OP)'!AM64</f>
        <v>42657</v>
      </c>
      <c r="W162" s="6">
        <f>'[1]V, inciso p) (OP)'!AN64</f>
        <v>42776</v>
      </c>
      <c r="X162" s="5" t="s">
        <v>671</v>
      </c>
      <c r="Y162" s="5" t="s">
        <v>334</v>
      </c>
      <c r="Z162" s="5" t="s">
        <v>133</v>
      </c>
      <c r="AA162" s="53" t="s">
        <v>1386</v>
      </c>
      <c r="AB162" s="5" t="s">
        <v>40</v>
      </c>
    </row>
    <row r="163" spans="1:28" ht="94.5">
      <c r="A163" s="5">
        <v>2016</v>
      </c>
      <c r="B163" s="5" t="s">
        <v>30</v>
      </c>
      <c r="C163" s="79" t="str">
        <f>'[1]V, inciso p) (OP)'!D65</f>
        <v>DOPI-EST-CR-PAV-LP-103-2016</v>
      </c>
      <c r="D163" s="12">
        <f>'[1]V, inciso p) (OP)'!AD65</f>
        <v>42656</v>
      </c>
      <c r="E163" s="7"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63" s="7" t="s">
        <v>669</v>
      </c>
      <c r="G163" s="8">
        <f>'[1]V, inciso p) (OP)'!AG65</f>
        <v>2310172.9900000002</v>
      </c>
      <c r="H163" s="7" t="str">
        <f>'[1]V, inciso p) (OP)'!AS65</f>
        <v>Mesa Colorada</v>
      </c>
      <c r="I163" s="5" t="str">
        <f>'[1]V, inciso p) (OP)'!T65</f>
        <v>Alejandro</v>
      </c>
      <c r="J163" s="5" t="str">
        <f>'[1]V, inciso p) (OP)'!U65</f>
        <v>Guevara</v>
      </c>
      <c r="K163" s="5" t="str">
        <f>'[1]V, inciso p) (OP)'!V65</f>
        <v>Castellanos</v>
      </c>
      <c r="L163" s="7" t="str">
        <f>'[1]V, inciso p) (OP)'!W65</f>
        <v>Urbanizacion y Construccion Avanzada, S.A. de C.V.</v>
      </c>
      <c r="M163" s="5" t="str">
        <f>'[1]V, inciso p) (OP)'!X65</f>
        <v>UCA0207107X6</v>
      </c>
      <c r="N163" s="8">
        <f t="shared" si="2"/>
        <v>2310172.9900000002</v>
      </c>
      <c r="O163" s="77" t="s">
        <v>40</v>
      </c>
      <c r="P163" s="5" t="s">
        <v>672</v>
      </c>
      <c r="Q163" s="8">
        <f>N163/1222</f>
        <v>1890.485261865794</v>
      </c>
      <c r="R163" s="5" t="s">
        <v>42</v>
      </c>
      <c r="S163" s="11">
        <v>4532</v>
      </c>
      <c r="T163" s="7" t="s">
        <v>43</v>
      </c>
      <c r="U163" s="5" t="s">
        <v>565</v>
      </c>
      <c r="V163" s="6">
        <f>'[1]V, inciso p) (OP)'!AM65</f>
        <v>42657</v>
      </c>
      <c r="W163" s="6">
        <f>'[1]V, inciso p) (OP)'!AN65</f>
        <v>42776</v>
      </c>
      <c r="X163" s="5" t="s">
        <v>671</v>
      </c>
      <c r="Y163" s="5" t="s">
        <v>334</v>
      </c>
      <c r="Z163" s="5" t="s">
        <v>133</v>
      </c>
      <c r="AA163" s="40" t="s">
        <v>40</v>
      </c>
      <c r="AB163" s="5" t="s">
        <v>40</v>
      </c>
    </row>
    <row r="164" spans="1:28" ht="94.5">
      <c r="A164" s="5">
        <v>2016</v>
      </c>
      <c r="B164" s="5" t="s">
        <v>30</v>
      </c>
      <c r="C164" s="79" t="str">
        <f>'[1]V, inciso p) (OP)'!D66</f>
        <v>DOPI-EST-CR-PAV-LP-104-2016</v>
      </c>
      <c r="D164" s="12">
        <f>'[1]V, inciso p) (OP)'!AD66</f>
        <v>42656</v>
      </c>
      <c r="E164" s="7"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64" s="7" t="s">
        <v>669</v>
      </c>
      <c r="G164" s="8">
        <f>'[1]V, inciso p) (OP)'!AG66</f>
        <v>931716.14</v>
      </c>
      <c r="H164" s="7" t="str">
        <f>'[1]V, inciso p) (OP)'!AS66</f>
        <v>Mesa Colorada</v>
      </c>
      <c r="I164" s="5" t="str">
        <f>'[1]V, inciso p) (OP)'!T66</f>
        <v>Alejandro</v>
      </c>
      <c r="J164" s="5" t="str">
        <f>'[1]V, inciso p) (OP)'!U66</f>
        <v>Guevara</v>
      </c>
      <c r="K164" s="5" t="str">
        <f>'[1]V, inciso p) (OP)'!V66</f>
        <v>Castellanos</v>
      </c>
      <c r="L164" s="7" t="str">
        <f>'[1]V, inciso p) (OP)'!W66</f>
        <v>Urbanizacion y Construccion Avanzada, S.A. de C.V.</v>
      </c>
      <c r="M164" s="5" t="str">
        <f>'[1]V, inciso p) (OP)'!X66</f>
        <v>UCA0207107X6</v>
      </c>
      <c r="N164" s="8">
        <f t="shared" si="2"/>
        <v>931716.14</v>
      </c>
      <c r="O164" s="77" t="s">
        <v>40</v>
      </c>
      <c r="P164" s="5" t="s">
        <v>673</v>
      </c>
      <c r="Q164" s="8">
        <f>N164/375</f>
        <v>2484.5763733333333</v>
      </c>
      <c r="R164" s="5" t="s">
        <v>42</v>
      </c>
      <c r="S164" s="11">
        <v>4532</v>
      </c>
      <c r="T164" s="7" t="s">
        <v>43</v>
      </c>
      <c r="U164" s="5" t="s">
        <v>565</v>
      </c>
      <c r="V164" s="6">
        <f>'[1]V, inciso p) (OP)'!AM66</f>
        <v>42657</v>
      </c>
      <c r="W164" s="6">
        <f>'[1]V, inciso p) (OP)'!AN66</f>
        <v>42776</v>
      </c>
      <c r="X164" s="5" t="s">
        <v>671</v>
      </c>
      <c r="Y164" s="5" t="s">
        <v>334</v>
      </c>
      <c r="Z164" s="5" t="s">
        <v>133</v>
      </c>
      <c r="AA164" s="40" t="s">
        <v>40</v>
      </c>
      <c r="AB164" s="5" t="s">
        <v>40</v>
      </c>
    </row>
    <row r="165" spans="1:28" ht="81">
      <c r="A165" s="5">
        <v>2016</v>
      </c>
      <c r="B165" s="5" t="s">
        <v>30</v>
      </c>
      <c r="C165" s="79" t="str">
        <f>'[1]V, inciso p) (OP)'!D67</f>
        <v>DOPI-EST-CR-PAV-LP-105-2016</v>
      </c>
      <c r="D165" s="12">
        <f>'[1]V, inciso p) (OP)'!AD67</f>
        <v>42656</v>
      </c>
      <c r="E165" s="7"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65" s="7" t="s">
        <v>669</v>
      </c>
      <c r="G165" s="8">
        <f>'[1]V, inciso p) (OP)'!AG67</f>
        <v>7806734.9199999999</v>
      </c>
      <c r="H165" s="7" t="str">
        <f>'[1]V, inciso p) (OP)'!AS67</f>
        <v>Mesa Colorada</v>
      </c>
      <c r="I165" s="5" t="str">
        <f>'[1]V, inciso p) (OP)'!T67</f>
        <v>Felipe Daniel II</v>
      </c>
      <c r="J165" s="5" t="str">
        <f>'[1]V, inciso p) (OP)'!U67</f>
        <v>Nuñez</v>
      </c>
      <c r="K165" s="5" t="str">
        <f>'[1]V, inciso p) (OP)'!V67</f>
        <v>Pinzón</v>
      </c>
      <c r="L165" s="7" t="str">
        <f>'[1]V, inciso p) (OP)'!W67</f>
        <v>Grupo Nuveco, S.A. de C.V.</v>
      </c>
      <c r="M165" s="5" t="str">
        <f>'[1]V, inciso p) (OP)'!X67</f>
        <v>GNU120809KX1</v>
      </c>
      <c r="N165" s="8">
        <f t="shared" si="2"/>
        <v>7806734.9199999999</v>
      </c>
      <c r="O165" s="77" t="s">
        <v>40</v>
      </c>
      <c r="P165" s="5" t="s">
        <v>674</v>
      </c>
      <c r="Q165" s="8">
        <f>N165/5067</f>
        <v>1540.7015827906059</v>
      </c>
      <c r="R165" s="5" t="s">
        <v>42</v>
      </c>
      <c r="S165" s="11">
        <v>7873</v>
      </c>
      <c r="T165" s="7" t="s">
        <v>43</v>
      </c>
      <c r="U165" s="5" t="s">
        <v>565</v>
      </c>
      <c r="V165" s="6">
        <f>'[1]V, inciso p) (OP)'!AM67</f>
        <v>42657</v>
      </c>
      <c r="W165" s="6">
        <f>'[1]V, inciso p) (OP)'!AN67</f>
        <v>42776</v>
      </c>
      <c r="X165" s="5" t="s">
        <v>671</v>
      </c>
      <c r="Y165" s="5" t="s">
        <v>334</v>
      </c>
      <c r="Z165" s="5" t="s">
        <v>133</v>
      </c>
      <c r="AA165" s="53" t="s">
        <v>1387</v>
      </c>
      <c r="AB165" s="5" t="s">
        <v>40</v>
      </c>
    </row>
    <row r="166" spans="1:28" ht="81">
      <c r="A166" s="5">
        <v>2016</v>
      </c>
      <c r="B166" s="5" t="s">
        <v>30</v>
      </c>
      <c r="C166" s="79" t="str">
        <f>'[1]V, inciso p) (OP)'!D68</f>
        <v>DOPI-EST-CR-PAV-LP-106-2016</v>
      </c>
      <c r="D166" s="12">
        <f>'[1]V, inciso p) (OP)'!AD68</f>
        <v>42656</v>
      </c>
      <c r="E166" s="7" t="str">
        <f>'[1]V, inciso p) (OP)'!I68</f>
        <v>Reencarpetamiento de la Av. Santa Margarita de Periférico a Av. Tesistán, en la colonia Santa Margarita incluye: guarniciones, banquetas, renivelación de pozos y cajas, señalamiento vertical y horizontal, Municipio de Zapopan, Jalisco.</v>
      </c>
      <c r="F166" s="7" t="s">
        <v>669</v>
      </c>
      <c r="G166" s="8">
        <f>'[1]V, inciso p) (OP)'!AG68</f>
        <v>9033319.6300000008</v>
      </c>
      <c r="H166" s="7" t="str">
        <f>'[1]V, inciso p) (OP)'!AS68</f>
        <v>Colonia Santa Margarita</v>
      </c>
      <c r="I166" s="5" t="str">
        <f>'[1]V, inciso p) (OP)'!T68</f>
        <v>Ángel Salomón</v>
      </c>
      <c r="J166" s="5" t="str">
        <f>'[1]V, inciso p) (OP)'!U68</f>
        <v>Rincón</v>
      </c>
      <c r="K166" s="5" t="str">
        <f>'[1]V, inciso p) (OP)'!V68</f>
        <v>De la Rosa</v>
      </c>
      <c r="L166" s="7" t="str">
        <f>'[1]V, inciso p) (OP)'!W68</f>
        <v>Aro Asfaltos y Riegos de Occidente, S.A. de C.V.</v>
      </c>
      <c r="M166" s="5" t="str">
        <f>'[1]V, inciso p) (OP)'!X68</f>
        <v>AAR120507VA9</v>
      </c>
      <c r="N166" s="8">
        <f t="shared" si="2"/>
        <v>9033319.6300000008</v>
      </c>
      <c r="O166" s="77" t="s">
        <v>40</v>
      </c>
      <c r="P166" s="5" t="s">
        <v>675</v>
      </c>
      <c r="Q166" s="8">
        <f>N166/16200</f>
        <v>557.61232283950619</v>
      </c>
      <c r="R166" s="5" t="s">
        <v>42</v>
      </c>
      <c r="S166" s="11">
        <v>14561</v>
      </c>
      <c r="T166" s="7" t="s">
        <v>43</v>
      </c>
      <c r="U166" s="5" t="s">
        <v>565</v>
      </c>
      <c r="V166" s="6">
        <f>'[1]V, inciso p) (OP)'!AM68</f>
        <v>42657</v>
      </c>
      <c r="W166" s="6">
        <f>'[1]V, inciso p) (OP)'!AN68</f>
        <v>42746</v>
      </c>
      <c r="X166" s="5" t="s">
        <v>676</v>
      </c>
      <c r="Y166" s="5" t="s">
        <v>677</v>
      </c>
      <c r="Z166" s="5" t="s">
        <v>574</v>
      </c>
      <c r="AA166" s="40" t="s">
        <v>40</v>
      </c>
      <c r="AB166" s="5" t="s">
        <v>40</v>
      </c>
    </row>
    <row r="167" spans="1:28" ht="81">
      <c r="A167" s="5">
        <v>2016</v>
      </c>
      <c r="B167" s="5" t="s">
        <v>30</v>
      </c>
      <c r="C167" s="79" t="str">
        <f>'[1]V, inciso p) (OP)'!D69</f>
        <v>DOPI-EST-CR-PAV-LP-107-2016</v>
      </c>
      <c r="D167" s="12">
        <f>'[1]V, inciso p) (OP)'!AD69</f>
        <v>42656</v>
      </c>
      <c r="E167" s="7" t="str">
        <f>'[1]V, inciso p) (OP)'!I69</f>
        <v>Reencarpetamiento de la calle Santa Esther de Av. Acueducto a Periférico, primera etapa, en la colonia Santa Margarita, incluye: guarniciones, banquetas, renivelación de pozos y cajas, señalamiento vertical y horizontal, Municipio de Zapopan, Jalisco.</v>
      </c>
      <c r="F167" s="7" t="s">
        <v>669</v>
      </c>
      <c r="G167" s="8">
        <f>'[1]V, inciso p) (OP)'!AG69</f>
        <v>1679620.18</v>
      </c>
      <c r="H167" s="7" t="str">
        <f>'[1]V, inciso p) (OP)'!AS69</f>
        <v>Colonia Santa Margarita</v>
      </c>
      <c r="I167" s="5" t="str">
        <f>'[1]V, inciso p) (OP)'!T69</f>
        <v>Ángel Salomón</v>
      </c>
      <c r="J167" s="5" t="str">
        <f>'[1]V, inciso p) (OP)'!U69</f>
        <v>Rincón</v>
      </c>
      <c r="K167" s="5" t="str">
        <f>'[1]V, inciso p) (OP)'!V69</f>
        <v>De la Rosa</v>
      </c>
      <c r="L167" s="7" t="str">
        <f>'[1]V, inciso p) (OP)'!W69</f>
        <v>Aro Asfaltos y Riegos de Occidente, S.A. de C.V.</v>
      </c>
      <c r="M167" s="5" t="str">
        <f>'[1]V, inciso p) (OP)'!X69</f>
        <v>AAR120507VA9</v>
      </c>
      <c r="N167" s="8">
        <f t="shared" si="2"/>
        <v>1679620.18</v>
      </c>
      <c r="O167" s="77" t="s">
        <v>40</v>
      </c>
      <c r="P167" s="5" t="s">
        <v>678</v>
      </c>
      <c r="Q167" s="8">
        <f>N167/1894</f>
        <v>886.81107708553327</v>
      </c>
      <c r="R167" s="5" t="s">
        <v>42</v>
      </c>
      <c r="S167" s="11">
        <v>20613</v>
      </c>
      <c r="T167" s="7" t="s">
        <v>43</v>
      </c>
      <c r="U167" s="5" t="s">
        <v>565</v>
      </c>
      <c r="V167" s="6">
        <f>'[1]V, inciso p) (OP)'!AM69</f>
        <v>42657</v>
      </c>
      <c r="W167" s="6">
        <f>'[1]V, inciso p) (OP)'!AN69</f>
        <v>42746</v>
      </c>
      <c r="X167" s="5" t="s">
        <v>676</v>
      </c>
      <c r="Y167" s="5" t="s">
        <v>677</v>
      </c>
      <c r="Z167" s="5" t="s">
        <v>574</v>
      </c>
      <c r="AA167" s="53" t="s">
        <v>1388</v>
      </c>
      <c r="AB167" s="5" t="s">
        <v>40</v>
      </c>
    </row>
    <row r="168" spans="1:28" ht="81">
      <c r="A168" s="5">
        <v>2016</v>
      </c>
      <c r="B168" s="5" t="s">
        <v>30</v>
      </c>
      <c r="C168" s="79" t="str">
        <f>'[1]V, inciso p) (OP)'!D70</f>
        <v>DOPI-EST-CR-PAV-LP-108-2016</v>
      </c>
      <c r="D168" s="12">
        <f>'[1]V, inciso p) (OP)'!AD70</f>
        <v>42656</v>
      </c>
      <c r="E168" s="7" t="str">
        <f>'[1]V, inciso p) (OP)'!I70</f>
        <v>Reencarpetamiento de la calle Santa Esther de Periférico a Av. Santa Ana, primera etapa, en la colonia Santa Margarita, incluye: guarniciones, banquetas, renivelación de pozos y cajas, señalamiento vertical y horizontal, Municipio de Zapopan, Jalisco.</v>
      </c>
      <c r="F168" s="7" t="s">
        <v>669</v>
      </c>
      <c r="G168" s="8">
        <f>'[1]V, inciso p) (OP)'!AG70</f>
        <v>1797538.26</v>
      </c>
      <c r="H168" s="7" t="str">
        <f>'[1]V, inciso p) (OP)'!AS70</f>
        <v>Colonia Santa Margarita</v>
      </c>
      <c r="I168" s="5" t="str">
        <f>'[1]V, inciso p) (OP)'!T70</f>
        <v>Mario</v>
      </c>
      <c r="J168" s="5" t="str">
        <f>'[1]V, inciso p) (OP)'!U70</f>
        <v>Beltrán</v>
      </c>
      <c r="K168" s="5" t="str">
        <f>'[1]V, inciso p) (OP)'!V70</f>
        <v>Rodríguez</v>
      </c>
      <c r="L168" s="7" t="str">
        <f>'[1]V, inciso p) (OP)'!W70</f>
        <v xml:space="preserve">Constructora y Desarrolladora Barba y Asociados, S. A. de C. V. </v>
      </c>
      <c r="M168" s="5" t="str">
        <f>'[1]V, inciso p) (OP)'!X70</f>
        <v>CDB0506068Z4</v>
      </c>
      <c r="N168" s="8">
        <f t="shared" si="2"/>
        <v>1797538.26</v>
      </c>
      <c r="O168" s="77" t="s">
        <v>40</v>
      </c>
      <c r="P168" s="5" t="s">
        <v>679</v>
      </c>
      <c r="Q168" s="8">
        <f>N168/2001</f>
        <v>898.31997001499246</v>
      </c>
      <c r="R168" s="5" t="s">
        <v>42</v>
      </c>
      <c r="S168" s="11">
        <v>20613</v>
      </c>
      <c r="T168" s="7" t="s">
        <v>43</v>
      </c>
      <c r="U168" s="5" t="s">
        <v>565</v>
      </c>
      <c r="V168" s="6">
        <f>'[1]V, inciso p) (OP)'!AM70</f>
        <v>42657</v>
      </c>
      <c r="W168" s="6">
        <f>'[1]V, inciso p) (OP)'!AN70</f>
        <v>42746</v>
      </c>
      <c r="X168" s="5" t="s">
        <v>676</v>
      </c>
      <c r="Y168" s="5" t="s">
        <v>677</v>
      </c>
      <c r="Z168" s="5" t="s">
        <v>574</v>
      </c>
      <c r="AA168" s="53" t="s">
        <v>1242</v>
      </c>
      <c r="AB168" s="5" t="s">
        <v>40</v>
      </c>
    </row>
    <row r="169" spans="1:28" ht="94.5">
      <c r="A169" s="5">
        <v>2016</v>
      </c>
      <c r="B169" s="5" t="s">
        <v>30</v>
      </c>
      <c r="C169" s="79" t="str">
        <f>'[1]V, inciso p) (OP)'!D71</f>
        <v>DOPI-EST-CR-PAV-LP-109-2016</v>
      </c>
      <c r="D169" s="12">
        <f>'[1]V, inciso p) (OP)'!AD71</f>
        <v>42656</v>
      </c>
      <c r="E169" s="7"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69" s="7" t="s">
        <v>669</v>
      </c>
      <c r="G169" s="8">
        <f>'[1]V, inciso p) (OP)'!AG71</f>
        <v>9062555.0800000001</v>
      </c>
      <c r="H169" s="7" t="str">
        <f>'[1]V, inciso p) (OP)'!AS71</f>
        <v>Colonia La Martinica</v>
      </c>
      <c r="I169" s="5" t="str">
        <f>'[1]V, inciso p) (OP)'!T71</f>
        <v>Sergio Cesar</v>
      </c>
      <c r="J169" s="5" t="str">
        <f>'[1]V, inciso p) (OP)'!U71</f>
        <v>Diaz</v>
      </c>
      <c r="K169" s="5" t="str">
        <f>'[1]V, inciso p) (OP)'!V71</f>
        <v>Quiroz</v>
      </c>
      <c r="L169" s="7" t="str">
        <f>'[1]V, inciso p) (OP)'!W71</f>
        <v>Grupo Unicreto de México S.A. de C.V.</v>
      </c>
      <c r="M169" s="5" t="str">
        <f>'[1]V, inciso p) (OP)'!X71</f>
        <v>GUM111201IA5</v>
      </c>
      <c r="N169" s="8">
        <f t="shared" si="2"/>
        <v>9062555.0800000001</v>
      </c>
      <c r="O169" s="77" t="s">
        <v>40</v>
      </c>
      <c r="P169" s="5" t="s">
        <v>680</v>
      </c>
      <c r="Q169" s="8">
        <f>N169/7601</f>
        <v>1192.2845783449545</v>
      </c>
      <c r="R169" s="5" t="s">
        <v>42</v>
      </c>
      <c r="S169" s="11">
        <v>7133</v>
      </c>
      <c r="T169" s="7" t="s">
        <v>43</v>
      </c>
      <c r="U169" s="5" t="s">
        <v>565</v>
      </c>
      <c r="V169" s="6">
        <f>'[1]V, inciso p) (OP)'!AM71</f>
        <v>42657</v>
      </c>
      <c r="W169" s="6">
        <f>'[1]V, inciso p) (OP)'!AN71</f>
        <v>42746</v>
      </c>
      <c r="X169" s="5" t="s">
        <v>681</v>
      </c>
      <c r="Y169" s="5" t="s">
        <v>682</v>
      </c>
      <c r="Z169" s="5" t="s">
        <v>683</v>
      </c>
      <c r="AA169" s="40" t="s">
        <v>40</v>
      </c>
      <c r="AB169" s="5" t="s">
        <v>40</v>
      </c>
    </row>
    <row r="170" spans="1:28" ht="94.5">
      <c r="A170" s="5">
        <v>2016</v>
      </c>
      <c r="B170" s="5" t="s">
        <v>30</v>
      </c>
      <c r="C170" s="79" t="str">
        <f>'[1]V, inciso p) (OP)'!D72</f>
        <v>DOPI-EST-CR-PAV-LP-110-2016</v>
      </c>
      <c r="D170" s="12">
        <f>'[1]V, inciso p) (OP)'!AD72</f>
        <v>42656</v>
      </c>
      <c r="E170" s="7"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70" s="7" t="s">
        <v>669</v>
      </c>
      <c r="G170" s="8">
        <f>'[1]V, inciso p) (OP)'!AG72</f>
        <v>7061595.75</v>
      </c>
      <c r="H170" s="7" t="str">
        <f>'[1]V, inciso p) (OP)'!AS72</f>
        <v>Colonia Parque del Auditorio</v>
      </c>
      <c r="I170" s="5" t="str">
        <f>'[1]V, inciso p) (OP)'!T72</f>
        <v>Sergio Cesar</v>
      </c>
      <c r="J170" s="5" t="str">
        <f>'[1]V, inciso p) (OP)'!U72</f>
        <v>Díaz</v>
      </c>
      <c r="K170" s="5" t="str">
        <f>'[1]V, inciso p) (OP)'!V72</f>
        <v>Quiroz</v>
      </c>
      <c r="L170" s="7" t="str">
        <f>'[1]V, inciso p) (OP)'!W72</f>
        <v>Transcreto S.A. de C.V.</v>
      </c>
      <c r="M170" s="5" t="str">
        <f>'[1]V, inciso p) (OP)'!X72</f>
        <v>TRA750528286</v>
      </c>
      <c r="N170" s="8">
        <f t="shared" si="2"/>
        <v>7061595.75</v>
      </c>
      <c r="O170" s="77" t="s">
        <v>40</v>
      </c>
      <c r="P170" s="5" t="s">
        <v>566</v>
      </c>
      <c r="Q170" s="8">
        <f>N170/4400</f>
        <v>1604.9081249999999</v>
      </c>
      <c r="R170" s="5" t="s">
        <v>42</v>
      </c>
      <c r="S170" s="11">
        <v>7692</v>
      </c>
      <c r="T170" s="7" t="s">
        <v>43</v>
      </c>
      <c r="U170" s="5" t="s">
        <v>565</v>
      </c>
      <c r="V170" s="6">
        <f>'[1]V, inciso p) (OP)'!AM72</f>
        <v>42657</v>
      </c>
      <c r="W170" s="6">
        <f>'[1]V, inciso p) (OP)'!AN72</f>
        <v>42746</v>
      </c>
      <c r="X170" s="5" t="s">
        <v>681</v>
      </c>
      <c r="Y170" s="5" t="s">
        <v>682</v>
      </c>
      <c r="Z170" s="5" t="s">
        <v>683</v>
      </c>
      <c r="AA170" s="40" t="s">
        <v>40</v>
      </c>
      <c r="AB170" s="5" t="s">
        <v>40</v>
      </c>
    </row>
    <row r="171" spans="1:28" ht="40.5">
      <c r="A171" s="5">
        <v>2016</v>
      </c>
      <c r="B171" s="5" t="s">
        <v>30</v>
      </c>
      <c r="C171" s="79" t="str">
        <f>'[1]V, inciso p) (OP)'!D73</f>
        <v>DOPI-EST-CR-PAV-LP-111-2016</v>
      </c>
      <c r="D171" s="12">
        <f>'[1]V, inciso p) (OP)'!AD73</f>
        <v>42656</v>
      </c>
      <c r="E171" s="7" t="str">
        <f>'[1]V, inciso p) (OP)'!I73</f>
        <v>Sustitución de losas en la colonia Parque del Auditorio, Municipio de Zapopan, Jalisco.</v>
      </c>
      <c r="F171" s="7" t="s">
        <v>669</v>
      </c>
      <c r="G171" s="8">
        <f>'[1]V, inciso p) (OP)'!AG73</f>
        <v>1331822.1599999999</v>
      </c>
      <c r="H171" s="7" t="str">
        <f>'[1]V, inciso p) (OP)'!AS73</f>
        <v>Colonia Parque del Auditorio</v>
      </c>
      <c r="I171" s="5" t="str">
        <f>'[1]V, inciso p) (OP)'!T73</f>
        <v>Mario</v>
      </c>
      <c r="J171" s="5" t="str">
        <f>'[1]V, inciso p) (OP)'!U73</f>
        <v>Beltrán</v>
      </c>
      <c r="K171" s="5" t="str">
        <f>'[1]V, inciso p) (OP)'!V73</f>
        <v>Rodríguez</v>
      </c>
      <c r="L171" s="7" t="str">
        <f>'[1]V, inciso p) (OP)'!W73</f>
        <v xml:space="preserve">Constructora y Desarrolladora Barba y Asociados, S. A. de C. V. </v>
      </c>
      <c r="M171" s="5" t="str">
        <f>'[1]V, inciso p) (OP)'!X73</f>
        <v>CDB0506068Z4</v>
      </c>
      <c r="N171" s="8">
        <f t="shared" si="2"/>
        <v>1331822.1599999999</v>
      </c>
      <c r="O171" s="77" t="s">
        <v>40</v>
      </c>
      <c r="P171" s="5" t="s">
        <v>684</v>
      </c>
      <c r="Q171" s="8">
        <f>N171/177</f>
        <v>7524.4189830508467</v>
      </c>
      <c r="R171" s="5" t="s">
        <v>42</v>
      </c>
      <c r="S171" s="11">
        <v>4462</v>
      </c>
      <c r="T171" s="7" t="s">
        <v>43</v>
      </c>
      <c r="U171" s="5" t="s">
        <v>565</v>
      </c>
      <c r="V171" s="6">
        <f>'[1]V, inciso p) (OP)'!AM73</f>
        <v>42657</v>
      </c>
      <c r="W171" s="6">
        <f>'[1]V, inciso p) (OP)'!AN73</f>
        <v>42746</v>
      </c>
      <c r="X171" s="5" t="s">
        <v>681</v>
      </c>
      <c r="Y171" s="5" t="s">
        <v>682</v>
      </c>
      <c r="Z171" s="5" t="s">
        <v>683</v>
      </c>
      <c r="AA171" s="40" t="s">
        <v>40</v>
      </c>
      <c r="AB171" s="5" t="s">
        <v>40</v>
      </c>
    </row>
    <row r="172" spans="1:28" ht="67.5">
      <c r="A172" s="5">
        <v>2016</v>
      </c>
      <c r="B172" s="5" t="s">
        <v>30</v>
      </c>
      <c r="C172" s="79" t="str">
        <f>'[1]V, inciso p) (OP)'!D74</f>
        <v>DOPI-EST-CR-PAV-LP-112-2016</v>
      </c>
      <c r="D172" s="12">
        <f>'[1]V, inciso p) (OP)'!AD74</f>
        <v>42656</v>
      </c>
      <c r="E172" s="7" t="str">
        <f>'[1]V, inciso p) (OP)'!I74</f>
        <v>Construcción de la primera etapa de la calle 20 de Enero de calle Juan Santibañez a Juan Diego con concreto hidráulico en San Juan de Ocotán, incluye: guarniciones, banquetas y alumbrado público, Municipio de Zapopan, Jalisco.</v>
      </c>
      <c r="F172" s="7" t="s">
        <v>669</v>
      </c>
      <c r="G172" s="8">
        <f>'[1]V, inciso p) (OP)'!AG74</f>
        <v>3129979.51</v>
      </c>
      <c r="H172" s="7" t="str">
        <f>'[1]V, inciso p) (OP)'!AS74</f>
        <v>San Juan de Ocotán</v>
      </c>
      <c r="I172" s="5" t="str">
        <f>'[1]V, inciso p) (OP)'!T74</f>
        <v>Omar</v>
      </c>
      <c r="J172" s="5" t="str">
        <f>'[1]V, inciso p) (OP)'!U74</f>
        <v>Mora</v>
      </c>
      <c r="K172" s="5" t="str">
        <f>'[1]V, inciso p) (OP)'!V74</f>
        <v>Montes de Oca</v>
      </c>
      <c r="L172" s="7" t="str">
        <f>'[1]V, inciso p) (OP)'!W74</f>
        <v>Dommont Construcciones, S.A. de C.V.</v>
      </c>
      <c r="M172" s="5" t="str">
        <f>'[1]V, inciso p) (OP)'!X74</f>
        <v>DCO130215C16</v>
      </c>
      <c r="N172" s="8">
        <f t="shared" si="2"/>
        <v>3129979.51</v>
      </c>
      <c r="O172" s="77" t="s">
        <v>40</v>
      </c>
      <c r="P172" s="5" t="s">
        <v>685</v>
      </c>
      <c r="Q172" s="8">
        <f>N172/2130</f>
        <v>1469.4739483568073</v>
      </c>
      <c r="R172" s="5" t="s">
        <v>42</v>
      </c>
      <c r="S172" s="11">
        <v>5581</v>
      </c>
      <c r="T172" s="7" t="s">
        <v>43</v>
      </c>
      <c r="U172" s="5" t="s">
        <v>565</v>
      </c>
      <c r="V172" s="6">
        <f>'[1]V, inciso p) (OP)'!AM74</f>
        <v>42657</v>
      </c>
      <c r="W172" s="6">
        <f>'[1]V, inciso p) (OP)'!AN74</f>
        <v>42776</v>
      </c>
      <c r="X172" s="5" t="s">
        <v>686</v>
      </c>
      <c r="Y172" s="5" t="s">
        <v>687</v>
      </c>
      <c r="Z172" s="5" t="s">
        <v>268</v>
      </c>
      <c r="AA172" s="40" t="s">
        <v>40</v>
      </c>
      <c r="AB172" s="5" t="s">
        <v>40</v>
      </c>
    </row>
    <row r="173" spans="1:28" ht="67.5">
      <c r="A173" s="5">
        <v>2016</v>
      </c>
      <c r="B173" s="5" t="s">
        <v>30</v>
      </c>
      <c r="C173" s="79" t="str">
        <f>'[1]V, inciso p) (OP)'!D75</f>
        <v>DOPI-EST-CR-PAV-LP-113-2016</v>
      </c>
      <c r="D173" s="12">
        <f>'[1]V, inciso p) (OP)'!AD75</f>
        <v>42656</v>
      </c>
      <c r="E173" s="7" t="str">
        <f>'[1]V, inciso p) (OP)'!I75</f>
        <v>Construcción de la primera etapa de la calle Juan Diego de calle Hidalgo a calle Parral con concreto hidráulico en San Juan de Ocotán, incluye: guarniciones, banquetas y alumbrado público, Municipio de Zapopan, Jalisco.</v>
      </c>
      <c r="F173" s="7" t="s">
        <v>669</v>
      </c>
      <c r="G173" s="8">
        <f>'[1]V, inciso p) (OP)'!AG75</f>
        <v>1410912.86</v>
      </c>
      <c r="H173" s="7" t="str">
        <f>'[1]V, inciso p) (OP)'!AS75</f>
        <v>San Juan de Ocotán</v>
      </c>
      <c r="I173" s="5" t="str">
        <f>'[1]V, inciso p) (OP)'!T75</f>
        <v>Julio Eduardo</v>
      </c>
      <c r="J173" s="5" t="str">
        <f>'[1]V, inciso p) (OP)'!U75</f>
        <v>López</v>
      </c>
      <c r="K173" s="5" t="str">
        <f>'[1]V, inciso p) (OP)'!V75</f>
        <v>Pérez</v>
      </c>
      <c r="L173" s="7" t="str">
        <f>'[1]V, inciso p) (OP)'!W75</f>
        <v>Proyectos e Insumos Industriales Jelp, S.A. de C.V.</v>
      </c>
      <c r="M173" s="5" t="str">
        <f>'[1]V, inciso p) (OP)'!X75</f>
        <v>PEI020208RW0</v>
      </c>
      <c r="N173" s="8">
        <f t="shared" si="2"/>
        <v>1410912.86</v>
      </c>
      <c r="O173" s="77" t="s">
        <v>40</v>
      </c>
      <c r="P173" s="5" t="s">
        <v>688</v>
      </c>
      <c r="Q173" s="8">
        <f>N173/846</f>
        <v>1667.7456973995272</v>
      </c>
      <c r="R173" s="5" t="s">
        <v>42</v>
      </c>
      <c r="S173" s="11">
        <v>5581</v>
      </c>
      <c r="T173" s="7" t="s">
        <v>43</v>
      </c>
      <c r="U173" s="5" t="s">
        <v>565</v>
      </c>
      <c r="V173" s="6">
        <f>'[1]V, inciso p) (OP)'!AM75</f>
        <v>42657</v>
      </c>
      <c r="W173" s="6">
        <f>'[1]V, inciso p) (OP)'!AN75</f>
        <v>42776</v>
      </c>
      <c r="X173" s="5" t="s">
        <v>686</v>
      </c>
      <c r="Y173" s="5" t="s">
        <v>687</v>
      </c>
      <c r="Z173" s="5" t="s">
        <v>268</v>
      </c>
      <c r="AA173" s="40" t="s">
        <v>40</v>
      </c>
      <c r="AB173" s="5" t="s">
        <v>40</v>
      </c>
    </row>
    <row r="174" spans="1:28" ht="67.5">
      <c r="A174" s="5">
        <v>2016</v>
      </c>
      <c r="B174" s="5" t="s">
        <v>30</v>
      </c>
      <c r="C174" s="79" t="str">
        <f>'[1]V, inciso p) (OP)'!D76</f>
        <v>DOPI-EST-CR-PAV-LP-114-2016</v>
      </c>
      <c r="D174" s="12">
        <f>'[1]V, inciso p) (OP)'!AD76</f>
        <v>42656</v>
      </c>
      <c r="E174" s="7" t="str">
        <f>'[1]V, inciso p) (OP)'!I76</f>
        <v>Construcción de la primera etapa de la calle Hidalgo de calle Juan Santibañez a calle Parral 3, con concreto hidráulico en San Juan de Ocotán, incluye: guarniciones, banquetas y alumbrado público, Municipio de Zapopan, Jalisco.</v>
      </c>
      <c r="F174" s="7" t="s">
        <v>669</v>
      </c>
      <c r="G174" s="8">
        <f>'[1]V, inciso p) (OP)'!AG76</f>
        <v>5333222.53</v>
      </c>
      <c r="H174" s="7" t="str">
        <f>'[1]V, inciso p) (OP)'!AS76</f>
        <v>San Juan de Ocotán</v>
      </c>
      <c r="I174" s="5" t="str">
        <f>'[1]V, inciso p) (OP)'!T76</f>
        <v>Jorge Hugo</v>
      </c>
      <c r="J174" s="5" t="str">
        <f>'[1]V, inciso p) (OP)'!U76</f>
        <v>López</v>
      </c>
      <c r="K174" s="5" t="str">
        <f>'[1]V, inciso p) (OP)'!V76</f>
        <v>Pérez</v>
      </c>
      <c r="L174" s="7" t="str">
        <f>'[1]V, inciso p) (OP)'!W76</f>
        <v>Control de Calidad de Materiales San Agustin de Hipona, S.A. de C.V.</v>
      </c>
      <c r="M174" s="5" t="str">
        <f>'[1]V, inciso p) (OP)'!X76</f>
        <v>CCM130405AY1</v>
      </c>
      <c r="N174" s="8">
        <f t="shared" si="2"/>
        <v>5333222.53</v>
      </c>
      <c r="O174" s="77" t="s">
        <v>40</v>
      </c>
      <c r="P174" s="5" t="s">
        <v>689</v>
      </c>
      <c r="Q174" s="8">
        <f>N174/3876</f>
        <v>1375.9604050567596</v>
      </c>
      <c r="R174" s="5" t="s">
        <v>42</v>
      </c>
      <c r="S174" s="11">
        <v>5581</v>
      </c>
      <c r="T174" s="7" t="s">
        <v>43</v>
      </c>
      <c r="U174" s="5" t="s">
        <v>565</v>
      </c>
      <c r="V174" s="6">
        <f>'[1]V, inciso p) (OP)'!AM76</f>
        <v>42657</v>
      </c>
      <c r="W174" s="6">
        <f>'[1]V, inciso p) (OP)'!AN76</f>
        <v>42776</v>
      </c>
      <c r="X174" s="5" t="s">
        <v>686</v>
      </c>
      <c r="Y174" s="5" t="s">
        <v>687</v>
      </c>
      <c r="Z174" s="5" t="s">
        <v>268</v>
      </c>
      <c r="AA174" s="40" t="s">
        <v>40</v>
      </c>
      <c r="AB174" s="5" t="s">
        <v>40</v>
      </c>
    </row>
    <row r="175" spans="1:28" ht="81">
      <c r="A175" s="5">
        <v>2016</v>
      </c>
      <c r="B175" s="5" t="s">
        <v>30</v>
      </c>
      <c r="C175" s="79" t="str">
        <f>'[1]V, inciso p) (OP)'!D77</f>
        <v>DOPI-EST-CR-PAV-LP-115-2016</v>
      </c>
      <c r="D175" s="12">
        <f>'[1]V, inciso p) (OP)'!AD77</f>
        <v>42656</v>
      </c>
      <c r="E175" s="7"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75" s="7" t="s">
        <v>669</v>
      </c>
      <c r="G175" s="8">
        <f>'[1]V, inciso p) (OP)'!AG77</f>
        <v>1012796.53</v>
      </c>
      <c r="H175" s="7" t="str">
        <f>'[1]V, inciso p) (OP)'!AS77</f>
        <v>Santa Ana Tepetitlán</v>
      </c>
      <c r="I175" s="5" t="str">
        <f>'[1]V, inciso p) (OP)'!T77</f>
        <v>Luis Armando</v>
      </c>
      <c r="J175" s="5" t="str">
        <f>'[1]V, inciso p) (OP)'!U77</f>
        <v>Linares</v>
      </c>
      <c r="K175" s="5" t="str">
        <f>'[1]V, inciso p) (OP)'!V77</f>
        <v>Cacho</v>
      </c>
      <c r="L175" s="7" t="str">
        <f>'[1]V, inciso p) (OP)'!W77</f>
        <v>Urbanizadora y Constructora Roal, S.A. de C.V.</v>
      </c>
      <c r="M175" s="5" t="str">
        <f>'[1]V, inciso p) (OP)'!X77</f>
        <v>URC160310857</v>
      </c>
      <c r="N175" s="8">
        <f t="shared" si="2"/>
        <v>1012796.53</v>
      </c>
      <c r="O175" s="77" t="s">
        <v>40</v>
      </c>
      <c r="P175" s="5" t="s">
        <v>690</v>
      </c>
      <c r="Q175" s="8">
        <f>N175/420</f>
        <v>2411.4203095238095</v>
      </c>
      <c r="R175" s="5" t="s">
        <v>42</v>
      </c>
      <c r="S175" s="11">
        <v>5780</v>
      </c>
      <c r="T175" s="7" t="s">
        <v>43</v>
      </c>
      <c r="U175" s="5" t="s">
        <v>565</v>
      </c>
      <c r="V175" s="6">
        <f>'[1]V, inciso p) (OP)'!AM77</f>
        <v>42657</v>
      </c>
      <c r="W175" s="6">
        <f>'[1]V, inciso p) (OP)'!AN77</f>
        <v>42776</v>
      </c>
      <c r="X175" s="5" t="s">
        <v>536</v>
      </c>
      <c r="Y175" s="5" t="s">
        <v>383</v>
      </c>
      <c r="Z175" s="5" t="s">
        <v>300</v>
      </c>
      <c r="AA175" s="40" t="s">
        <v>40</v>
      </c>
      <c r="AB175" s="5" t="s">
        <v>40</v>
      </c>
    </row>
    <row r="176" spans="1:28" ht="81">
      <c r="A176" s="5">
        <v>2016</v>
      </c>
      <c r="B176" s="5" t="s">
        <v>30</v>
      </c>
      <c r="C176" s="79" t="str">
        <f>'[1]V, inciso p) (OP)'!D78</f>
        <v>DOPI-EST-CR-PAV-LP-116-2016</v>
      </c>
      <c r="D176" s="12">
        <f>'[1]V, inciso p) (OP)'!AD78</f>
        <v>42656</v>
      </c>
      <c r="E176" s="7"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76" s="7" t="s">
        <v>669</v>
      </c>
      <c r="G176" s="8">
        <f>'[1]V, inciso p) (OP)'!AG78</f>
        <v>6796856.54</v>
      </c>
      <c r="H176" s="7" t="str">
        <f>'[1]V, inciso p) (OP)'!AS78</f>
        <v>Santa Ana Tepetitlán</v>
      </c>
      <c r="I176" s="5" t="str">
        <f>'[1]V, inciso p) (OP)'!T78</f>
        <v>Julio Eduardo</v>
      </c>
      <c r="J176" s="5" t="str">
        <f>'[1]V, inciso p) (OP)'!U78</f>
        <v>López</v>
      </c>
      <c r="K176" s="5" t="str">
        <f>'[1]V, inciso p) (OP)'!V78</f>
        <v>Pérez</v>
      </c>
      <c r="L176" s="7" t="str">
        <f>'[1]V, inciso p) (OP)'!W78</f>
        <v>Proyectos e Insumos Industriales Jelp, S.A. de C.V.</v>
      </c>
      <c r="M176" s="5" t="str">
        <f>'[1]V, inciso p) (OP)'!X78</f>
        <v>PEI020208RW0</v>
      </c>
      <c r="N176" s="8">
        <f t="shared" si="2"/>
        <v>6796856.54</v>
      </c>
      <c r="O176" s="77" t="s">
        <v>40</v>
      </c>
      <c r="P176" s="5" t="s">
        <v>691</v>
      </c>
      <c r="Q176" s="8">
        <f>N176/3503</f>
        <v>1940.29590065658</v>
      </c>
      <c r="R176" s="5" t="s">
        <v>42</v>
      </c>
      <c r="S176" s="11">
        <v>5780</v>
      </c>
      <c r="T176" s="7" t="s">
        <v>43</v>
      </c>
      <c r="U176" s="5" t="s">
        <v>565</v>
      </c>
      <c r="V176" s="6">
        <f>'[1]V, inciso p) (OP)'!AM78</f>
        <v>42657</v>
      </c>
      <c r="W176" s="6">
        <f>'[1]V, inciso p) (OP)'!AN78</f>
        <v>42776</v>
      </c>
      <c r="X176" s="5" t="s">
        <v>536</v>
      </c>
      <c r="Y176" s="5" t="s">
        <v>383</v>
      </c>
      <c r="Z176" s="5" t="s">
        <v>300</v>
      </c>
      <c r="AA176" s="40" t="s">
        <v>40</v>
      </c>
      <c r="AB176" s="5" t="s">
        <v>40</v>
      </c>
    </row>
    <row r="177" spans="1:28" ht="81">
      <c r="A177" s="5">
        <v>2016</v>
      </c>
      <c r="B177" s="5" t="s">
        <v>30</v>
      </c>
      <c r="C177" s="79" t="str">
        <f>'[1]V, inciso p) (OP)'!D79</f>
        <v>DOPI-EST-CR-PAV-LP-117-2016</v>
      </c>
      <c r="D177" s="12">
        <f>'[1]V, inciso p) (OP)'!AD79</f>
        <v>42656</v>
      </c>
      <c r="E177" s="7"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77" s="7" t="s">
        <v>669</v>
      </c>
      <c r="G177" s="8">
        <f>'[1]V, inciso p) (OP)'!AG79</f>
        <v>1329275.32</v>
      </c>
      <c r="H177" s="7" t="str">
        <f>'[1]V, inciso p) (OP)'!AS79</f>
        <v>Santa Ana Tepetitlán</v>
      </c>
      <c r="I177" s="5" t="str">
        <f>'[1]V, inciso p) (OP)'!T79</f>
        <v>Bernardo</v>
      </c>
      <c r="J177" s="5" t="str">
        <f>'[1]V, inciso p) (OP)'!U79</f>
        <v>Saenz</v>
      </c>
      <c r="K177" s="5" t="str">
        <f>'[1]V, inciso p) (OP)'!V79</f>
        <v>Barba</v>
      </c>
      <c r="L177" s="7" t="str">
        <f>'[1]V, inciso p) (OP)'!W79</f>
        <v>Grupo Edificador Mayab, S.A. de C.V.</v>
      </c>
      <c r="M177" s="5" t="str">
        <f>'[1]V, inciso p) (OP)'!X79</f>
        <v>GEM070112PX8</v>
      </c>
      <c r="N177" s="8">
        <f t="shared" si="2"/>
        <v>1329275.32</v>
      </c>
      <c r="O177" s="77" t="s">
        <v>40</v>
      </c>
      <c r="P177" s="5" t="s">
        <v>692</v>
      </c>
      <c r="Q177" s="8">
        <f>N177/720</f>
        <v>1846.2157222222222</v>
      </c>
      <c r="R177" s="5" t="s">
        <v>42</v>
      </c>
      <c r="S177" s="11">
        <v>3736</v>
      </c>
      <c r="T177" s="7" t="s">
        <v>43</v>
      </c>
      <c r="U177" s="5" t="s">
        <v>565</v>
      </c>
      <c r="V177" s="6">
        <f>'[1]V, inciso p) (OP)'!AM79</f>
        <v>42657</v>
      </c>
      <c r="W177" s="6">
        <f>'[1]V, inciso p) (OP)'!AN79</f>
        <v>42776</v>
      </c>
      <c r="X177" s="5" t="s">
        <v>536</v>
      </c>
      <c r="Y177" s="5" t="s">
        <v>383</v>
      </c>
      <c r="Z177" s="5" t="s">
        <v>300</v>
      </c>
      <c r="AA177" s="40" t="s">
        <v>40</v>
      </c>
      <c r="AB177" s="5" t="s">
        <v>40</v>
      </c>
    </row>
    <row r="178" spans="1:28" ht="81">
      <c r="A178" s="5">
        <v>2016</v>
      </c>
      <c r="B178" s="5" t="s">
        <v>30</v>
      </c>
      <c r="C178" s="79" t="str">
        <f>'[1]V, inciso p) (OP)'!D80</f>
        <v>DOPI-EST-CR-PAV-LP-118-2016</v>
      </c>
      <c r="D178" s="12">
        <f>'[1]V, inciso p) (OP)'!AD80</f>
        <v>42656</v>
      </c>
      <c r="E178" s="7"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78" s="7" t="s">
        <v>669</v>
      </c>
      <c r="G178" s="8">
        <f>'[1]V, inciso p) (OP)'!AG80</f>
        <v>670861.71</v>
      </c>
      <c r="H178" s="7" t="str">
        <f>'[1]V, inciso p) (OP)'!AS80</f>
        <v>Santa Ana Tepetitlán</v>
      </c>
      <c r="I178" s="5" t="str">
        <f>'[1]V, inciso p) (OP)'!T80</f>
        <v>Bernardo</v>
      </c>
      <c r="J178" s="5" t="str">
        <f>'[1]V, inciso p) (OP)'!U80</f>
        <v>Saenz</v>
      </c>
      <c r="K178" s="5" t="str">
        <f>'[1]V, inciso p) (OP)'!V80</f>
        <v>Barba</v>
      </c>
      <c r="L178" s="7" t="str">
        <f>'[1]V, inciso p) (OP)'!W80</f>
        <v>Grupo Edificador Mayab, S.A. de C.V.</v>
      </c>
      <c r="M178" s="5" t="str">
        <f>'[1]V, inciso p) (OP)'!X80</f>
        <v>GEM070112PX8</v>
      </c>
      <c r="N178" s="8">
        <f t="shared" si="2"/>
        <v>670861.71</v>
      </c>
      <c r="O178" s="77" t="s">
        <v>40</v>
      </c>
      <c r="P178" s="5" t="s">
        <v>693</v>
      </c>
      <c r="Q178" s="8">
        <f>N178/240</f>
        <v>2795.2571249999996</v>
      </c>
      <c r="R178" s="5" t="s">
        <v>42</v>
      </c>
      <c r="S178" s="11">
        <v>3736</v>
      </c>
      <c r="T178" s="7" t="s">
        <v>43</v>
      </c>
      <c r="U178" s="5" t="s">
        <v>565</v>
      </c>
      <c r="V178" s="6">
        <f>'[1]V, inciso p) (OP)'!AM80</f>
        <v>42657</v>
      </c>
      <c r="W178" s="6">
        <f>'[1]V, inciso p) (OP)'!AN80</f>
        <v>42776</v>
      </c>
      <c r="X178" s="5" t="s">
        <v>536</v>
      </c>
      <c r="Y178" s="5" t="s">
        <v>383</v>
      </c>
      <c r="Z178" s="5" t="s">
        <v>300</v>
      </c>
      <c r="AA178" s="40" t="s">
        <v>40</v>
      </c>
      <c r="AB178" s="5" t="s">
        <v>40</v>
      </c>
    </row>
    <row r="179" spans="1:28" ht="54">
      <c r="A179" s="5">
        <v>2016</v>
      </c>
      <c r="B179" s="5" t="s">
        <v>30</v>
      </c>
      <c r="C179" s="79" t="str">
        <f>'[1]V, inciso p) (OP)'!D81</f>
        <v>DOPI-EST-FC-PAV-LP-119-2016</v>
      </c>
      <c r="D179" s="12">
        <f>'[1]V, inciso p) (OP)'!AD81</f>
        <v>42656</v>
      </c>
      <c r="E179" s="7" t="str">
        <f>'[1]V, inciso p) (OP)'!I81</f>
        <v>Primera etapa de reencarpetamiento de Circuito Madrigal, de Av. Patria a Circuito. Madrigal, Municipio de Zapopan, Jalisco.</v>
      </c>
      <c r="F179" s="7" t="s">
        <v>669</v>
      </c>
      <c r="G179" s="8">
        <f>'[1]V, inciso p) (OP)'!AG81</f>
        <v>8383533</v>
      </c>
      <c r="H179" s="7" t="str">
        <f>'[1]V, inciso p) (OP)'!AS81</f>
        <v>Colonia Santa Isabel</v>
      </c>
      <c r="I179" s="5" t="str">
        <f>'[1]V, inciso p) (OP)'!T81</f>
        <v>Ángel Salomón</v>
      </c>
      <c r="J179" s="5" t="str">
        <f>'[1]V, inciso p) (OP)'!U81</f>
        <v>Rincón</v>
      </c>
      <c r="K179" s="5" t="str">
        <f>'[1]V, inciso p) (OP)'!V81</f>
        <v>De la Rosa</v>
      </c>
      <c r="L179" s="7" t="str">
        <f>'[1]V, inciso p) (OP)'!W81</f>
        <v>Aro Asfaltos y Riegos de Occidente, S.A. de C.V.</v>
      </c>
      <c r="M179" s="5" t="str">
        <f>'[1]V, inciso p) (OP)'!X81</f>
        <v>AAR120507VA9</v>
      </c>
      <c r="N179" s="8">
        <f t="shared" si="2"/>
        <v>8383533</v>
      </c>
      <c r="O179" s="77" t="s">
        <v>40</v>
      </c>
      <c r="P179" s="5" t="s">
        <v>694</v>
      </c>
      <c r="Q179" s="8">
        <f>N179/16290</f>
        <v>514.6429097605893</v>
      </c>
      <c r="R179" s="5" t="s">
        <v>42</v>
      </c>
      <c r="S179" s="11">
        <v>6077</v>
      </c>
      <c r="T179" s="7" t="s">
        <v>43</v>
      </c>
      <c r="U179" s="5" t="s">
        <v>565</v>
      </c>
      <c r="V179" s="6">
        <f>'[1]V, inciso p) (OP)'!AM81</f>
        <v>42657</v>
      </c>
      <c r="W179" s="6">
        <f>'[1]V, inciso p) (OP)'!AN81</f>
        <v>42776</v>
      </c>
      <c r="X179" s="5" t="s">
        <v>586</v>
      </c>
      <c r="Y179" s="5" t="s">
        <v>404</v>
      </c>
      <c r="Z179" s="5" t="s">
        <v>405</v>
      </c>
      <c r="AA179" s="53" t="s">
        <v>1389</v>
      </c>
      <c r="AB179" s="5" t="s">
        <v>40</v>
      </c>
    </row>
    <row r="180" spans="1:28" ht="54">
      <c r="A180" s="5">
        <v>2016</v>
      </c>
      <c r="B180" s="5" t="s">
        <v>30</v>
      </c>
      <c r="C180" s="79" t="str">
        <f>'[1]V, inciso p) (OP)'!D82</f>
        <v>DOPI-EST-FC-PAV-LP-120-2016</v>
      </c>
      <c r="D180" s="12">
        <f>'[1]V, inciso p) (OP)'!AD82</f>
        <v>42656</v>
      </c>
      <c r="E180" s="7" t="str">
        <f>'[1]V, inciso p) (OP)'!I82</f>
        <v>Primera etapa de modernización de Prolongación Av. Guadalupe, de Prolongación Mariano Otero al Arroyo El Garabato, Municipio de Zapopan, Jalisco.</v>
      </c>
      <c r="F180" s="7" t="s">
        <v>669</v>
      </c>
      <c r="G180" s="8">
        <f>'[1]V, inciso p) (OP)'!AG82</f>
        <v>6899699.6900000004</v>
      </c>
      <c r="H180" s="7" t="str">
        <f>'[1]V, inciso p) (OP)'!AS82</f>
        <v>Colonia El Fortín</v>
      </c>
      <c r="I180" s="5" t="str">
        <f>'[1]V, inciso p) (OP)'!T82</f>
        <v>Sergio Cesar</v>
      </c>
      <c r="J180" s="5" t="str">
        <f>'[1]V, inciso p) (OP)'!U82</f>
        <v>Diaz</v>
      </c>
      <c r="K180" s="5" t="str">
        <f>'[1]V, inciso p) (OP)'!V82</f>
        <v>Quiroz</v>
      </c>
      <c r="L180" s="7" t="str">
        <f>'[1]V, inciso p) (OP)'!W82</f>
        <v>Grupo Unicreto de México S.A. de C.V.</v>
      </c>
      <c r="M180" s="5" t="str">
        <f>'[1]V, inciso p) (OP)'!X82</f>
        <v>GUM111201IA5</v>
      </c>
      <c r="N180" s="8">
        <f t="shared" si="2"/>
        <v>6899699.6900000004</v>
      </c>
      <c r="O180" s="77" t="s">
        <v>40</v>
      </c>
      <c r="P180" s="5" t="s">
        <v>695</v>
      </c>
      <c r="Q180" s="8">
        <f>N180/4814</f>
        <v>1433.2571022019113</v>
      </c>
      <c r="R180" s="5" t="s">
        <v>42</v>
      </c>
      <c r="S180" s="11">
        <v>5783</v>
      </c>
      <c r="T180" s="7" t="s">
        <v>43</v>
      </c>
      <c r="U180" s="5" t="s">
        <v>565</v>
      </c>
      <c r="V180" s="6">
        <f>'[1]V, inciso p) (OP)'!AM82</f>
        <v>42657</v>
      </c>
      <c r="W180" s="6">
        <f>'[1]V, inciso p) (OP)'!AN82</f>
        <v>42776</v>
      </c>
      <c r="X180" s="5" t="s">
        <v>536</v>
      </c>
      <c r="Y180" s="5" t="s">
        <v>383</v>
      </c>
      <c r="Z180" s="5" t="s">
        <v>300</v>
      </c>
      <c r="AA180" s="40" t="s">
        <v>40</v>
      </c>
      <c r="AB180" s="5" t="s">
        <v>40</v>
      </c>
    </row>
    <row r="181" spans="1:28" ht="54">
      <c r="A181" s="5">
        <v>2016</v>
      </c>
      <c r="B181" s="5" t="s">
        <v>30</v>
      </c>
      <c r="C181" s="79" t="str">
        <f>'[1]V, inciso p) (OP)'!D83</f>
        <v>DOPI-EST-FC-PAV-LP-121-2016</v>
      </c>
      <c r="D181" s="12">
        <f>'[1]V, inciso p) (OP)'!AD83</f>
        <v>42685</v>
      </c>
      <c r="E181" s="7" t="str">
        <f>'[1]V, inciso p) (OP)'!I83</f>
        <v>Primera etapa de reencarpetamiento y sustitución de losas de la Av. Nicolás Copérnico- Av. Ladrón de Guevara, de Av. Moctezuma a Av. Mariano Otero, Municipio de Zapopan, Jalisco.</v>
      </c>
      <c r="F181" s="7" t="s">
        <v>669</v>
      </c>
      <c r="G181" s="8">
        <f>'[1]V, inciso p) (OP)'!AG83</f>
        <v>4854770.4400000004</v>
      </c>
      <c r="H181" s="7" t="str">
        <f>'[1]V, inciso p) (OP)'!AS83</f>
        <v>Colonia Paseos del Sol</v>
      </c>
      <c r="I181" s="5" t="str">
        <f>'[1]V, inciso p) (OP)'!T83</f>
        <v>Mario</v>
      </c>
      <c r="J181" s="5" t="str">
        <f>'[1]V, inciso p) (OP)'!U83</f>
        <v>Beltrán</v>
      </c>
      <c r="K181" s="5" t="str">
        <f>'[1]V, inciso p) (OP)'!V83</f>
        <v>Rodríguez</v>
      </c>
      <c r="L181" s="7" t="str">
        <f>'[1]V, inciso p) (OP)'!W83</f>
        <v xml:space="preserve">Constructora y Desarrolladora Barba y Asociados, S. A. de C. V. </v>
      </c>
      <c r="M181" s="5" t="str">
        <f>'[1]V, inciso p) (OP)'!X83</f>
        <v>CDB0506068Z4</v>
      </c>
      <c r="N181" s="8">
        <f t="shared" si="2"/>
        <v>4854770.4400000004</v>
      </c>
      <c r="O181" s="77" t="s">
        <v>40</v>
      </c>
      <c r="P181" s="9" t="s">
        <v>696</v>
      </c>
      <c r="Q181" s="10">
        <f>N181/3015</f>
        <v>1610.2057844112771</v>
      </c>
      <c r="R181" s="9" t="s">
        <v>42</v>
      </c>
      <c r="S181" s="13">
        <v>22852</v>
      </c>
      <c r="T181" s="7" t="s">
        <v>43</v>
      </c>
      <c r="U181" s="5" t="s">
        <v>565</v>
      </c>
      <c r="V181" s="6">
        <f>'[1]V, inciso p) (OP)'!AM83</f>
        <v>42688</v>
      </c>
      <c r="W181" s="6">
        <f>'[1]V, inciso p) (OP)'!AN83</f>
        <v>42807</v>
      </c>
      <c r="X181" s="5" t="s">
        <v>671</v>
      </c>
      <c r="Y181" s="5" t="s">
        <v>334</v>
      </c>
      <c r="Z181" s="5" t="s">
        <v>133</v>
      </c>
      <c r="AA181" s="40" t="s">
        <v>40</v>
      </c>
      <c r="AB181" s="5" t="s">
        <v>40</v>
      </c>
    </row>
    <row r="182" spans="1:28" ht="54">
      <c r="A182" s="5">
        <v>2016</v>
      </c>
      <c r="B182" s="5" t="s">
        <v>30</v>
      </c>
      <c r="C182" s="79" t="str">
        <f>'[1]V, inciso p) (OP)'!D84</f>
        <v>DOPI-EST-FC-PAV-LP-122-2016</v>
      </c>
      <c r="D182" s="12">
        <f>'[1]V, inciso p) (OP)'!AD84</f>
        <v>42685</v>
      </c>
      <c r="E182" s="7" t="str">
        <f>'[1]V, inciso p) (OP)'!I84</f>
        <v>Primera etapa de reencarpetamiento y sustitución de losas de Av. Valle de Atemajac, de Av. López Mateos a Sierra de Tapalpa, Municipio de Zapopan, Jalisco.</v>
      </c>
      <c r="F182" s="7" t="s">
        <v>669</v>
      </c>
      <c r="G182" s="8">
        <f>'[1]V, inciso p) (OP)'!AG84</f>
        <v>4741926.8099999996</v>
      </c>
      <c r="H182" s="7" t="str">
        <f>'[1]V, inciso p) (OP)'!AS84</f>
        <v>Colonia Las Aguilas</v>
      </c>
      <c r="I182" s="5" t="str">
        <f>'[1]V, inciso p) (OP)'!T84</f>
        <v>Mario</v>
      </c>
      <c r="J182" s="5" t="str">
        <f>'[1]V, inciso p) (OP)'!U84</f>
        <v>Beltrán</v>
      </c>
      <c r="K182" s="5" t="str">
        <f>'[1]V, inciso p) (OP)'!V84</f>
        <v>Rodríguez</v>
      </c>
      <c r="L182" s="7" t="str">
        <f>'[1]V, inciso p) (OP)'!W84</f>
        <v xml:space="preserve">Constructora y Desarrolladora Barba y Asociados, S. A. de C. V. </v>
      </c>
      <c r="M182" s="5" t="str">
        <f>'[1]V, inciso p) (OP)'!X84</f>
        <v>CDB0506068Z4</v>
      </c>
      <c r="N182" s="8">
        <f t="shared" si="2"/>
        <v>4741926.8099999996</v>
      </c>
      <c r="O182" s="77" t="s">
        <v>40</v>
      </c>
      <c r="P182" s="9" t="s">
        <v>697</v>
      </c>
      <c r="Q182" s="10">
        <f>N182/6069</f>
        <v>781.33577360355901</v>
      </c>
      <c r="R182" s="9" t="s">
        <v>42</v>
      </c>
      <c r="S182" s="13">
        <v>16486</v>
      </c>
      <c r="T182" s="7" t="s">
        <v>43</v>
      </c>
      <c r="U182" s="5" t="s">
        <v>565</v>
      </c>
      <c r="V182" s="6">
        <f>'[1]V, inciso p) (OP)'!AM84</f>
        <v>42688</v>
      </c>
      <c r="W182" s="6">
        <f>'[1]V, inciso p) (OP)'!AN84</f>
        <v>42807</v>
      </c>
      <c r="X182" s="5" t="s">
        <v>671</v>
      </c>
      <c r="Y182" s="5" t="s">
        <v>334</v>
      </c>
      <c r="Z182" s="5" t="s">
        <v>133</v>
      </c>
      <c r="AA182" s="40" t="s">
        <v>40</v>
      </c>
      <c r="AB182" s="5" t="s">
        <v>40</v>
      </c>
    </row>
    <row r="183" spans="1:28" ht="54">
      <c r="A183" s="5">
        <v>2016</v>
      </c>
      <c r="B183" s="5" t="s">
        <v>30</v>
      </c>
      <c r="C183" s="79" t="str">
        <f>'[1]V, inciso p) (OP)'!D85</f>
        <v>DOPI-EST-FC-PAV-LP-123-2016</v>
      </c>
      <c r="D183" s="12">
        <f>'[1]V, inciso p) (OP)'!AD85</f>
        <v>42685</v>
      </c>
      <c r="E183" s="7" t="str">
        <f>'[1]V, inciso p) (OP)'!I85</f>
        <v>Construcción de nueva celda para la disposición de residuos, primera etapa, en el vertedero de basura Picachos, Municipio de Zapopan, Jalisco</v>
      </c>
      <c r="F183" s="7" t="s">
        <v>669</v>
      </c>
      <c r="G183" s="8">
        <f>'[1]V, inciso p) (OP)'!AG85</f>
        <v>5873571.75</v>
      </c>
      <c r="H183" s="7" t="str">
        <f>'[1]V, inciso p) (OP)'!AS85</f>
        <v>Relleno Sanitario de Picachos</v>
      </c>
      <c r="I183" s="5" t="str">
        <f>'[1]V, inciso p) (OP)'!T85</f>
        <v>Jesús David</v>
      </c>
      <c r="J183" s="5" t="str">
        <f>'[1]V, inciso p) (OP)'!U85</f>
        <v>Garza</v>
      </c>
      <c r="K183" s="5" t="str">
        <f>'[1]V, inciso p) (OP)'!V85</f>
        <v>Garcia</v>
      </c>
      <c r="L183" s="7" t="str">
        <f>'[1]V, inciso p) (OP)'!W85</f>
        <v>Construcciones  Electrificaciones y Arrendamiento de Maquinaria S.A. de C.V.</v>
      </c>
      <c r="M183" s="5" t="str">
        <f>'[1]V, inciso p) (OP)'!X85</f>
        <v>CEA010615GT0</v>
      </c>
      <c r="N183" s="8">
        <f t="shared" si="2"/>
        <v>5873571.75</v>
      </c>
      <c r="O183" s="77" t="s">
        <v>40</v>
      </c>
      <c r="P183" s="9" t="s">
        <v>698</v>
      </c>
      <c r="Q183" s="10">
        <f>N183/14859.03</f>
        <v>395.28635112789999</v>
      </c>
      <c r="R183" s="9" t="s">
        <v>42</v>
      </c>
      <c r="S183" s="13">
        <v>1243756</v>
      </c>
      <c r="T183" s="7" t="s">
        <v>43</v>
      </c>
      <c r="U183" s="5" t="s">
        <v>44</v>
      </c>
      <c r="V183" s="6">
        <f>'[1]V, inciso p) (OP)'!AM85</f>
        <v>42688</v>
      </c>
      <c r="W183" s="6">
        <f>'[1]V, inciso p) (OP)'!AN85</f>
        <v>42504</v>
      </c>
      <c r="X183" s="5" t="s">
        <v>699</v>
      </c>
      <c r="Y183" s="5" t="s">
        <v>513</v>
      </c>
      <c r="Z183" s="5" t="s">
        <v>280</v>
      </c>
      <c r="AA183" s="40" t="s">
        <v>40</v>
      </c>
      <c r="AB183" s="5" t="s">
        <v>40</v>
      </c>
    </row>
    <row r="184" spans="1:28" ht="54">
      <c r="A184" s="5">
        <v>2016</v>
      </c>
      <c r="B184" s="5" t="s">
        <v>30</v>
      </c>
      <c r="C184" s="79" t="str">
        <f>'[1]V, inciso p) (OP)'!D86</f>
        <v>DOPI-MUN-PR-EP-LP-124-2016</v>
      </c>
      <c r="D184" s="12">
        <f>'[1]V, inciso p) (OP)'!AD86</f>
        <v>42685</v>
      </c>
      <c r="E184" s="7" t="str">
        <f>'[1]V, inciso p) (OP)'!I86</f>
        <v>Rehabilitación de instalaciones y construcción de Centro Comunitario dentro de la Unidad Deportiva del Polvorín, Municipio de Zapopan, Jalisco, frente 1.</v>
      </c>
      <c r="F184" s="7" t="s">
        <v>648</v>
      </c>
      <c r="G184" s="8">
        <f>'[1]V, inciso p) (OP)'!AG86</f>
        <v>8434117.6600000001</v>
      </c>
      <c r="H184" s="7" t="str">
        <f>'[1]V, inciso p) (OP)'!AS86</f>
        <v>Colonia Guadalajarita</v>
      </c>
      <c r="I184" s="5" t="str">
        <f>'[1]V, inciso p) (OP)'!T86</f>
        <v xml:space="preserve">Leobardo </v>
      </c>
      <c r="J184" s="5" t="str">
        <f>'[1]V, inciso p) (OP)'!U86</f>
        <v>Preciado</v>
      </c>
      <c r="K184" s="5" t="str">
        <f>'[1]V, inciso p) (OP)'!V86</f>
        <v>Zepeda</v>
      </c>
      <c r="L184" s="7" t="str">
        <f>'[1]V, inciso p) (OP)'!W86</f>
        <v>Consorcio Constructor Adobes, S. A. de C. V.</v>
      </c>
      <c r="M184" s="5" t="str">
        <f>'[1]V, inciso p) (OP)'!X86</f>
        <v>CCA971126QC9</v>
      </c>
      <c r="N184" s="8">
        <f t="shared" si="2"/>
        <v>8434117.6600000001</v>
      </c>
      <c r="O184" s="77" t="s">
        <v>40</v>
      </c>
      <c r="P184" s="9" t="s">
        <v>700</v>
      </c>
      <c r="Q184" s="10">
        <f>N184/816.76</f>
        <v>10326.310862432048</v>
      </c>
      <c r="R184" s="9" t="s">
        <v>42</v>
      </c>
      <c r="S184" s="13">
        <v>2184</v>
      </c>
      <c r="T184" s="7" t="s">
        <v>43</v>
      </c>
      <c r="U184" s="5" t="s">
        <v>565</v>
      </c>
      <c r="V184" s="6">
        <f>'[1]V, inciso p) (OP)'!AM86</f>
        <v>42688</v>
      </c>
      <c r="W184" s="6">
        <f>'[1]V, inciso p) (OP)'!AN86</f>
        <v>42763</v>
      </c>
      <c r="X184" s="5" t="s">
        <v>701</v>
      </c>
      <c r="Y184" s="5" t="s">
        <v>295</v>
      </c>
      <c r="Z184" s="5" t="s">
        <v>702</v>
      </c>
      <c r="AA184" s="40" t="s">
        <v>40</v>
      </c>
      <c r="AB184" s="5" t="s">
        <v>40</v>
      </c>
    </row>
    <row r="185" spans="1:28" ht="54">
      <c r="A185" s="5">
        <v>2016</v>
      </c>
      <c r="B185" s="5" t="s">
        <v>30</v>
      </c>
      <c r="C185" s="79" t="str">
        <f>'[1]V, inciso p) (OP)'!D87</f>
        <v>DOPI-MUN-PR-EP-LP-125-2016</v>
      </c>
      <c r="D185" s="12">
        <f>'[1]V, inciso p) (OP)'!AD87</f>
        <v>42685</v>
      </c>
      <c r="E185" s="7" t="str">
        <f>'[1]V, inciso p) (OP)'!I87</f>
        <v>Rehabilitación de instalaciones y construcción de Centro Comunitario dentro de la Unidad Deportiva del Polvorín, Municipio de Zapopan, Jalisco, frente 2.</v>
      </c>
      <c r="F185" s="7" t="s">
        <v>648</v>
      </c>
      <c r="G185" s="8">
        <f>'[1]V, inciso p) (OP)'!AG87</f>
        <v>5098902.66</v>
      </c>
      <c r="H185" s="7" t="str">
        <f>'[1]V, inciso p) (OP)'!AS87</f>
        <v>Colonia Guadalajarita</v>
      </c>
      <c r="I185" s="5" t="str">
        <f>'[1]V, inciso p) (OP)'!T87</f>
        <v>Marco Antonio</v>
      </c>
      <c r="J185" s="5" t="str">
        <f>'[1]V, inciso p) (OP)'!U87</f>
        <v>Cortés</v>
      </c>
      <c r="K185" s="5" t="str">
        <f>'[1]V, inciso p) (OP)'!V87</f>
        <v>González</v>
      </c>
      <c r="L185" s="7" t="str">
        <f>'[1]V, inciso p) (OP)'!W87</f>
        <v>Grupo Taube de México, S.A. de C.V.</v>
      </c>
      <c r="M185" s="5" t="str">
        <f>'[1]V, inciso p) (OP)'!X87</f>
        <v>GTM050418384</v>
      </c>
      <c r="N185" s="8">
        <f t="shared" si="2"/>
        <v>5098902.66</v>
      </c>
      <c r="O185" s="77" t="s">
        <v>40</v>
      </c>
      <c r="P185" s="9" t="s">
        <v>703</v>
      </c>
      <c r="Q185" s="10">
        <f>N185/4876.75</f>
        <v>1045.5534238991131</v>
      </c>
      <c r="R185" s="9" t="s">
        <v>42</v>
      </c>
      <c r="S185" s="13">
        <v>2184</v>
      </c>
      <c r="T185" s="7" t="s">
        <v>43</v>
      </c>
      <c r="U185" s="5" t="s">
        <v>565</v>
      </c>
      <c r="V185" s="6">
        <f>'[1]V, inciso p) (OP)'!AM87</f>
        <v>42688</v>
      </c>
      <c r="W185" s="6">
        <f>'[1]V, inciso p) (OP)'!AN87</f>
        <v>42763</v>
      </c>
      <c r="X185" s="5" t="s">
        <v>701</v>
      </c>
      <c r="Y185" s="5" t="s">
        <v>295</v>
      </c>
      <c r="Z185" s="5" t="s">
        <v>702</v>
      </c>
      <c r="AA185" s="40" t="s">
        <v>40</v>
      </c>
      <c r="AB185" s="5" t="s">
        <v>40</v>
      </c>
    </row>
    <row r="186" spans="1:28" ht="67.5">
      <c r="A186" s="5">
        <v>2016</v>
      </c>
      <c r="B186" s="5" t="s">
        <v>64</v>
      </c>
      <c r="C186" s="79" t="str">
        <f>'[1]V, inciso o) (OP)'!C58</f>
        <v>DOPI-MUN-RM-BAN-AD-126-2016</v>
      </c>
      <c r="D186" s="12">
        <f>'[1]V, inciso o) (OP)'!V58</f>
        <v>42559</v>
      </c>
      <c r="E186" s="7" t="str">
        <f>'[1]V, inciso o) (OP)'!AA58</f>
        <v>Peatonalización, construcción de banquetas, sustitución de guarniciones, bolardos, complemento de reencarpetado y sello tramo 1 de la Av. Pablo Neruda, municipio de Zapopan, Jalisco</v>
      </c>
      <c r="F186" s="7" t="s">
        <v>184</v>
      </c>
      <c r="G186" s="8">
        <f>'[1]V, inciso o) (OP)'!Y58</f>
        <v>1497870.11</v>
      </c>
      <c r="H186" s="7" t="s">
        <v>704</v>
      </c>
      <c r="I186" s="5" t="str">
        <f>'[1]V, inciso o) (OP)'!M58</f>
        <v>Guillermo</v>
      </c>
      <c r="J186" s="5" t="str">
        <f>'[1]V, inciso o) (OP)'!N58</f>
        <v>Lara</v>
      </c>
      <c r="K186" s="5" t="str">
        <f>'[1]V, inciso o) (OP)'!O58</f>
        <v>Vargas</v>
      </c>
      <c r="L186" s="7" t="str">
        <f>'[1]V, inciso o) (OP)'!P58</f>
        <v>Desarrolladora Glar, S.A. de C.V.</v>
      </c>
      <c r="M186" s="5" t="str">
        <f>'[1]V, inciso o) (OP)'!Q58</f>
        <v>DGL060620SUA</v>
      </c>
      <c r="N186" s="8">
        <f t="shared" si="2"/>
        <v>1497870.11</v>
      </c>
      <c r="O186" s="78">
        <v>1170755.7</v>
      </c>
      <c r="P186" s="5" t="s">
        <v>705</v>
      </c>
      <c r="Q186" s="8">
        <f>N186/1236</f>
        <v>1211.8690210355987</v>
      </c>
      <c r="R186" s="5" t="s">
        <v>42</v>
      </c>
      <c r="S186" s="11">
        <v>5427</v>
      </c>
      <c r="T186" s="7" t="s">
        <v>43</v>
      </c>
      <c r="U186" s="5" t="s">
        <v>44</v>
      </c>
      <c r="V186" s="6">
        <f>'[1]V, inciso o) (OP)'!AD58</f>
        <v>42562</v>
      </c>
      <c r="W186" s="6">
        <f>'[1]V, inciso o) (OP)'!AE58</f>
        <v>42598</v>
      </c>
      <c r="X186" s="5" t="s">
        <v>556</v>
      </c>
      <c r="Y186" s="5" t="s">
        <v>557</v>
      </c>
      <c r="Z186" s="5" t="s">
        <v>558</v>
      </c>
      <c r="AA186" s="40" t="s">
        <v>40</v>
      </c>
      <c r="AB186" s="5" t="s">
        <v>40</v>
      </c>
    </row>
    <row r="187" spans="1:28" ht="67.5">
      <c r="A187" s="5">
        <v>2016</v>
      </c>
      <c r="B187" s="5" t="s">
        <v>64</v>
      </c>
      <c r="C187" s="79" t="str">
        <f>'[1]V, inciso o) (OP)'!C59</f>
        <v>DOPI-MUN-RM-PAV-AD-127-2016</v>
      </c>
      <c r="D187" s="12">
        <f>'[1]V, inciso o) (OP)'!V59</f>
        <v>42559</v>
      </c>
      <c r="E187" s="7" t="str">
        <f>'[1]V, inciso o) (OP)'!AA59</f>
        <v>Peatonalización, construcción de banquetas, sustitución de guarniciones, bolardos, complemento de reencarpetado y sello tramo 2 de la Av. Pablo Neruda, municipio de Zapopan, Jalisco</v>
      </c>
      <c r="F187" s="7" t="s">
        <v>184</v>
      </c>
      <c r="G187" s="8">
        <f>'[1]V, inciso o) (OP)'!Y59</f>
        <v>1439130.15</v>
      </c>
      <c r="H187" s="7" t="s">
        <v>704</v>
      </c>
      <c r="I187" s="5" t="str">
        <f>'[1]V, inciso o) (OP)'!M59</f>
        <v>David Eduardo</v>
      </c>
      <c r="J187" s="5" t="str">
        <f>'[1]V, inciso o) (OP)'!N59</f>
        <v>Lara</v>
      </c>
      <c r="K187" s="5" t="str">
        <f>'[1]V, inciso o) (OP)'!O59</f>
        <v>Ochoa</v>
      </c>
      <c r="L187" s="7" t="str">
        <f>'[1]V, inciso o) (OP)'!P59</f>
        <v xml:space="preserve">Construcciones ICU, S.A. de C.V. </v>
      </c>
      <c r="M187" s="5" t="str">
        <f>'[1]V, inciso o) (OP)'!Q59</f>
        <v>CIC080626ER2</v>
      </c>
      <c r="N187" s="8">
        <f t="shared" si="2"/>
        <v>1439130.15</v>
      </c>
      <c r="O187" s="77" t="s">
        <v>40</v>
      </c>
      <c r="P187" s="5" t="s">
        <v>706</v>
      </c>
      <c r="Q187" s="8">
        <f>N187/1224</f>
        <v>1175.7599264705882</v>
      </c>
      <c r="R187" s="5" t="s">
        <v>42</v>
      </c>
      <c r="S187" s="11">
        <v>5427</v>
      </c>
      <c r="T187" s="7" t="s">
        <v>43</v>
      </c>
      <c r="U187" s="5" t="s">
        <v>44</v>
      </c>
      <c r="V187" s="6">
        <f>'[1]V, inciso o) (OP)'!AD59</f>
        <v>42562</v>
      </c>
      <c r="W187" s="6">
        <f>'[1]V, inciso o) (OP)'!AE59</f>
        <v>42598</v>
      </c>
      <c r="X187" s="5" t="s">
        <v>556</v>
      </c>
      <c r="Y187" s="5" t="s">
        <v>557</v>
      </c>
      <c r="Z187" s="5" t="s">
        <v>558</v>
      </c>
      <c r="AA187" s="40" t="s">
        <v>40</v>
      </c>
      <c r="AB187" s="5" t="s">
        <v>40</v>
      </c>
    </row>
    <row r="188" spans="1:28" ht="81">
      <c r="A188" s="5">
        <v>2016</v>
      </c>
      <c r="B188" s="5" t="s">
        <v>64</v>
      </c>
      <c r="C188" s="79" t="str">
        <f>'[1]V, inciso o) (OP)'!C60</f>
        <v>DOPI-MUN-RM-PAV-AD-128-2016</v>
      </c>
      <c r="D188" s="12">
        <f>'[1]V, inciso o) (OP)'!V60</f>
        <v>42566</v>
      </c>
      <c r="E188" s="7" t="str">
        <f>'[1]V, inciso o) (OP)'!AA60</f>
        <v>Construcción de banquetas, bolardos, sustitución de rejillas pluviales, rehabilitación de bocas de tormenta, aproches y arbolado en el tramo poniente de la Glorieta Venustiano Carranza en la colonia Constitución, municipio de Zapopan, Jalisco</v>
      </c>
      <c r="F188" s="7" t="s">
        <v>184</v>
      </c>
      <c r="G188" s="8">
        <f>'[1]V, inciso o) (OP)'!Y60</f>
        <v>1497520.4400000002</v>
      </c>
      <c r="H188" s="7" t="s">
        <v>707</v>
      </c>
      <c r="I188" s="5" t="str">
        <f>'[1]V, inciso o) (OP)'!M60</f>
        <v>Adalberto</v>
      </c>
      <c r="J188" s="5" t="str">
        <f>'[1]V, inciso o) (OP)'!N60</f>
        <v>Medina</v>
      </c>
      <c r="K188" s="5" t="str">
        <f>'[1]V, inciso o) (OP)'!O60</f>
        <v>Morales</v>
      </c>
      <c r="L188" s="7" t="str">
        <f>'[1]V, inciso o) (OP)'!P60</f>
        <v>Urdem, S.A. de C.V.</v>
      </c>
      <c r="M188" s="5" t="str">
        <f>'[1]V, inciso o) (OP)'!Q60</f>
        <v>URD130830U21</v>
      </c>
      <c r="N188" s="8">
        <f t="shared" si="2"/>
        <v>1497520.4400000002</v>
      </c>
      <c r="O188" s="77" t="s">
        <v>40</v>
      </c>
      <c r="P188" s="5" t="s">
        <v>708</v>
      </c>
      <c r="Q188" s="8">
        <f>N188/621</f>
        <v>2411.4660869565218</v>
      </c>
      <c r="R188" s="5" t="s">
        <v>42</v>
      </c>
      <c r="S188" s="11">
        <v>27515</v>
      </c>
      <c r="T188" s="7" t="s">
        <v>43</v>
      </c>
      <c r="U188" s="5" t="s">
        <v>44</v>
      </c>
      <c r="V188" s="6">
        <f>'[1]V, inciso o) (OP)'!AD60</f>
        <v>42569</v>
      </c>
      <c r="W188" s="6">
        <f>'[1]V, inciso o) (OP)'!AE60</f>
        <v>42613</v>
      </c>
      <c r="X188" s="5" t="s">
        <v>709</v>
      </c>
      <c r="Y188" s="5" t="s">
        <v>651</v>
      </c>
      <c r="Z188" s="5" t="s">
        <v>652</v>
      </c>
      <c r="AA188" s="40" t="s">
        <v>40</v>
      </c>
      <c r="AB188" s="5" t="s">
        <v>40</v>
      </c>
    </row>
    <row r="189" spans="1:28" ht="67.5">
      <c r="A189" s="5">
        <v>2016</v>
      </c>
      <c r="B189" s="5" t="s">
        <v>64</v>
      </c>
      <c r="C189" s="79" t="str">
        <f>'[1]V, inciso o) (OP)'!C61</f>
        <v>DOPI-MUN-RM-PAV-AD-129-2016</v>
      </c>
      <c r="D189" s="12">
        <f>'[1]V, inciso o) (OP)'!V61</f>
        <v>42566</v>
      </c>
      <c r="E189" s="7" t="str">
        <f>'[1]V, inciso o) (OP)'!AA61</f>
        <v>Construcción de banquetas, bolardos, sustitución de rejillas pluviales, rehabilitación de bocas de tormenta, aproches y arbolado en el tramo oriente de la Glorieta Venustiano Carranza en la colonia Constitución, municipio de Zapopan, Jalisco</v>
      </c>
      <c r="F189" s="7" t="s">
        <v>184</v>
      </c>
      <c r="G189" s="8">
        <f>'[1]V, inciso o) (OP)'!Y61</f>
        <v>1499415.54</v>
      </c>
      <c r="H189" s="7" t="s">
        <v>707</v>
      </c>
      <c r="I189" s="5" t="str">
        <f>'[1]V, inciso o) (OP)'!M61</f>
        <v>Arturo Rafael</v>
      </c>
      <c r="J189" s="5" t="str">
        <f>'[1]V, inciso o) (OP)'!N61</f>
        <v>Salazar</v>
      </c>
      <c r="K189" s="5" t="str">
        <f>'[1]V, inciso o) (OP)'!O61</f>
        <v>Martín del Campo</v>
      </c>
      <c r="L189" s="7" t="str">
        <f>'[1]V, inciso o) (OP)'!P61</f>
        <v>Kalmani Constructora, S.A. de C.V.</v>
      </c>
      <c r="M189" s="5" t="str">
        <f>'[1]V, inciso o) (OP)'!Q61</f>
        <v>KCO030922UM6</v>
      </c>
      <c r="N189" s="8">
        <f t="shared" si="2"/>
        <v>1499415.54</v>
      </c>
      <c r="O189" s="77" t="s">
        <v>40</v>
      </c>
      <c r="P189" s="5" t="s">
        <v>710</v>
      </c>
      <c r="Q189" s="8">
        <f>N189/653</f>
        <v>2296.1953139356815</v>
      </c>
      <c r="R189" s="5" t="s">
        <v>42</v>
      </c>
      <c r="S189" s="11">
        <v>27515</v>
      </c>
      <c r="T189" s="7" t="s">
        <v>43</v>
      </c>
      <c r="U189" s="5" t="s">
        <v>44</v>
      </c>
      <c r="V189" s="6">
        <f>'[1]V, inciso o) (OP)'!AD61</f>
        <v>42569</v>
      </c>
      <c r="W189" s="6">
        <f>'[1]V, inciso o) (OP)'!AE61</f>
        <v>42613</v>
      </c>
      <c r="X189" s="5" t="s">
        <v>709</v>
      </c>
      <c r="Y189" s="5" t="s">
        <v>651</v>
      </c>
      <c r="Z189" s="5" t="s">
        <v>652</v>
      </c>
      <c r="AA189" s="40" t="s">
        <v>40</v>
      </c>
      <c r="AB189" s="5" t="s">
        <v>40</v>
      </c>
    </row>
    <row r="190" spans="1:28" ht="81">
      <c r="A190" s="5">
        <v>2016</v>
      </c>
      <c r="B190" s="5" t="s">
        <v>64</v>
      </c>
      <c r="C190" s="79" t="str">
        <f>'[1]V, inciso o) (OP)'!C62</f>
        <v>DOPI-MUN-RM-PAV-AD-130-2016</v>
      </c>
      <c r="D190" s="12">
        <f>'[1]V, inciso o) (OP)'!V62</f>
        <v>42566</v>
      </c>
      <c r="E190" s="7" t="str">
        <f>'[1]V, inciso o) (OP)'!AA62</f>
        <v>Construcción de Motor Lobby con concreto hidráulico en la plazoleta, plazoleta de acceso, acceso a estacionamiento y colocación de arbolado en la Glorieta Venustiano Carranza colonia Constitución, municipio de Zapopan, Jalisco</v>
      </c>
      <c r="F190" s="7" t="s">
        <v>184</v>
      </c>
      <c r="G190" s="8">
        <f>'[1]V, inciso o) (OP)'!Y62</f>
        <v>1373625.4800000002</v>
      </c>
      <c r="H190" s="7" t="s">
        <v>707</v>
      </c>
      <c r="I190" s="5" t="str">
        <f>'[1]V, inciso o) (OP)'!M62</f>
        <v>Sergio Cesar</v>
      </c>
      <c r="J190" s="5" t="str">
        <f>'[1]V, inciso o) (OP)'!N62</f>
        <v>Díaz</v>
      </c>
      <c r="K190" s="5" t="str">
        <f>'[1]V, inciso o) (OP)'!O62</f>
        <v>Quiroz</v>
      </c>
      <c r="L190" s="7" t="str">
        <f>'[1]V, inciso o) (OP)'!P62</f>
        <v>Transcreto S.A. de C.V.</v>
      </c>
      <c r="M190" s="5" t="str">
        <f>'[1]V, inciso o) (OP)'!Q62</f>
        <v>TRA750528286</v>
      </c>
      <c r="N190" s="8">
        <f t="shared" si="2"/>
        <v>1373625.4800000002</v>
      </c>
      <c r="O190" s="77" t="s">
        <v>40</v>
      </c>
      <c r="P190" s="5" t="s">
        <v>711</v>
      </c>
      <c r="Q190" s="8">
        <f>N190/558</f>
        <v>2461.6944086021508</v>
      </c>
      <c r="R190" s="5" t="s">
        <v>42</v>
      </c>
      <c r="S190" s="11">
        <v>27515</v>
      </c>
      <c r="T190" s="7" t="s">
        <v>43</v>
      </c>
      <c r="U190" s="5" t="s">
        <v>44</v>
      </c>
      <c r="V190" s="6">
        <f>'[1]V, inciso o) (OP)'!AD62</f>
        <v>42569</v>
      </c>
      <c r="W190" s="6">
        <f>'[1]V, inciso o) (OP)'!AE62</f>
        <v>42613</v>
      </c>
      <c r="X190" s="5" t="s">
        <v>709</v>
      </c>
      <c r="Y190" s="5" t="s">
        <v>651</v>
      </c>
      <c r="Z190" s="5" t="s">
        <v>652</v>
      </c>
      <c r="AA190" s="40" t="s">
        <v>40</v>
      </c>
      <c r="AB190" s="5" t="s">
        <v>40</v>
      </c>
    </row>
    <row r="191" spans="1:28" ht="94.5">
      <c r="A191" s="5">
        <v>2016</v>
      </c>
      <c r="B191" s="5" t="s">
        <v>64</v>
      </c>
      <c r="C191" s="79" t="str">
        <f>'[1]V, inciso o) (OP)'!C63</f>
        <v>DOPI-MUN-RM-PAV-AD-131-2016</v>
      </c>
      <c r="D191" s="12">
        <f>'[1]V, inciso o) (OP)'!V63</f>
        <v>42566</v>
      </c>
      <c r="E191" s="7"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91" s="7" t="s">
        <v>184</v>
      </c>
      <c r="G191" s="8">
        <f>'[1]V, inciso o) (OP)'!Y63</f>
        <v>1498232.17</v>
      </c>
      <c r="H191" s="7" t="s">
        <v>712</v>
      </c>
      <c r="I191" s="5" t="str">
        <f>'[1]V, inciso o) (OP)'!M63</f>
        <v>Aurora Lucia</v>
      </c>
      <c r="J191" s="5" t="str">
        <f>'[1]V, inciso o) (OP)'!N63</f>
        <v xml:space="preserve">Brenez </v>
      </c>
      <c r="K191" s="5" t="str">
        <f>'[1]V, inciso o) (OP)'!O63</f>
        <v>Garnica</v>
      </c>
      <c r="L191" s="7" t="str">
        <f>'[1]V, inciso o) (OP)'!P63</f>
        <v>Karol Urbanizaciones y Construcciones, S.A. de C.V.</v>
      </c>
      <c r="M191" s="5" t="str">
        <f>'[1]V, inciso o) (OP)'!Q63</f>
        <v>KUC070424344</v>
      </c>
      <c r="N191" s="8">
        <f t="shared" si="2"/>
        <v>1498232.17</v>
      </c>
      <c r="O191" s="77" t="s">
        <v>40</v>
      </c>
      <c r="P191" s="5" t="s">
        <v>713</v>
      </c>
      <c r="Q191" s="8">
        <f>N191/1844</f>
        <v>812.49033080260301</v>
      </c>
      <c r="R191" s="5" t="s">
        <v>42</v>
      </c>
      <c r="S191" s="11">
        <v>3426</v>
      </c>
      <c r="T191" s="7" t="s">
        <v>43</v>
      </c>
      <c r="U191" s="5" t="s">
        <v>44</v>
      </c>
      <c r="V191" s="6">
        <f>'[1]V, inciso o) (OP)'!AD63</f>
        <v>42569</v>
      </c>
      <c r="W191" s="6">
        <f>'[1]V, inciso o) (OP)'!AE63</f>
        <v>42628</v>
      </c>
      <c r="X191" s="5" t="s">
        <v>530</v>
      </c>
      <c r="Y191" s="5" t="s">
        <v>343</v>
      </c>
      <c r="Z191" s="5" t="s">
        <v>344</v>
      </c>
      <c r="AA191" s="40" t="s">
        <v>40</v>
      </c>
      <c r="AB191" s="5" t="s">
        <v>40</v>
      </c>
    </row>
    <row r="192" spans="1:28" ht="54">
      <c r="A192" s="5">
        <v>2016</v>
      </c>
      <c r="B192" s="5" t="s">
        <v>64</v>
      </c>
      <c r="C192" s="79" t="str">
        <f>'[1]V, inciso o) (OP)'!C64</f>
        <v>DOPI-MUN-RM-OC-AD-132-2016</v>
      </c>
      <c r="D192" s="12">
        <f>'[1]V, inciso o) (OP)'!V64</f>
        <v>42566</v>
      </c>
      <c r="E192" s="7" t="str">
        <f>'[1]V, inciso o) (OP)'!AA64</f>
        <v>Demolición de viviendas abandonadas, reforzamiento de taludes y adecuaciones sanitarias en la zona de inundación y canal de la Martinica, municipio de Zapopan Jalisco.</v>
      </c>
      <c r="F192" s="7" t="s">
        <v>184</v>
      </c>
      <c r="G192" s="8">
        <f>'[1]V, inciso o) (OP)'!Y64</f>
        <v>940138.27</v>
      </c>
      <c r="H192" s="7" t="s">
        <v>714</v>
      </c>
      <c r="I192" s="5" t="str">
        <f>'[1]V, inciso o) (OP)'!M64</f>
        <v>Alberto</v>
      </c>
      <c r="J192" s="5" t="str">
        <f>'[1]V, inciso o) (OP)'!N64</f>
        <v>Bañuelos</v>
      </c>
      <c r="K192" s="5" t="str">
        <f>'[1]V, inciso o) (OP)'!O64</f>
        <v>García</v>
      </c>
      <c r="L192" s="7" t="str">
        <f>'[1]V, inciso o) (OP)'!P64</f>
        <v>Grial Construcciones, S.A. de C.V.</v>
      </c>
      <c r="M192" s="5" t="str">
        <f>'[1]V, inciso o) (OP)'!Q64</f>
        <v>GCO100226SU6</v>
      </c>
      <c r="N192" s="8">
        <f t="shared" si="2"/>
        <v>940138.27</v>
      </c>
      <c r="O192" s="78">
        <v>882079.19</v>
      </c>
      <c r="P192" s="5" t="s">
        <v>715</v>
      </c>
      <c r="Q192" s="8">
        <f>N192/513</f>
        <v>1832.6282066276804</v>
      </c>
      <c r="R192" s="5" t="s">
        <v>42</v>
      </c>
      <c r="S192" s="11">
        <v>3459</v>
      </c>
      <c r="T192" s="7" t="s">
        <v>43</v>
      </c>
      <c r="U192" s="5" t="s">
        <v>44</v>
      </c>
      <c r="V192" s="6">
        <f>'[1]V, inciso o) (OP)'!AD64</f>
        <v>42569</v>
      </c>
      <c r="W192" s="6">
        <f>'[1]V, inciso o) (OP)'!AE64</f>
        <v>42598</v>
      </c>
      <c r="X192" s="5" t="s">
        <v>572</v>
      </c>
      <c r="Y192" s="5" t="s">
        <v>573</v>
      </c>
      <c r="Z192" s="5" t="s">
        <v>574</v>
      </c>
      <c r="AA192" s="40" t="s">
        <v>40</v>
      </c>
      <c r="AB192" s="5" t="s">
        <v>40</v>
      </c>
    </row>
    <row r="193" spans="1:28" ht="81">
      <c r="A193" s="5">
        <v>2016</v>
      </c>
      <c r="B193" s="5" t="s">
        <v>64</v>
      </c>
      <c r="C193" s="79" t="str">
        <f>'[1]V, inciso o) (OP)'!C65</f>
        <v>DOPI-MUN-RM-OC-AD-133-2016</v>
      </c>
      <c r="D193" s="12">
        <f>'[1]V, inciso o) (OP)'!V65</f>
        <v>42566</v>
      </c>
      <c r="E193" s="7" t="str">
        <f>'[1]V, inciso o) (OP)'!AA65</f>
        <v>Rectificación, rehabilitación y desazolve del arroyo La Campana; Adecuaciones hidráulicas y pluviales en las colindancias del nodo vial Santa Esther y Periférico; y reconstrucción de banquetas en Avenida Central, municipio de Zapopan, Jalisco</v>
      </c>
      <c r="F193" s="7" t="s">
        <v>184</v>
      </c>
      <c r="G193" s="8">
        <f>'[1]V, inciso o) (OP)'!Y65</f>
        <v>1450005.23</v>
      </c>
      <c r="H193" s="7" t="s">
        <v>716</v>
      </c>
      <c r="I193" s="5" t="str">
        <f>'[1]V, inciso o) (OP)'!M65</f>
        <v>Hector Eugenio</v>
      </c>
      <c r="J193" s="5" t="str">
        <f>'[1]V, inciso o) (OP)'!N65</f>
        <v>De la Torre</v>
      </c>
      <c r="K193" s="5" t="str">
        <f>'[1]V, inciso o) (OP)'!O65</f>
        <v>Menchaca</v>
      </c>
      <c r="L193" s="7" t="str">
        <f>'[1]V, inciso o) (OP)'!P65</f>
        <v>Ingenieros De la Torre, S.A. de C.V.</v>
      </c>
      <c r="M193" s="5" t="str">
        <f>'[1]V, inciso o) (OP)'!Q65</f>
        <v>ITO951005HY5</v>
      </c>
      <c r="N193" s="8">
        <f t="shared" si="2"/>
        <v>1450005.23</v>
      </c>
      <c r="O193" s="77" t="s">
        <v>40</v>
      </c>
      <c r="P193" s="5" t="s">
        <v>717</v>
      </c>
      <c r="Q193" s="8">
        <f>N193/1302</f>
        <v>1113.675291858679</v>
      </c>
      <c r="R193" s="5" t="s">
        <v>42</v>
      </c>
      <c r="S193" s="11">
        <v>16342</v>
      </c>
      <c r="T193" s="7" t="s">
        <v>43</v>
      </c>
      <c r="U193" s="5" t="s">
        <v>44</v>
      </c>
      <c r="V193" s="6">
        <f>'[1]V, inciso o) (OP)'!AD65</f>
        <v>42569</v>
      </c>
      <c r="W193" s="6">
        <f>'[1]V, inciso o) (OP)'!AE65</f>
        <v>42614</v>
      </c>
      <c r="X193" s="5" t="s">
        <v>530</v>
      </c>
      <c r="Y193" s="5" t="s">
        <v>343</v>
      </c>
      <c r="Z193" s="5" t="s">
        <v>344</v>
      </c>
      <c r="AA193" s="40" t="s">
        <v>40</v>
      </c>
      <c r="AB193" s="5" t="s">
        <v>40</v>
      </c>
    </row>
    <row r="194" spans="1:28" ht="40.5">
      <c r="A194" s="5">
        <v>2016</v>
      </c>
      <c r="B194" s="5" t="s">
        <v>64</v>
      </c>
      <c r="C194" s="79" t="str">
        <f>'[1]V, inciso o) (OP)'!C66</f>
        <v>DOPI-MUN-RM-OC-AD-134-2016</v>
      </c>
      <c r="D194" s="12">
        <f>'[1]V, inciso o) (OP)'!V66</f>
        <v>42578</v>
      </c>
      <c r="E194" s="7" t="str">
        <f>'[1]V, inciso o) (OP)'!AA66</f>
        <v>Construcción y reforzamiento de bordos primera etapa en el ejido de Santa Lucia, municipio de Zapopan, Jalisco.</v>
      </c>
      <c r="F194" s="7" t="s">
        <v>184</v>
      </c>
      <c r="G194" s="8">
        <f>'[1]V, inciso o) (OP)'!Y66</f>
        <v>1501235.7800000003</v>
      </c>
      <c r="H194" s="7" t="s">
        <v>718</v>
      </c>
      <c r="I194" s="5" t="str">
        <f>'[1]V, inciso o) (OP)'!M66</f>
        <v>Heliodoro Nicolás</v>
      </c>
      <c r="J194" s="5" t="str">
        <f>'[1]V, inciso o) (OP)'!N66</f>
        <v>Aceves</v>
      </c>
      <c r="K194" s="5" t="str">
        <f>'[1]V, inciso o) (OP)'!O66</f>
        <v>Orozco</v>
      </c>
      <c r="L194" s="7" t="str">
        <f>'[1]V, inciso o) (OP)'!P66</f>
        <v>Imaqsa, S.A. de C.V.</v>
      </c>
      <c r="M194" s="5" t="str">
        <f>'[1]V, inciso o) (OP)'!Q66</f>
        <v>IMA050204LA9</v>
      </c>
      <c r="N194" s="8">
        <f t="shared" si="2"/>
        <v>1501235.7800000003</v>
      </c>
      <c r="O194" s="77" t="s">
        <v>40</v>
      </c>
      <c r="P194" s="5" t="s">
        <v>719</v>
      </c>
      <c r="Q194" s="8">
        <f>N194/4468</f>
        <v>335.99726499552378</v>
      </c>
      <c r="R194" s="5" t="s">
        <v>42</v>
      </c>
      <c r="S194" s="11">
        <v>24253</v>
      </c>
      <c r="T194" s="7" t="s">
        <v>43</v>
      </c>
      <c r="U194" s="5" t="s">
        <v>44</v>
      </c>
      <c r="V194" s="6">
        <f>'[1]V, inciso o) (OP)'!AD66</f>
        <v>42579</v>
      </c>
      <c r="W194" s="6">
        <f>'[1]V, inciso o) (OP)'!AE66</f>
        <v>42698</v>
      </c>
      <c r="X194" s="5" t="s">
        <v>544</v>
      </c>
      <c r="Y194" s="5" t="s">
        <v>545</v>
      </c>
      <c r="Z194" s="5" t="s">
        <v>212</v>
      </c>
      <c r="AA194" s="40" t="s">
        <v>40</v>
      </c>
      <c r="AB194" s="5" t="s">
        <v>40</v>
      </c>
    </row>
    <row r="195" spans="1:28" ht="40.5">
      <c r="A195" s="5">
        <v>2016</v>
      </c>
      <c r="B195" s="5" t="s">
        <v>64</v>
      </c>
      <c r="C195" s="79" t="str">
        <f>'[1]V, inciso o) (OP)'!C67</f>
        <v>DOPI-MUN-RM-EP-AD-135-2016</v>
      </c>
      <c r="D195" s="12">
        <f>'[1]V, inciso o) (OP)'!V67</f>
        <v>42587</v>
      </c>
      <c r="E195" s="7" t="str">
        <f>'[1]V, inciso o) (OP)'!AA67</f>
        <v>Obra complementaria en el parque El Polvorin II, municipio de Zapopan, Jalisco.</v>
      </c>
      <c r="F195" s="7" t="s">
        <v>184</v>
      </c>
      <c r="G195" s="8">
        <f>'[1]V, inciso o) (OP)'!Y67</f>
        <v>1494650.15</v>
      </c>
      <c r="H195" s="7" t="s">
        <v>289</v>
      </c>
      <c r="I195" s="5" t="str">
        <f>'[1]V, inciso o) (OP)'!M67</f>
        <v>Maria Eugenia</v>
      </c>
      <c r="J195" s="5" t="str">
        <f>'[1]V, inciso o) (OP)'!N67</f>
        <v>Cortés</v>
      </c>
      <c r="K195" s="5" t="str">
        <f>'[1]V, inciso o) (OP)'!O67</f>
        <v>González</v>
      </c>
      <c r="L195" s="7" t="str">
        <f>'[1]V, inciso o) (OP)'!P67</f>
        <v>Aspavi, S.A. de C.V.</v>
      </c>
      <c r="M195" s="5" t="str">
        <f>'[1]V, inciso o) (OP)'!Q67</f>
        <v>ASP100215RH9</v>
      </c>
      <c r="N195" s="8">
        <f>'[1]V, inciso o) (OP)'!Y67</f>
        <v>1494650.15</v>
      </c>
      <c r="O195" s="78">
        <v>1494649.1600000001</v>
      </c>
      <c r="P195" s="5" t="s">
        <v>294</v>
      </c>
      <c r="Q195" s="8">
        <f>N195/2546.52</f>
        <v>586.93831189230787</v>
      </c>
      <c r="R195" s="5" t="s">
        <v>42</v>
      </c>
      <c r="S195" s="11">
        <v>2614</v>
      </c>
      <c r="T195" s="7" t="s">
        <v>43</v>
      </c>
      <c r="U195" s="5" t="s">
        <v>44</v>
      </c>
      <c r="V195" s="6">
        <f>'[1]V, inciso o) (OP)'!AD67</f>
        <v>42591</v>
      </c>
      <c r="W195" s="6">
        <f>'[1]V, inciso o) (OP)'!AE67</f>
        <v>42613</v>
      </c>
      <c r="X195" s="5" t="s">
        <v>544</v>
      </c>
      <c r="Y195" s="5" t="s">
        <v>524</v>
      </c>
      <c r="Z195" s="5" t="s">
        <v>254</v>
      </c>
      <c r="AA195" s="40" t="s">
        <v>40</v>
      </c>
      <c r="AB195" s="5" t="s">
        <v>40</v>
      </c>
    </row>
    <row r="196" spans="1:28" ht="40.5">
      <c r="A196" s="5">
        <v>2016</v>
      </c>
      <c r="B196" s="5" t="s">
        <v>64</v>
      </c>
      <c r="C196" s="79" t="str">
        <f>'[1]V, inciso o) (OP)'!C68</f>
        <v>DOPI-MUN-RM-PROY-AD-136-2016</v>
      </c>
      <c r="D196" s="12">
        <f>'[1]V, inciso o) (OP)'!V68</f>
        <v>42586</v>
      </c>
      <c r="E196" s="7" t="str">
        <f>'[1]V, inciso o) (OP)'!AA68</f>
        <v>Estudios de mecánica de suelos y diseño de pavimentos de diferentes obras 2016, segunda etapa, del municipio de Zapopan, Jalisco.</v>
      </c>
      <c r="F196" s="7" t="s">
        <v>184</v>
      </c>
      <c r="G196" s="8">
        <f>'[1]V, inciso o) (OP)'!Y68</f>
        <v>602435.48</v>
      </c>
      <c r="H196" s="7" t="s">
        <v>225</v>
      </c>
      <c r="I196" s="5" t="str">
        <f>'[1]V, inciso o) (OP)'!M68</f>
        <v>José Alejandro</v>
      </c>
      <c r="J196" s="5" t="str">
        <f>'[1]V, inciso o) (OP)'!N68</f>
        <v>Alva</v>
      </c>
      <c r="K196" s="5" t="str">
        <f>'[1]V, inciso o) (OP)'!O68</f>
        <v>Delgado</v>
      </c>
      <c r="L196" s="7" t="str">
        <f>'[1]V, inciso o) (OP)'!P68</f>
        <v>Servicios de Obras Civiles Serco, S.A. de C.V.</v>
      </c>
      <c r="M196" s="5" t="str">
        <f>'[1]V, inciso o) (OP)'!Q68</f>
        <v>SOC150806E69</v>
      </c>
      <c r="N196" s="8">
        <f>'[1]V, inciso o) (OP)'!Y68</f>
        <v>602435.48</v>
      </c>
      <c r="O196" s="77" t="s">
        <v>40</v>
      </c>
      <c r="P196" s="5" t="s">
        <v>231</v>
      </c>
      <c r="Q196" s="8" t="s">
        <v>231</v>
      </c>
      <c r="R196" s="5" t="s">
        <v>232</v>
      </c>
      <c r="S196" s="11" t="s">
        <v>232</v>
      </c>
      <c r="T196" s="7" t="s">
        <v>43</v>
      </c>
      <c r="U196" s="5" t="s">
        <v>565</v>
      </c>
      <c r="V196" s="6">
        <f>'[1]V, inciso o) (OP)'!AD68</f>
        <v>42591</v>
      </c>
      <c r="W196" s="6">
        <f>'[1]V, inciso o) (OP)'!AE68</f>
        <v>42735</v>
      </c>
      <c r="X196" s="5" t="s">
        <v>640</v>
      </c>
      <c r="Y196" s="5" t="s">
        <v>720</v>
      </c>
      <c r="Z196" s="5" t="s">
        <v>167</v>
      </c>
      <c r="AA196" s="40" t="s">
        <v>40</v>
      </c>
      <c r="AB196" s="5" t="s">
        <v>40</v>
      </c>
    </row>
    <row r="197" spans="1:28" ht="40.5">
      <c r="A197" s="5">
        <v>2016</v>
      </c>
      <c r="B197" s="5" t="s">
        <v>64</v>
      </c>
      <c r="C197" s="79" t="str">
        <f>'[1]V, inciso o) (OP)'!C69</f>
        <v>DOPI-MUN-RM-AP-AD-137-2016</v>
      </c>
      <c r="D197" s="12">
        <f>'[1]V, inciso o) (OP)'!V69</f>
        <v>42594</v>
      </c>
      <c r="E197" s="7" t="str">
        <f>'[1]V, inciso o) (OP)'!AA69</f>
        <v>Complemento de red de agua potable y tomas domiciliarias en la localidad de Milpillas, municipio de Zapopan, Jalisco</v>
      </c>
      <c r="F197" s="7" t="s">
        <v>184</v>
      </c>
      <c r="G197" s="8">
        <f>'[1]V, inciso o) (OP)'!Y69</f>
        <v>1435250.48</v>
      </c>
      <c r="H197" s="7" t="s">
        <v>721</v>
      </c>
      <c r="I197" s="5" t="str">
        <f>'[1]V, inciso o) (OP)'!M69</f>
        <v>Javier</v>
      </c>
      <c r="J197" s="5" t="str">
        <f>'[1]V, inciso o) (OP)'!N69</f>
        <v xml:space="preserve">Ávila </v>
      </c>
      <c r="K197" s="5" t="str">
        <f>'[1]V, inciso o) (OP)'!O69</f>
        <v>Flores</v>
      </c>
      <c r="L197" s="7" t="str">
        <f>'[1]V, inciso o) (OP)'!P69</f>
        <v>Savho Consultoría y Construcción, S.A. de C.V.</v>
      </c>
      <c r="M197" s="5" t="str">
        <f>'[1]V, inciso o) (OP)'!Q69</f>
        <v>SCC060622HZ3</v>
      </c>
      <c r="N197" s="8">
        <f>'[1]V, inciso o) (OP)'!Y69</f>
        <v>1435250.48</v>
      </c>
      <c r="O197" s="77" t="s">
        <v>40</v>
      </c>
      <c r="P197" s="9" t="s">
        <v>722</v>
      </c>
      <c r="Q197" s="10">
        <f>N197/1280</f>
        <v>1121.2894375000001</v>
      </c>
      <c r="R197" s="9" t="s">
        <v>42</v>
      </c>
      <c r="S197" s="13">
        <v>86</v>
      </c>
      <c r="T197" s="7" t="s">
        <v>43</v>
      </c>
      <c r="U197" s="5" t="s">
        <v>44</v>
      </c>
      <c r="V197" s="6">
        <f>'[1]V, inciso o) (OP)'!AD69</f>
        <v>42597</v>
      </c>
      <c r="W197" s="6">
        <f>'[1]V, inciso o) (OP)'!AE69</f>
        <v>42643</v>
      </c>
      <c r="X197" s="5" t="s">
        <v>723</v>
      </c>
      <c r="Y197" s="5" t="s">
        <v>724</v>
      </c>
      <c r="Z197" s="5" t="s">
        <v>145</v>
      </c>
      <c r="AA197" s="40" t="s">
        <v>40</v>
      </c>
      <c r="AB197" s="5" t="s">
        <v>40</v>
      </c>
    </row>
    <row r="198" spans="1:28" ht="67.5">
      <c r="A198" s="5">
        <v>2016</v>
      </c>
      <c r="B198" s="5" t="s">
        <v>64</v>
      </c>
      <c r="C198" s="79" t="str">
        <f>'[1]V, inciso o) (OP)'!C70</f>
        <v>DOPI-MUN-RM-IM-AD-138-2016</v>
      </c>
      <c r="D198" s="12">
        <f>'[1]V, inciso o) (OP)'!V70</f>
        <v>42607</v>
      </c>
      <c r="E198" s="7" t="str">
        <f>'[1]V, inciso o) (OP)'!AA70</f>
        <v>Complemento de la construcción de muro oriente, rehabilitación de banquetas e instalación de malla ciclón en el Panteón Municipal ubicado en la localidad de Santa Ana Tepetitlán, municipio de Zapopan, Jalisco.</v>
      </c>
      <c r="F198" s="7" t="s">
        <v>184</v>
      </c>
      <c r="G198" s="8">
        <f>'[1]V, inciso o) (OP)'!Y70</f>
        <v>1308547.98</v>
      </c>
      <c r="H198" s="7" t="s">
        <v>436</v>
      </c>
      <c r="I198" s="5" t="str">
        <f>'[1]V, inciso o) (OP)'!M70</f>
        <v>Oscar Luis</v>
      </c>
      <c r="J198" s="5" t="str">
        <f>'[1]V, inciso o) (OP)'!N70</f>
        <v xml:space="preserve"> Chávez</v>
      </c>
      <c r="K198" s="5" t="str">
        <f>'[1]V, inciso o) (OP)'!O70</f>
        <v>González</v>
      </c>
      <c r="L198" s="7" t="str">
        <f>'[1]V, inciso o) (OP)'!P70</f>
        <v>Euro Trade, S.A. de C.V.</v>
      </c>
      <c r="M198" s="5" t="str">
        <f>'[1]V, inciso o) (OP)'!Q70</f>
        <v>ETR070417NS8</v>
      </c>
      <c r="N198" s="8">
        <f>'[1]V, inciso o) (OP)'!Y70</f>
        <v>1308547.98</v>
      </c>
      <c r="O198" s="77" t="s">
        <v>40</v>
      </c>
      <c r="P198" s="5" t="s">
        <v>725</v>
      </c>
      <c r="Q198" s="8">
        <f>N198/735</f>
        <v>1780.3373877551021</v>
      </c>
      <c r="R198" s="5" t="s">
        <v>42</v>
      </c>
      <c r="S198" s="11">
        <v>171759</v>
      </c>
      <c r="T198" s="7" t="s">
        <v>43</v>
      </c>
      <c r="U198" s="5" t="s">
        <v>44</v>
      </c>
      <c r="V198" s="6">
        <f>'[1]V, inciso o) (OP)'!AD70</f>
        <v>42611</v>
      </c>
      <c r="W198" s="6">
        <f>'[1]V, inciso o) (OP)'!AE70</f>
        <v>42655</v>
      </c>
      <c r="X198" s="5" t="s">
        <v>726</v>
      </c>
      <c r="Y198" s="5" t="s">
        <v>727</v>
      </c>
      <c r="Z198" s="5" t="s">
        <v>101</v>
      </c>
      <c r="AA198" s="40" t="s">
        <v>40</v>
      </c>
      <c r="AB198" s="5" t="s">
        <v>40</v>
      </c>
    </row>
    <row r="199" spans="1:28" ht="40.5">
      <c r="A199" s="5">
        <v>2016</v>
      </c>
      <c r="B199" s="5" t="s">
        <v>64</v>
      </c>
      <c r="C199" s="79" t="str">
        <f>'[1]V, inciso o) (OP)'!C71</f>
        <v>DOPI-MUN-RM-IM-AD-139-2016</v>
      </c>
      <c r="D199" s="12">
        <f>'[1]V, inciso o) (OP)'!V71</f>
        <v>42607</v>
      </c>
      <c r="E199" s="7" t="str">
        <f>'[1]V, inciso o) (OP)'!AA71</f>
        <v>Construcción de muro, banquetas, instalación de malla ciclón en el Panteón municipal ubicado en Atemajac, municipio de Zapopan, Jalisco</v>
      </c>
      <c r="F199" s="7" t="s">
        <v>184</v>
      </c>
      <c r="G199" s="8">
        <f>'[1]V, inciso o) (OP)'!Y71</f>
        <v>1485649.36</v>
      </c>
      <c r="H199" s="7" t="s">
        <v>728</v>
      </c>
      <c r="I199" s="5" t="str">
        <f>'[1]V, inciso o) (OP)'!M71</f>
        <v>Víctor Eduardo</v>
      </c>
      <c r="J199" s="5" t="str">
        <f>'[1]V, inciso o) (OP)'!N71</f>
        <v>López</v>
      </c>
      <c r="K199" s="5" t="str">
        <f>'[1]V, inciso o) (OP)'!O71</f>
        <v>Carpio</v>
      </c>
      <c r="L199" s="7" t="str">
        <f>'[1]V, inciso o) (OP)'!P71</f>
        <v>CCR Ingenieros, S.A. de C.V.</v>
      </c>
      <c r="M199" s="5" t="str">
        <f>'[1]V, inciso o) (OP)'!Q71</f>
        <v>CIN101029PR5</v>
      </c>
      <c r="N199" s="8">
        <f>'[1]V, inciso o) (OP)'!Y71</f>
        <v>1485649.36</v>
      </c>
      <c r="O199" s="77" t="s">
        <v>40</v>
      </c>
      <c r="P199" s="9" t="s">
        <v>729</v>
      </c>
      <c r="Q199" s="10">
        <f>N199/244</f>
        <v>6088.7268852459019</v>
      </c>
      <c r="R199" s="9" t="s">
        <v>42</v>
      </c>
      <c r="S199" s="13">
        <v>194745</v>
      </c>
      <c r="T199" s="7" t="s">
        <v>43</v>
      </c>
      <c r="U199" s="5" t="s">
        <v>44</v>
      </c>
      <c r="V199" s="6">
        <f>'[1]V, inciso o) (OP)'!AD71</f>
        <v>42611</v>
      </c>
      <c r="W199" s="6">
        <f>'[1]V, inciso o) (OP)'!AE71</f>
        <v>42670</v>
      </c>
      <c r="X199" s="5" t="s">
        <v>544</v>
      </c>
      <c r="Y199" s="5" t="s">
        <v>524</v>
      </c>
      <c r="Z199" s="5" t="s">
        <v>254</v>
      </c>
      <c r="AA199" s="40" t="s">
        <v>40</v>
      </c>
      <c r="AB199" s="5" t="s">
        <v>40</v>
      </c>
    </row>
    <row r="200" spans="1:28" ht="81">
      <c r="A200" s="5">
        <v>2016</v>
      </c>
      <c r="B200" s="7" t="str">
        <f>'[1]V, inciso p) (OP)'!B88</f>
        <v>Licitación por Invitación Restringida</v>
      </c>
      <c r="C200" s="79" t="str">
        <f>'[1]V, inciso p) (OP)'!D88</f>
        <v>DOPI-MUN-CRM-AP-CI-141-2016</v>
      </c>
      <c r="D200" s="12">
        <f>'[1]V, inciso p) (OP)'!AD88</f>
        <v>42685</v>
      </c>
      <c r="E200" s="7" t="str">
        <f>'[1]V, inciso p) (OP)'!I88</f>
        <v>Construcción de linea de conducción de agua potable desde el pozo de La Soledad de Nextipac a la Colonia Fuentesillas, en la localidad de Nextipac; Construccuón de red de drenaje y descargas sanitarias en la Colonia Vinatera, municipio de Zapopan, Jalisco.</v>
      </c>
      <c r="F200" s="7" t="s">
        <v>184</v>
      </c>
      <c r="G200" s="8">
        <f>'[1]V, inciso p) (OP)'!AG88</f>
        <v>5289583.63</v>
      </c>
      <c r="H200" s="7" t="str">
        <f>'[1]V, inciso p) (OP)'!AS88</f>
        <v>Localidad de Nextipac</v>
      </c>
      <c r="I200" s="5" t="str">
        <f>'[1]V, inciso p) (OP)'!T88</f>
        <v>Claudio Felipe</v>
      </c>
      <c r="J200" s="5" t="str">
        <f>'[1]V, inciso p) (OP)'!U88</f>
        <v>Trujillo</v>
      </c>
      <c r="K200" s="5" t="str">
        <f>'[1]V, inciso p) (OP)'!V88</f>
        <v>Gracián</v>
      </c>
      <c r="L200" s="7" t="str">
        <f>'[1]V, inciso p) (OP)'!W88</f>
        <v>Desarrolladora Lumadi, S.A. de C.V.</v>
      </c>
      <c r="M200" s="5" t="str">
        <f>'[1]V, inciso p) (OP)'!X88</f>
        <v>DLU100818F46</v>
      </c>
      <c r="N200" s="8">
        <f>G200</f>
        <v>5289583.63</v>
      </c>
      <c r="O200" s="77" t="s">
        <v>40</v>
      </c>
      <c r="P200" s="9" t="s">
        <v>730</v>
      </c>
      <c r="Q200" s="10">
        <f>N200/3891</f>
        <v>1359.4406656386532</v>
      </c>
      <c r="R200" s="9" t="s">
        <v>42</v>
      </c>
      <c r="S200" s="13">
        <v>1482</v>
      </c>
      <c r="T200" s="7" t="s">
        <v>43</v>
      </c>
      <c r="U200" s="5" t="s">
        <v>44</v>
      </c>
      <c r="V200" s="6">
        <f>'[1]V, inciso p) (OP)'!AM88</f>
        <v>42688</v>
      </c>
      <c r="W200" s="6">
        <f>'[1]V, inciso p) (OP)'!AN88</f>
        <v>42728</v>
      </c>
      <c r="X200" s="5" t="s">
        <v>544</v>
      </c>
      <c r="Y200" s="5" t="s">
        <v>545</v>
      </c>
      <c r="Z200" s="5" t="s">
        <v>212</v>
      </c>
      <c r="AA200" s="40" t="s">
        <v>40</v>
      </c>
      <c r="AB200" s="5" t="s">
        <v>40</v>
      </c>
    </row>
    <row r="201" spans="1:28" ht="40.5">
      <c r="A201" s="5">
        <v>2016</v>
      </c>
      <c r="B201" s="7" t="str">
        <f>'[1]V, inciso p) (OP)'!B89</f>
        <v>Licitación por Invitación Restringida</v>
      </c>
      <c r="C201" s="79" t="str">
        <f>'[1]V, inciso p) (OP)'!D89</f>
        <v>DOPI-MUN-CRM-AP-CI-142-2016</v>
      </c>
      <c r="D201" s="12">
        <f>'[1]V, inciso p) (OP)'!AD89</f>
        <v>42685</v>
      </c>
      <c r="E201" s="7" t="str">
        <f>'[1]V, inciso p) (OP)'!I89</f>
        <v>Perforación y Equipamiento de pozo profundo en la localidad de Milpillas Mesa de San Juan, municipio de Zapopan, Jalisco</v>
      </c>
      <c r="F201" s="7" t="s">
        <v>184</v>
      </c>
      <c r="G201" s="8">
        <f>'[1]V, inciso p) (OP)'!AG89</f>
        <v>5113699.54</v>
      </c>
      <c r="H201" s="7" t="str">
        <f>'[1]V, inciso p) (OP)'!AS89</f>
        <v>Localidad Milpillas</v>
      </c>
      <c r="I201" s="5" t="str">
        <f>'[1]V, inciso p) (OP)'!T89</f>
        <v>Víctor Saul</v>
      </c>
      <c r="J201" s="5" t="str">
        <f>'[1]V, inciso p) (OP)'!U89</f>
        <v>Ramos</v>
      </c>
      <c r="K201" s="5" t="str">
        <f>'[1]V, inciso p) (OP)'!V89</f>
        <v>Morales</v>
      </c>
      <c r="L201" s="7" t="str">
        <f>'[1]V, inciso p) (OP)'!W89</f>
        <v>Ramper Drilling, S.A. de C.V.</v>
      </c>
      <c r="M201" s="5" t="str">
        <f>'[1]V, inciso p) (OP)'!X89</f>
        <v>RDR100922131</v>
      </c>
      <c r="N201" s="8">
        <f t="shared" ref="N201:N217" si="3">G201</f>
        <v>5113699.54</v>
      </c>
      <c r="O201" s="77" t="s">
        <v>40</v>
      </c>
      <c r="P201" s="9" t="s">
        <v>731</v>
      </c>
      <c r="Q201" s="10">
        <f>N201/1</f>
        <v>5113699.54</v>
      </c>
      <c r="R201" s="9" t="s">
        <v>42</v>
      </c>
      <c r="S201" s="13">
        <v>105</v>
      </c>
      <c r="T201" s="7" t="s">
        <v>43</v>
      </c>
      <c r="U201" s="5" t="s">
        <v>565</v>
      </c>
      <c r="V201" s="6">
        <f>'[1]V, inciso p) (OP)'!AM89</f>
        <v>42688</v>
      </c>
      <c r="W201" s="6">
        <f>'[1]V, inciso p) (OP)'!AN89</f>
        <v>42759</v>
      </c>
      <c r="X201" s="5" t="s">
        <v>723</v>
      </c>
      <c r="Y201" s="5" t="s">
        <v>724</v>
      </c>
      <c r="Z201" s="5" t="s">
        <v>145</v>
      </c>
      <c r="AA201" s="40" t="s">
        <v>40</v>
      </c>
      <c r="AB201" s="5" t="s">
        <v>40</v>
      </c>
    </row>
    <row r="202" spans="1:28" ht="40.5">
      <c r="A202" s="5">
        <v>2016</v>
      </c>
      <c r="B202" s="7" t="str">
        <f>'[1]V, inciso p) (OP)'!B90</f>
        <v>Licitación por Invitación Restringida</v>
      </c>
      <c r="C202" s="79" t="str">
        <f>'[1]V, inciso p) (OP)'!D90</f>
        <v>DOPI-MUN-CRM-AP-CI-143-2016</v>
      </c>
      <c r="D202" s="12">
        <f>'[1]V, inciso p) (OP)'!AD90</f>
        <v>42685</v>
      </c>
      <c r="E202" s="7" t="str">
        <f>'[1]V, inciso p) (OP)'!I90</f>
        <v>Perforación y equipamiento de pozo profundo en la localidad de Cerca Morada, municipio de Zapopan, Jalisco.</v>
      </c>
      <c r="F202" s="7" t="s">
        <v>184</v>
      </c>
      <c r="G202" s="8">
        <f>'[1]V, inciso p) (OP)'!AG90</f>
        <v>4937334.7300000004</v>
      </c>
      <c r="H202" s="7" t="str">
        <f>'[1]V, inciso p) (OP)'!AS90</f>
        <v>Localidad Cerca Morada</v>
      </c>
      <c r="I202" s="5" t="str">
        <f>'[1]V, inciso p) (OP)'!T90</f>
        <v>Antonio José Rodolfo</v>
      </c>
      <c r="J202" s="5" t="str">
        <f>'[1]V, inciso p) (OP)'!U90</f>
        <v>Corcuera</v>
      </c>
      <c r="K202" s="5" t="str">
        <f>'[1]V, inciso p) (OP)'!V90</f>
        <v>Garza Madero</v>
      </c>
      <c r="L202" s="7" t="str">
        <f>'[1]V, inciso p) (OP)'!W90</f>
        <v>Alcor de Occidente, S.A. de C.V.</v>
      </c>
      <c r="M202" s="5" t="str">
        <f>'[1]V, inciso p) (OP)'!X90</f>
        <v>AOC830810TG9</v>
      </c>
      <c r="N202" s="8">
        <f t="shared" si="3"/>
        <v>4937334.7300000004</v>
      </c>
      <c r="O202" s="77" t="s">
        <v>40</v>
      </c>
      <c r="P202" s="9" t="s">
        <v>731</v>
      </c>
      <c r="Q202" s="10">
        <f>N202</f>
        <v>4937334.7300000004</v>
      </c>
      <c r="R202" s="9" t="s">
        <v>42</v>
      </c>
      <c r="S202" s="13">
        <v>96</v>
      </c>
      <c r="T202" s="7" t="s">
        <v>43</v>
      </c>
      <c r="U202" s="5" t="s">
        <v>565</v>
      </c>
      <c r="V202" s="6">
        <f>'[1]V, inciso p) (OP)'!AM90</f>
        <v>42688</v>
      </c>
      <c r="W202" s="6">
        <f>'[1]V, inciso p) (OP)'!AN90</f>
        <v>42759</v>
      </c>
      <c r="X202" s="5" t="s">
        <v>544</v>
      </c>
      <c r="Y202" s="5" t="s">
        <v>545</v>
      </c>
      <c r="Z202" s="5" t="s">
        <v>212</v>
      </c>
      <c r="AA202" s="40" t="s">
        <v>40</v>
      </c>
      <c r="AB202" s="5" t="s">
        <v>40</v>
      </c>
    </row>
    <row r="203" spans="1:28" ht="67.5">
      <c r="A203" s="5">
        <v>2016</v>
      </c>
      <c r="B203" s="7" t="str">
        <f>'[1]V, inciso p) (OP)'!B91</f>
        <v>Licitación por Invitación Restringida</v>
      </c>
      <c r="C203" s="79" t="str">
        <f>'[1]V, inciso p) (OP)'!D91</f>
        <v>DOPI-MUN-RM-IS-CI-144-2016</v>
      </c>
      <c r="D203" s="12">
        <f>'[1]V, inciso p) (OP)'!AD91</f>
        <v>42685</v>
      </c>
      <c r="E203" s="7" t="str">
        <f>'[1]V, inciso p) (OP)'!I91</f>
        <v>Rehabilitación del área de consultorios, urgencias,mortuario y acabados en general en la Cruz Verde Sur Las Aguilas, ubicada en Av. López Mateos y calle Cruz del Sur en la Colonia Las Aguilas, municipio de Zapopan, Jalisco.</v>
      </c>
      <c r="F203" s="7" t="s">
        <v>184</v>
      </c>
      <c r="G203" s="8">
        <f>'[1]V, inciso p) (OP)'!AG91</f>
        <v>3504992.46</v>
      </c>
      <c r="H203" s="7" t="str">
        <f>'[1]V, inciso p) (OP)'!AS91</f>
        <v>Colonia Las Aguilas</v>
      </c>
      <c r="I203" s="5" t="str">
        <f>'[1]V, inciso p) (OP)'!T91</f>
        <v>Marco Antonio</v>
      </c>
      <c r="J203" s="5" t="str">
        <f>'[1]V, inciso p) (OP)'!U91</f>
        <v>Cortés</v>
      </c>
      <c r="K203" s="5" t="str">
        <f>'[1]V, inciso p) (OP)'!V91</f>
        <v>González</v>
      </c>
      <c r="L203" s="7" t="str">
        <f>'[1]V, inciso p) (OP)'!W91</f>
        <v>Grupo Taube de México, S.A. de C.V.</v>
      </c>
      <c r="M203" s="5" t="str">
        <f>'[1]V, inciso p) (OP)'!X91</f>
        <v>GTM050418384</v>
      </c>
      <c r="N203" s="8">
        <f t="shared" si="3"/>
        <v>3504992.46</v>
      </c>
      <c r="O203" s="77" t="s">
        <v>40</v>
      </c>
      <c r="P203" s="9" t="s">
        <v>732</v>
      </c>
      <c r="Q203" s="10">
        <f>N203/382</f>
        <v>9175.3729319371723</v>
      </c>
      <c r="R203" s="9" t="s">
        <v>42</v>
      </c>
      <c r="S203" s="13">
        <v>280500</v>
      </c>
      <c r="T203" s="7" t="s">
        <v>43</v>
      </c>
      <c r="U203" s="5" t="s">
        <v>44</v>
      </c>
      <c r="V203" s="6">
        <f>'[1]V, inciso p) (OP)'!AM91</f>
        <v>42688</v>
      </c>
      <c r="W203" s="6">
        <f>'[1]V, inciso p) (OP)'!AN91</f>
        <v>42728</v>
      </c>
      <c r="X203" s="5" t="s">
        <v>733</v>
      </c>
      <c r="Y203" s="5" t="s">
        <v>734</v>
      </c>
      <c r="Z203" s="5" t="s">
        <v>735</v>
      </c>
      <c r="AA203" s="40" t="s">
        <v>40</v>
      </c>
      <c r="AB203" s="5" t="s">
        <v>40</v>
      </c>
    </row>
    <row r="204" spans="1:28" ht="67.5">
      <c r="A204" s="5">
        <v>2016</v>
      </c>
      <c r="B204" s="7" t="str">
        <f>'[1]V, inciso p) (OP)'!B92</f>
        <v>Licitación por Invitación Restringida</v>
      </c>
      <c r="C204" s="79" t="str">
        <f>'[1]V, inciso p) (OP)'!D92</f>
        <v>DOPI-MUN-RM-AP-CI-145-2016</v>
      </c>
      <c r="D204" s="12">
        <f>'[1]V, inciso p) (OP)'!AD92</f>
        <v>42685</v>
      </c>
      <c r="E204" s="7" t="str">
        <f>'[1]V, inciso p) (OP)'!I92</f>
        <v>Sustitución de red de agua potable, drenaje sanitario y adecuaciones pluviales en la Avenida Juan Manuel Ruvalcaba en el tramo de la calle Río Amazonas y Pedro Moreno, localidad de Santa Lucia, municipio de Zapopan, Jalisco.</v>
      </c>
      <c r="F204" s="7" t="s">
        <v>184</v>
      </c>
      <c r="G204" s="8">
        <f>'[1]V, inciso p) (OP)'!AG92</f>
        <v>5120884.03</v>
      </c>
      <c r="H204" s="7" t="str">
        <f>'[1]V, inciso p) (OP)'!AS92</f>
        <v>Localidad de Santa Lucia</v>
      </c>
      <c r="I204" s="5" t="str">
        <f>'[1]V, inciso p) (OP)'!T92</f>
        <v>Mario</v>
      </c>
      <c r="J204" s="5" t="str">
        <f>'[1]V, inciso p) (OP)'!U92</f>
        <v>Beltrán</v>
      </c>
      <c r="K204" s="5" t="str">
        <f>'[1]V, inciso p) (OP)'!V92</f>
        <v>Rodríguez</v>
      </c>
      <c r="L204" s="7" t="str">
        <f>'[1]V, inciso p) (OP)'!W92</f>
        <v xml:space="preserve">Constructora y Desarrolladora Barba y Asociados, S. A. de C. V. </v>
      </c>
      <c r="M204" s="5" t="str">
        <f>'[1]V, inciso p) (OP)'!X92</f>
        <v>CDB0506068Z4</v>
      </c>
      <c r="N204" s="8">
        <f t="shared" si="3"/>
        <v>5120884.03</v>
      </c>
      <c r="O204" s="77" t="s">
        <v>40</v>
      </c>
      <c r="P204" s="9" t="s">
        <v>736</v>
      </c>
      <c r="Q204" s="10">
        <f>N204/1988</f>
        <v>2575.8973993963782</v>
      </c>
      <c r="R204" s="9" t="s">
        <v>42</v>
      </c>
      <c r="S204" s="13">
        <v>320</v>
      </c>
      <c r="T204" s="7" t="s">
        <v>43</v>
      </c>
      <c r="U204" s="5" t="s">
        <v>44</v>
      </c>
      <c r="V204" s="6">
        <f>'[1]V, inciso p) (OP)'!AM92</f>
        <v>42688</v>
      </c>
      <c r="W204" s="6">
        <f>'[1]V, inciso p) (OP)'!AN92</f>
        <v>42728</v>
      </c>
      <c r="X204" s="5" t="s">
        <v>544</v>
      </c>
      <c r="Y204" s="5" t="s">
        <v>545</v>
      </c>
      <c r="Z204" s="5" t="s">
        <v>212</v>
      </c>
      <c r="AA204" s="40" t="s">
        <v>40</v>
      </c>
      <c r="AB204" s="5" t="s">
        <v>40</v>
      </c>
    </row>
    <row r="205" spans="1:28" ht="202.5">
      <c r="A205" s="5">
        <v>2016</v>
      </c>
      <c r="B205" s="7" t="str">
        <f>'[1]V, inciso p) (OP)'!B93</f>
        <v>Licitación por Invitación Restringida</v>
      </c>
      <c r="C205" s="79" t="str">
        <f>'[1]V, inciso p) (OP)'!D93</f>
        <v>DOPI-MUN-RM-IE-CI-146-2016</v>
      </c>
      <c r="D205" s="12">
        <f>'[1]V, inciso p) (OP)'!AD93</f>
        <v>42685</v>
      </c>
      <c r="E205" s="7" t="str">
        <f>'[1]V, inciso p) (OP)'!I93</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205" s="7" t="s">
        <v>184</v>
      </c>
      <c r="G205" s="8">
        <f>'[1]V, inciso p) (OP)'!AG93</f>
        <v>4839304.3099999996</v>
      </c>
      <c r="H205" s="7" t="str">
        <f>'[1]V, inciso p) (OP)'!AS93</f>
        <v>Colonia Centro, El Vigia, Santa Ana Tepetitlán, Jardines del Valle, Lomas de Tabachines, Paraisos del Colli y Vicente Guerrero</v>
      </c>
      <c r="I205" s="5" t="str">
        <f>'[1]V, inciso p) (OP)'!T93</f>
        <v>Gustavo</v>
      </c>
      <c r="J205" s="5" t="str">
        <f>'[1]V, inciso p) (OP)'!U93</f>
        <v>Durán</v>
      </c>
      <c r="K205" s="5" t="str">
        <f>'[1]V, inciso p) (OP)'!V93</f>
        <v>Jiménez</v>
      </c>
      <c r="L205" s="7" t="str">
        <f>'[1]V, inciso p) (OP)'!W93</f>
        <v>Durán Jiménez Arquitectos y Asociados, S.A. de C.V.</v>
      </c>
      <c r="M205" s="5" t="str">
        <f>'[1]V, inciso p) (OP)'!X93</f>
        <v>DJA9405184G7</v>
      </c>
      <c r="N205" s="8">
        <f t="shared" si="3"/>
        <v>4839304.3099999996</v>
      </c>
      <c r="O205" s="77" t="s">
        <v>40</v>
      </c>
      <c r="P205" s="9" t="s">
        <v>737</v>
      </c>
      <c r="Q205" s="10">
        <f>N205/3597</f>
        <v>1345.3723408395883</v>
      </c>
      <c r="R205" s="9" t="s">
        <v>42</v>
      </c>
      <c r="S205" s="13">
        <v>965</v>
      </c>
      <c r="T205" s="7" t="s">
        <v>43</v>
      </c>
      <c r="U205" s="5" t="s">
        <v>44</v>
      </c>
      <c r="V205" s="6">
        <f>'[1]V, inciso p) (OP)'!AM93</f>
        <v>42688</v>
      </c>
      <c r="W205" s="6">
        <f>'[1]V, inciso p) (OP)'!AN93</f>
        <v>42728</v>
      </c>
      <c r="X205" s="5" t="s">
        <v>668</v>
      </c>
      <c r="Y205" s="5" t="s">
        <v>476</v>
      </c>
      <c r="Z205" s="5" t="s">
        <v>89</v>
      </c>
      <c r="AA205" s="40" t="s">
        <v>40</v>
      </c>
      <c r="AB205" s="5" t="s">
        <v>40</v>
      </c>
    </row>
    <row r="206" spans="1:28" ht="40.5">
      <c r="A206" s="5">
        <v>2016</v>
      </c>
      <c r="B206" s="7" t="str">
        <f>'[1]V, inciso p) (OP)'!B94</f>
        <v>Licitación por Invitación Restringida</v>
      </c>
      <c r="C206" s="79" t="str">
        <f>'[1]V, inciso p) (OP)'!D94</f>
        <v>DOPI-MUN-RM-AP-CI-147-2016</v>
      </c>
      <c r="D206" s="12">
        <f>'[1]V, inciso p) (OP)'!AD94</f>
        <v>42685</v>
      </c>
      <c r="E206" s="7" t="str">
        <f>'[1]V, inciso p) (OP)'!I94</f>
        <v>Perforación y equipamiento de pozo en el ejido de Copalita.</v>
      </c>
      <c r="F206" s="7" t="s">
        <v>184</v>
      </c>
      <c r="G206" s="8">
        <f>'[1]V, inciso p) (OP)'!AG94</f>
        <v>5204600.13</v>
      </c>
      <c r="H206" s="7" t="str">
        <f>'[1]V, inciso p) (OP)'!AS94</f>
        <v>Ejido Copalita</v>
      </c>
      <c r="I206" s="5" t="str">
        <f>'[1]V, inciso p) (OP)'!T94</f>
        <v>Karla Mariana</v>
      </c>
      <c r="J206" s="5" t="str">
        <f>'[1]V, inciso p) (OP)'!U94</f>
        <v>Méndez</v>
      </c>
      <c r="K206" s="5" t="str">
        <f>'[1]V, inciso p) (OP)'!V94</f>
        <v>Rodríguez</v>
      </c>
      <c r="L206" s="7" t="str">
        <f>'[1]V, inciso p) (OP)'!W94</f>
        <v>Grupo la Fuente, S.A. de C.V.</v>
      </c>
      <c r="M206" s="5" t="str">
        <f>'[1]V, inciso p) (OP)'!X94</f>
        <v>GFU021009BC1</v>
      </c>
      <c r="N206" s="8">
        <f t="shared" si="3"/>
        <v>5204600.13</v>
      </c>
      <c r="O206" s="77" t="s">
        <v>40</v>
      </c>
      <c r="P206" s="9" t="s">
        <v>738</v>
      </c>
      <c r="Q206" s="10">
        <f>N206/300</f>
        <v>17348.667099999999</v>
      </c>
      <c r="R206" s="9" t="s">
        <v>42</v>
      </c>
      <c r="S206" s="13">
        <v>88</v>
      </c>
      <c r="T206" s="7" t="s">
        <v>43</v>
      </c>
      <c r="U206" s="5" t="s">
        <v>565</v>
      </c>
      <c r="V206" s="6">
        <f>'[1]V, inciso p) (OP)'!AM94</f>
        <v>42688</v>
      </c>
      <c r="W206" s="6">
        <f>'[1]V, inciso p) (OP)'!AN94</f>
        <v>42759</v>
      </c>
      <c r="X206" s="5" t="s">
        <v>723</v>
      </c>
      <c r="Y206" s="5" t="s">
        <v>724</v>
      </c>
      <c r="Z206" s="5" t="s">
        <v>145</v>
      </c>
      <c r="AA206" s="40" t="s">
        <v>40</v>
      </c>
      <c r="AB206" s="5" t="s">
        <v>40</v>
      </c>
    </row>
    <row r="207" spans="1:28" ht="49.9" customHeight="1">
      <c r="A207" s="5">
        <v>2016</v>
      </c>
      <c r="B207" s="7" t="str">
        <f>'[1]V, inciso p) (OP)'!B95</f>
        <v>Licitación por Invitación Restringida</v>
      </c>
      <c r="C207" s="79" t="str">
        <f>'[1]V, inciso p) (OP)'!D95</f>
        <v>DOPI-MUN-R33-ELE-CI-148-2016</v>
      </c>
      <c r="D207" s="12">
        <f>'[1]V, inciso p) (OP)'!AD95</f>
        <v>42685</v>
      </c>
      <c r="E207" s="7" t="str">
        <f>'[1]V, inciso p) (OP)'!I95</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207" s="7" t="s">
        <v>739</v>
      </c>
      <c r="G207" s="8">
        <f>'[1]V, inciso p) (OP)'!AG95</f>
        <v>4251366.43</v>
      </c>
      <c r="H207" s="7" t="str">
        <f>'[1]V, inciso p) (OP)'!AS95</f>
        <v>Varias colonias del Municipio</v>
      </c>
      <c r="I207" s="5" t="str">
        <f>'[1]V, inciso p) (OP)'!T95</f>
        <v>Héctor Alejandro</v>
      </c>
      <c r="J207" s="5" t="str">
        <f>'[1]V, inciso p) (OP)'!U95</f>
        <v>Ortega</v>
      </c>
      <c r="K207" s="5" t="str">
        <f>'[1]V, inciso p) (OP)'!V95</f>
        <v>Rosales</v>
      </c>
      <c r="L207" s="7" t="str">
        <f>'[1]V, inciso p) (OP)'!W95</f>
        <v xml:space="preserve">IME Servicios y Suministros, S. A. de C. V. </v>
      </c>
      <c r="M207" s="5" t="str">
        <f>'[1]V, inciso p) (OP)'!X95</f>
        <v>ISS920330811</v>
      </c>
      <c r="N207" s="8">
        <f t="shared" si="3"/>
        <v>4251366.43</v>
      </c>
      <c r="O207" s="77" t="s">
        <v>40</v>
      </c>
      <c r="P207" s="9" t="s">
        <v>740</v>
      </c>
      <c r="Q207" s="10">
        <f>N207/1150</f>
        <v>3696.8403739130431</v>
      </c>
      <c r="R207" s="9" t="s">
        <v>42</v>
      </c>
      <c r="S207" s="13">
        <v>906</v>
      </c>
      <c r="T207" s="7" t="s">
        <v>43</v>
      </c>
      <c r="U207" s="5" t="s">
        <v>565</v>
      </c>
      <c r="V207" s="6">
        <f>'[1]V, inciso p) (OP)'!AM95</f>
        <v>42688</v>
      </c>
      <c r="W207" s="6">
        <f>'[1]V, inciso p) (OP)'!AN95</f>
        <v>42728</v>
      </c>
      <c r="X207" s="5" t="s">
        <v>640</v>
      </c>
      <c r="Y207" s="5" t="s">
        <v>496</v>
      </c>
      <c r="Z207" s="5" t="s">
        <v>741</v>
      </c>
      <c r="AA207" s="40" t="s">
        <v>40</v>
      </c>
      <c r="AB207" s="5" t="s">
        <v>40</v>
      </c>
    </row>
    <row r="208" spans="1:28" ht="49.9" customHeight="1">
      <c r="A208" s="5">
        <v>2016</v>
      </c>
      <c r="B208" s="7" t="str">
        <f>'[1]V, inciso p) (OP)'!B96</f>
        <v>Licitación por Invitación Restringida</v>
      </c>
      <c r="C208" s="79" t="str">
        <f>'[1]V, inciso p) (OP)'!D96</f>
        <v>DOPI-MUN-R33-AP-CI-149-2016</v>
      </c>
      <c r="D208" s="12">
        <f>'[1]V, inciso p) (OP)'!AD96</f>
        <v>42727</v>
      </c>
      <c r="E208" s="7" t="str">
        <f>'[1]V, inciso p) (OP)'!I96</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208" s="7" t="s">
        <v>739</v>
      </c>
      <c r="G208" s="8">
        <f>'[1]V, inciso p) (OP)'!AG96</f>
        <v>4456704.66</v>
      </c>
      <c r="H208" s="7" t="str">
        <f>'[1]V, inciso p) (OP)'!AS96</f>
        <v>Colonia Mesa Colorada Oriente y colonia Mesa de los Ocotes</v>
      </c>
      <c r="I208" s="5" t="str">
        <f>'[1]V, inciso p) (OP)'!T96</f>
        <v>Eduardo</v>
      </c>
      <c r="J208" s="5" t="str">
        <f>'[1]V, inciso p) (OP)'!U96</f>
        <v>Romero</v>
      </c>
      <c r="K208" s="5" t="str">
        <f>'[1]V, inciso p) (OP)'!V96</f>
        <v>Lugo</v>
      </c>
      <c r="L208" s="7" t="str">
        <f>'[1]V, inciso p) (OP)'!W96</f>
        <v>RS Obras y Servicios, S.A. de C.V.</v>
      </c>
      <c r="M208" s="5" t="str">
        <f>'[1]V, inciso p) (OP)'!X96</f>
        <v>ROS120904PV9</v>
      </c>
      <c r="N208" s="8">
        <f>G208</f>
        <v>4456704.66</v>
      </c>
      <c r="O208" s="77" t="s">
        <v>40</v>
      </c>
      <c r="P208" s="9" t="s">
        <v>742</v>
      </c>
      <c r="Q208" s="10">
        <f>N208/1349.88</f>
        <v>3301.5561827718016</v>
      </c>
      <c r="R208" s="9" t="s">
        <v>42</v>
      </c>
      <c r="S208" s="13">
        <v>302</v>
      </c>
      <c r="T208" s="7" t="s">
        <v>43</v>
      </c>
      <c r="U208" s="5" t="s">
        <v>565</v>
      </c>
      <c r="V208" s="6">
        <f>'[1]V, inciso p) (OP)'!AM96</f>
        <v>42730</v>
      </c>
      <c r="W208" s="6">
        <f>'[1]V, inciso p) (OP)'!AN96</f>
        <v>42831</v>
      </c>
      <c r="X208" s="5" t="s">
        <v>681</v>
      </c>
      <c r="Y208" s="5" t="s">
        <v>682</v>
      </c>
      <c r="Z208" s="5" t="s">
        <v>683</v>
      </c>
      <c r="AA208" s="40" t="s">
        <v>40</v>
      </c>
      <c r="AB208" s="5" t="s">
        <v>40</v>
      </c>
    </row>
    <row r="209" spans="1:28" ht="108">
      <c r="A209" s="5">
        <v>2016</v>
      </c>
      <c r="B209" s="7" t="str">
        <f>'[1]V, inciso p) (OP)'!B97</f>
        <v>Licitación por Invitación Restringida</v>
      </c>
      <c r="C209" s="79" t="str">
        <f>'[1]V, inciso p) (OP)'!D97</f>
        <v>DOPI-MUN-RM-PAV-CI-150-2016</v>
      </c>
      <c r="D209" s="12">
        <f>'[1]V, inciso p) (OP)'!AD97</f>
        <v>42685</v>
      </c>
      <c r="E209" s="7" t="str">
        <f>'[1]V, inciso p) (OP)'!I97</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209" s="7" t="s">
        <v>184</v>
      </c>
      <c r="G209" s="8">
        <f>'[1]V, inciso p) (OP)'!AG97</f>
        <v>4960902.49</v>
      </c>
      <c r="H209" s="7" t="str">
        <f>'[1]V, inciso p) (OP)'!AS97</f>
        <v>San Juan de Ocotán</v>
      </c>
      <c r="I209" s="5" t="str">
        <f>'[1]V, inciso p) (OP)'!T97</f>
        <v>David Eduardo</v>
      </c>
      <c r="J209" s="5" t="str">
        <f>'[1]V, inciso p) (OP)'!U97</f>
        <v>Lara</v>
      </c>
      <c r="K209" s="5" t="str">
        <f>'[1]V, inciso p) (OP)'!V97</f>
        <v>Ochoa</v>
      </c>
      <c r="L209" s="7" t="str">
        <f>'[1]V, inciso p) (OP)'!W97</f>
        <v xml:space="preserve">Construcciones ICU, S.A. de C.V. </v>
      </c>
      <c r="M209" s="5" t="str">
        <f>'[1]V, inciso p) (OP)'!X97</f>
        <v>CIC080626ER2</v>
      </c>
      <c r="N209" s="8">
        <f t="shared" si="3"/>
        <v>4960902.49</v>
      </c>
      <c r="O209" s="78">
        <v>4480983.33</v>
      </c>
      <c r="P209" s="9" t="s">
        <v>743</v>
      </c>
      <c r="Q209" s="10">
        <f>N209/7500</f>
        <v>661.45366533333333</v>
      </c>
      <c r="R209" s="9" t="s">
        <v>42</v>
      </c>
      <c r="S209" s="13">
        <v>35640</v>
      </c>
      <c r="T209" s="7" t="s">
        <v>43</v>
      </c>
      <c r="U209" s="5" t="s">
        <v>44</v>
      </c>
      <c r="V209" s="6">
        <f>'[1]V, inciso p) (OP)'!AM97</f>
        <v>42688</v>
      </c>
      <c r="W209" s="6">
        <f>'[1]V, inciso p) (OP)'!AN97</f>
        <v>42728</v>
      </c>
      <c r="X209" s="5" t="s">
        <v>586</v>
      </c>
      <c r="Y209" s="5" t="s">
        <v>404</v>
      </c>
      <c r="Z209" s="5" t="s">
        <v>405</v>
      </c>
      <c r="AA209" s="40" t="s">
        <v>40</v>
      </c>
      <c r="AB209" s="5" t="s">
        <v>40</v>
      </c>
    </row>
    <row r="210" spans="1:28" ht="108">
      <c r="A210" s="5">
        <v>2016</v>
      </c>
      <c r="B210" s="7" t="str">
        <f>'[1]V, inciso p) (OP)'!B98</f>
        <v>Licitación por Invitación Restringida</v>
      </c>
      <c r="C210" s="79" t="str">
        <f>'[1]V, inciso p) (OP)'!D98</f>
        <v>DOPI-MUN-RM-PAV-CI-151-2016</v>
      </c>
      <c r="D210" s="12">
        <f>'[1]V, inciso p) (OP)'!AD98</f>
        <v>42685</v>
      </c>
      <c r="E210" s="7"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210" s="7" t="s">
        <v>184</v>
      </c>
      <c r="G210" s="8">
        <f>'[1]V, inciso p) (OP)'!AG98</f>
        <v>4130342.71</v>
      </c>
      <c r="H210" s="7" t="str">
        <f>'[1]V, inciso p) (OP)'!AS98</f>
        <v>San Juan de Ocotán</v>
      </c>
      <c r="I210" s="5" t="str">
        <f>'[1]V, inciso p) (OP)'!T98</f>
        <v>Luis Armando</v>
      </c>
      <c r="J210" s="5" t="str">
        <f>'[1]V, inciso p) (OP)'!U98</f>
        <v>Linares</v>
      </c>
      <c r="K210" s="5" t="str">
        <f>'[1]V, inciso p) (OP)'!V98</f>
        <v>Cacho</v>
      </c>
      <c r="L210" s="7" t="str">
        <f>'[1]V, inciso p) (OP)'!W98</f>
        <v>Urbanizadora y Constructora Roal, S.A. de C.V.</v>
      </c>
      <c r="M210" s="5" t="str">
        <f>'[1]V, inciso p) (OP)'!X98</f>
        <v>URC160310857</v>
      </c>
      <c r="N210" s="8">
        <f t="shared" si="3"/>
        <v>4130342.71</v>
      </c>
      <c r="O210" s="78">
        <v>4130342.71</v>
      </c>
      <c r="P210" s="9" t="s">
        <v>744</v>
      </c>
      <c r="Q210" s="10">
        <f>N210/3201</f>
        <v>1290.3288691034052</v>
      </c>
      <c r="R210" s="9" t="s">
        <v>42</v>
      </c>
      <c r="S210" s="13">
        <v>35640</v>
      </c>
      <c r="T210" s="7" t="s">
        <v>43</v>
      </c>
      <c r="U210" s="5" t="s">
        <v>44</v>
      </c>
      <c r="V210" s="6">
        <f>'[1]V, inciso p) (OP)'!AM98</f>
        <v>42688</v>
      </c>
      <c r="W210" s="6">
        <f>'[1]V, inciso p) (OP)'!AN98</f>
        <v>42728</v>
      </c>
      <c r="X210" s="5" t="s">
        <v>586</v>
      </c>
      <c r="Y210" s="5" t="s">
        <v>404</v>
      </c>
      <c r="Z210" s="5" t="s">
        <v>405</v>
      </c>
      <c r="AA210" s="40" t="s">
        <v>40</v>
      </c>
      <c r="AB210" s="5" t="s">
        <v>40</v>
      </c>
    </row>
    <row r="211" spans="1:28" ht="108">
      <c r="A211" s="5">
        <v>2016</v>
      </c>
      <c r="B211" s="7" t="str">
        <f>'[1]V, inciso p) (OP)'!B99</f>
        <v>Licitación por Invitación Restringida</v>
      </c>
      <c r="C211" s="79" t="str">
        <f>'[1]V, inciso p) (OP)'!D99</f>
        <v>DOPI-MUN-RM-PAV-CI-152-2016</v>
      </c>
      <c r="D211" s="12">
        <f>'[1]V, inciso p) (OP)'!AD99</f>
        <v>42685</v>
      </c>
      <c r="E211" s="7"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211" s="7" t="s">
        <v>184</v>
      </c>
      <c r="G211" s="8">
        <f>'[1]V, inciso p) (OP)'!AG99</f>
        <v>5069996.18</v>
      </c>
      <c r="H211" s="7" t="str">
        <f>'[1]V, inciso p) (OP)'!AS99</f>
        <v>San Juan de Ocotán</v>
      </c>
      <c r="I211" s="5" t="str">
        <f>'[1]V, inciso p) (OP)'!T99</f>
        <v>Carlos Ignacio</v>
      </c>
      <c r="J211" s="5" t="str">
        <f>'[1]V, inciso p) (OP)'!U99</f>
        <v>Curiel</v>
      </c>
      <c r="K211" s="5" t="str">
        <f>'[1]V, inciso p) (OP)'!V99</f>
        <v>Dueñas</v>
      </c>
      <c r="L211" s="7" t="str">
        <f>'[1]V, inciso p) (OP)'!W99</f>
        <v>Constructora Cecuchi, S.A. de C.V.</v>
      </c>
      <c r="M211" s="5" t="str">
        <f>'[1]V, inciso p) (OP)'!X99</f>
        <v>CCE130723IR7</v>
      </c>
      <c r="N211" s="8">
        <f t="shared" si="3"/>
        <v>5069996.18</v>
      </c>
      <c r="O211" s="77" t="s">
        <v>40</v>
      </c>
      <c r="P211" s="9" t="s">
        <v>745</v>
      </c>
      <c r="Q211" s="10">
        <f>N211/16033</f>
        <v>316.2225522360132</v>
      </c>
      <c r="R211" s="9" t="s">
        <v>42</v>
      </c>
      <c r="S211" s="13">
        <v>4226</v>
      </c>
      <c r="T211" s="7" t="s">
        <v>43</v>
      </c>
      <c r="U211" s="5" t="s">
        <v>565</v>
      </c>
      <c r="V211" s="6">
        <f>'[1]V, inciso p) (OP)'!AM99</f>
        <v>42688</v>
      </c>
      <c r="W211" s="6">
        <f>'[1]V, inciso p) (OP)'!AN99</f>
        <v>42728</v>
      </c>
      <c r="X211" s="5" t="s">
        <v>586</v>
      </c>
      <c r="Y211" s="5" t="s">
        <v>404</v>
      </c>
      <c r="Z211" s="5" t="s">
        <v>405</v>
      </c>
      <c r="AA211" s="40" t="s">
        <v>40</v>
      </c>
      <c r="AB211" s="5" t="s">
        <v>40</v>
      </c>
    </row>
    <row r="212" spans="1:28" ht="94.5">
      <c r="A212" s="5">
        <v>2016</v>
      </c>
      <c r="B212" s="7" t="str">
        <f>'[1]V, inciso p) (OP)'!B100</f>
        <v>Licitación por Invitación Restringida</v>
      </c>
      <c r="C212" s="79" t="str">
        <f>'[1]V, inciso p) (OP)'!D100</f>
        <v>DOPI-MUN-RM-PAV-CI-153-2016</v>
      </c>
      <c r="D212" s="12">
        <f>'[1]V, inciso p) (OP)'!AD100</f>
        <v>42685</v>
      </c>
      <c r="E212" s="7" t="str">
        <f>'[1]V, inciso p) (OP)'!I100</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212" s="7" t="s">
        <v>184</v>
      </c>
      <c r="G212" s="8">
        <f>'[1]V, inciso p) (OP)'!AG100</f>
        <v>7253719.3200000003</v>
      </c>
      <c r="H212" s="7" t="str">
        <f>'[1]V, inciso p) (OP)'!AS100</f>
        <v>Localidad de Tesistán</v>
      </c>
      <c r="I212" s="5" t="str">
        <f>'[1]V, inciso p) (OP)'!T100</f>
        <v xml:space="preserve"> Martha </v>
      </c>
      <c r="J212" s="5" t="str">
        <f>'[1]V, inciso p) (OP)'!U100</f>
        <v>Jiménez</v>
      </c>
      <c r="K212" s="5" t="str">
        <f>'[1]V, inciso p) (OP)'!V100</f>
        <v>López</v>
      </c>
      <c r="L212" s="7" t="str">
        <f>'[1]V, inciso p) (OP)'!W100</f>
        <v>Inmobiliaria Bochum S. de R.L. de C.V.</v>
      </c>
      <c r="M212" s="5" t="str">
        <f>'[1]V, inciso p) (OP)'!X100</f>
        <v>IBO090918ET9</v>
      </c>
      <c r="N212" s="8">
        <f t="shared" si="3"/>
        <v>7253719.3200000003</v>
      </c>
      <c r="O212" s="77" t="s">
        <v>40</v>
      </c>
      <c r="P212" s="9" t="s">
        <v>746</v>
      </c>
      <c r="Q212" s="10">
        <f>N212/3682</f>
        <v>1970.0487017925041</v>
      </c>
      <c r="R212" s="9" t="s">
        <v>42</v>
      </c>
      <c r="S212" s="13">
        <v>125</v>
      </c>
      <c r="T212" s="7" t="s">
        <v>43</v>
      </c>
      <c r="U212" s="5" t="s">
        <v>44</v>
      </c>
      <c r="V212" s="6">
        <f>'[1]V, inciso p) (OP)'!AM100</f>
        <v>42688</v>
      </c>
      <c r="W212" s="6">
        <f>'[1]V, inciso p) (OP)'!AN100</f>
        <v>42728</v>
      </c>
      <c r="X212" s="5" t="s">
        <v>544</v>
      </c>
      <c r="Y212" s="5" t="s">
        <v>545</v>
      </c>
      <c r="Z212" s="5" t="s">
        <v>212</v>
      </c>
      <c r="AA212" s="40" t="s">
        <v>40</v>
      </c>
      <c r="AB212" s="5" t="s">
        <v>40</v>
      </c>
    </row>
    <row r="213" spans="1:28" ht="94.5">
      <c r="A213" s="5">
        <v>2016</v>
      </c>
      <c r="B213" s="7" t="str">
        <f>'[1]V, inciso p) (OP)'!B101</f>
        <v>Licitación por Invitación Restringida</v>
      </c>
      <c r="C213" s="79" t="str">
        <f>'[1]V, inciso p) (OP)'!D101</f>
        <v>DOPI-MUN-RM-PAV-CI-154-2016</v>
      </c>
      <c r="D213" s="12">
        <f>'[1]V, inciso p) (OP)'!AD101</f>
        <v>42685</v>
      </c>
      <c r="E213" s="7" t="str">
        <f>'[1]V, inciso p) (OP)'!I101</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213" s="7" t="s">
        <v>184</v>
      </c>
      <c r="G213" s="8">
        <f>'[1]V, inciso p) (OP)'!AG101</f>
        <v>3382310.92</v>
      </c>
      <c r="H213" s="7" t="str">
        <f>'[1]V, inciso p) (OP)'!AS101</f>
        <v>Colonia La Calma</v>
      </c>
      <c r="I213" s="5" t="str">
        <f>'[1]V, inciso p) (OP)'!T101</f>
        <v>Carlos</v>
      </c>
      <c r="J213" s="5" t="str">
        <f>'[1]V, inciso p) (OP)'!U101</f>
        <v>Pérez</v>
      </c>
      <c r="K213" s="5" t="str">
        <f>'[1]V, inciso p) (OP)'!V101</f>
        <v>Cruz</v>
      </c>
      <c r="L213" s="7" t="str">
        <f>'[1]V, inciso p) (OP)'!W101</f>
        <v>Constructora Pecru, S.A. de C.V.</v>
      </c>
      <c r="M213" s="5" t="str">
        <f>'[1]V, inciso p) (OP)'!X101</f>
        <v>CPE070123PD4</v>
      </c>
      <c r="N213" s="8">
        <f t="shared" si="3"/>
        <v>3382310.92</v>
      </c>
      <c r="O213" s="77" t="s">
        <v>40</v>
      </c>
      <c r="P213" s="9" t="s">
        <v>747</v>
      </c>
      <c r="Q213" s="10">
        <f>N213/1598</f>
        <v>2116.5900625782228</v>
      </c>
      <c r="R213" s="9" t="s">
        <v>42</v>
      </c>
      <c r="S213" s="13">
        <v>266</v>
      </c>
      <c r="T213" s="7" t="s">
        <v>43</v>
      </c>
      <c r="U213" s="5" t="s">
        <v>44</v>
      </c>
      <c r="V213" s="6">
        <f>'[1]V, inciso p) (OP)'!AM101</f>
        <v>42688</v>
      </c>
      <c r="W213" s="6">
        <f>'[1]V, inciso p) (OP)'!AN101</f>
        <v>42728</v>
      </c>
      <c r="X213" s="5" t="s">
        <v>671</v>
      </c>
      <c r="Y213" s="5" t="s">
        <v>334</v>
      </c>
      <c r="Z213" s="5" t="s">
        <v>133</v>
      </c>
      <c r="AA213" s="40" t="s">
        <v>40</v>
      </c>
      <c r="AB213" s="5" t="s">
        <v>40</v>
      </c>
    </row>
    <row r="214" spans="1:28" ht="67.5">
      <c r="A214" s="5">
        <v>2016</v>
      </c>
      <c r="B214" s="7" t="str">
        <f>'[1]V, inciso p) (OP)'!B102</f>
        <v>Licitación por Invitación Restringida</v>
      </c>
      <c r="C214" s="79" t="str">
        <f>'[1]V, inciso p) (OP)'!D102</f>
        <v>DOPI-MUN-RM-PAV-CI-155-2016</v>
      </c>
      <c r="D214" s="12">
        <f>'[1]V, inciso p) (OP)'!AD102</f>
        <v>42685</v>
      </c>
      <c r="E214" s="7" t="str">
        <f>'[1]V, inciso p) (OP)'!I102</f>
        <v>Construcción de empedrado tradicional y huellas de rodamiento de concreto hidráulico MR-42, cunetas, guarniciones, banquetas, señalamiento vertical y horizontal en el camino al Arenero, municipio de Zapopan, Jalisco.</v>
      </c>
      <c r="F214" s="7" t="s">
        <v>184</v>
      </c>
      <c r="G214" s="8">
        <f>'[1]V, inciso p) (OP)'!AG102</f>
        <v>7468157.6799999997</v>
      </c>
      <c r="H214" s="7" t="str">
        <f>'[1]V, inciso p) (OP)'!AS102</f>
        <v>Colonia Bajío</v>
      </c>
      <c r="I214" s="5" t="str">
        <f>'[1]V, inciso p) (OP)'!T102</f>
        <v>Arturo</v>
      </c>
      <c r="J214" s="5" t="str">
        <f>'[1]V, inciso p) (OP)'!U102</f>
        <v>Rangel</v>
      </c>
      <c r="K214" s="5" t="str">
        <f>'[1]V, inciso p) (OP)'!V102</f>
        <v>Paez</v>
      </c>
      <c r="L214" s="7" t="str">
        <f>'[1]V, inciso p) (OP)'!W102</f>
        <v>Constructora Lasa, S.A. de C.V.</v>
      </c>
      <c r="M214" s="5" t="str">
        <f>'[1]V, inciso p) (OP)'!X102</f>
        <v>CLA890925ER5</v>
      </c>
      <c r="N214" s="8">
        <f t="shared" si="3"/>
        <v>7468157.6799999997</v>
      </c>
      <c r="O214" s="77" t="s">
        <v>40</v>
      </c>
      <c r="P214" s="9" t="s">
        <v>748</v>
      </c>
      <c r="Q214" s="10">
        <f>N214/6512</f>
        <v>1146.8301105651105</v>
      </c>
      <c r="R214" s="9" t="s">
        <v>42</v>
      </c>
      <c r="S214" s="13">
        <v>1224</v>
      </c>
      <c r="T214" s="7" t="s">
        <v>43</v>
      </c>
      <c r="U214" s="5" t="s">
        <v>44</v>
      </c>
      <c r="V214" s="6">
        <f>'[1]V, inciso p) (OP)'!AM102</f>
        <v>42688</v>
      </c>
      <c r="W214" s="6">
        <f>'[1]V, inciso p) (OP)'!AN102</f>
        <v>42728</v>
      </c>
      <c r="X214" s="5" t="s">
        <v>530</v>
      </c>
      <c r="Y214" s="5" t="s">
        <v>343</v>
      </c>
      <c r="Z214" s="5" t="s">
        <v>344</v>
      </c>
      <c r="AA214" s="40" t="s">
        <v>40</v>
      </c>
      <c r="AB214" s="5" t="s">
        <v>40</v>
      </c>
    </row>
    <row r="215" spans="1:28" ht="162">
      <c r="A215" s="5">
        <v>2016</v>
      </c>
      <c r="B215" s="7" t="str">
        <f>'[1]V, inciso p) (OP)'!B103</f>
        <v>Licitación por Invitación Restringida</v>
      </c>
      <c r="C215" s="79" t="str">
        <f>'[1]V, inciso p) (OP)'!D103</f>
        <v>DOPI-MUN-RM-IE-CI-156-2016</v>
      </c>
      <c r="D215" s="12">
        <f>'[1]V, inciso p) (OP)'!AD103</f>
        <v>42685</v>
      </c>
      <c r="E215" s="7" t="str">
        <f>'[1]V, inciso p) (OP)'!I103</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215" s="7" t="s">
        <v>184</v>
      </c>
      <c r="G215" s="8">
        <f>'[1]V, inciso p) (OP)'!AG103</f>
        <v>4189228.4</v>
      </c>
      <c r="H215" s="7" t="str">
        <f>'[1]V, inciso p) (OP)'!AS103</f>
        <v>Varias colonias del Municipio</v>
      </c>
      <c r="I215" s="5" t="str">
        <f>'[1]V, inciso p) (OP)'!T103</f>
        <v>Eduardo</v>
      </c>
      <c r="J215" s="5" t="str">
        <f>'[1]V, inciso p) (OP)'!U103</f>
        <v>Cruz</v>
      </c>
      <c r="K215" s="5" t="str">
        <f>'[1]V, inciso p) (OP)'!V103</f>
        <v>Moguel</v>
      </c>
      <c r="L215" s="7" t="str">
        <f>'[1]V, inciso p) (OP)'!W103</f>
        <v>Balken, S.A. de C.V.</v>
      </c>
      <c r="M215" s="5" t="str">
        <f>'[1]V, inciso p) (OP)'!X103</f>
        <v>BAL990803661</v>
      </c>
      <c r="N215" s="8">
        <f t="shared" si="3"/>
        <v>4189228.4</v>
      </c>
      <c r="O215" s="77" t="s">
        <v>40</v>
      </c>
      <c r="P215" s="9" t="s">
        <v>749</v>
      </c>
      <c r="Q215" s="10">
        <f>N215/3208</f>
        <v>1305.8692019950124</v>
      </c>
      <c r="R215" s="9" t="s">
        <v>42</v>
      </c>
      <c r="S215" s="13">
        <v>2831</v>
      </c>
      <c r="T215" s="7" t="s">
        <v>43</v>
      </c>
      <c r="U215" s="5" t="s">
        <v>44</v>
      </c>
      <c r="V215" s="6">
        <f>'[1]V, inciso p) (OP)'!AM103</f>
        <v>42688</v>
      </c>
      <c r="W215" s="6">
        <f>'[1]V, inciso p) (OP)'!AN103</f>
        <v>42728</v>
      </c>
      <c r="X215" s="5" t="s">
        <v>701</v>
      </c>
      <c r="Y215" s="5" t="s">
        <v>295</v>
      </c>
      <c r="Z215" s="5" t="s">
        <v>702</v>
      </c>
      <c r="AA215" s="40" t="s">
        <v>40</v>
      </c>
      <c r="AB215" s="5" t="s">
        <v>40</v>
      </c>
    </row>
    <row r="216" spans="1:28" ht="148.5">
      <c r="A216" s="5">
        <v>2016</v>
      </c>
      <c r="B216" s="7" t="str">
        <f>'[1]V, inciso p) (OP)'!B104</f>
        <v>Licitación por Invitación Restringida</v>
      </c>
      <c r="C216" s="79" t="str">
        <f>'[1]V, inciso p) (OP)'!D104</f>
        <v>DOPI-MUN-RM-IE-CI-157-2016</v>
      </c>
      <c r="D216" s="12">
        <f>'[1]V, inciso p) (OP)'!AD104</f>
        <v>42685</v>
      </c>
      <c r="E216" s="7" t="str">
        <f>'[1]V, inciso p) (OP)'!I104</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216" s="7" t="s">
        <v>184</v>
      </c>
      <c r="G216" s="8">
        <f>'[1]V, inciso p) (OP)'!AG104</f>
        <v>3269771.91</v>
      </c>
      <c r="H216" s="7" t="str">
        <f>'[1]V, inciso p) (OP)'!AS104</f>
        <v>Varias colonias del Municipio</v>
      </c>
      <c r="I216" s="5" t="str">
        <f>'[1]V, inciso p) (OP)'!T104</f>
        <v>Vicente</v>
      </c>
      <c r="J216" s="5" t="str">
        <f>'[1]V, inciso p) (OP)'!U104</f>
        <v>Mendoza</v>
      </c>
      <c r="K216" s="5" t="str">
        <f>'[1]V, inciso p) (OP)'!V104</f>
        <v>Lamas</v>
      </c>
      <c r="L216" s="7" t="str">
        <f>'[1]V, inciso p) (OP)'!W104</f>
        <v>Constructora y Urbanizadora Arista, S.A. de C.V.</v>
      </c>
      <c r="M216" s="5" t="str">
        <f>'[1]V, inciso p) (OP)'!X104</f>
        <v>CUA130425I70</v>
      </c>
      <c r="N216" s="8">
        <f t="shared" si="3"/>
        <v>3269771.91</v>
      </c>
      <c r="O216" s="77" t="s">
        <v>40</v>
      </c>
      <c r="P216" s="9" t="s">
        <v>750</v>
      </c>
      <c r="Q216" s="10">
        <f>N216/2548</f>
        <v>1283.2699803767662</v>
      </c>
      <c r="R216" s="9" t="s">
        <v>42</v>
      </c>
      <c r="S216" s="13">
        <v>1402</v>
      </c>
      <c r="T216" s="7" t="s">
        <v>43</v>
      </c>
      <c r="U216" s="5" t="s">
        <v>44</v>
      </c>
      <c r="V216" s="6">
        <f>'[1]V, inciso p) (OP)'!AM104</f>
        <v>42688</v>
      </c>
      <c r="W216" s="6">
        <f>'[1]V, inciso p) (OP)'!AN104</f>
        <v>42728</v>
      </c>
      <c r="X216" s="5" t="s">
        <v>733</v>
      </c>
      <c r="Y216" s="5" t="s">
        <v>734</v>
      </c>
      <c r="Z216" s="5" t="s">
        <v>735</v>
      </c>
      <c r="AA216" s="40" t="s">
        <v>40</v>
      </c>
      <c r="AB216" s="5" t="s">
        <v>40</v>
      </c>
    </row>
    <row r="217" spans="1:28" ht="148.5">
      <c r="A217" s="5">
        <v>2016</v>
      </c>
      <c r="B217" s="7" t="str">
        <f>'[1]V, inciso p) (OP)'!B105</f>
        <v>Licitación por Invitación Restringida</v>
      </c>
      <c r="C217" s="79" t="str">
        <f>'[1]V, inciso p) (OP)'!D105</f>
        <v>DOPI-MUN-RM-IE-CI-158-2016</v>
      </c>
      <c r="D217" s="12">
        <f>'[1]V, inciso p) (OP)'!AD105</f>
        <v>42685</v>
      </c>
      <c r="E217" s="7" t="str">
        <f>'[1]V, inciso p) (OP)'!I105</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217" s="7" t="s">
        <v>184</v>
      </c>
      <c r="G217" s="8">
        <f>'[1]V, inciso p) (OP)'!AG105</f>
        <v>3328458.75</v>
      </c>
      <c r="H217" s="7" t="str">
        <f>'[1]V, inciso p) (OP)'!AS105</f>
        <v>Varias colonias del Municipio</v>
      </c>
      <c r="I217" s="5" t="str">
        <f>'[1]V, inciso p) (OP)'!T105</f>
        <v>J. Gerardo</v>
      </c>
      <c r="J217" s="5" t="str">
        <f>'[1]V, inciso p) (OP)'!U105</f>
        <v>Nicanor</v>
      </c>
      <c r="K217" s="5" t="str">
        <f>'[1]V, inciso p) (OP)'!V105</f>
        <v>Mejia Mariscal</v>
      </c>
      <c r="L217" s="7" t="str">
        <f>'[1]V, inciso p) (OP)'!W105</f>
        <v>Ineco Construye, S.A. de C.V.</v>
      </c>
      <c r="M217" s="5" t="str">
        <f>'[1]V, inciso p) (OP)'!X105</f>
        <v>ICO980722M04</v>
      </c>
      <c r="N217" s="8">
        <f t="shared" si="3"/>
        <v>3328458.75</v>
      </c>
      <c r="O217" s="77" t="s">
        <v>40</v>
      </c>
      <c r="P217" s="9" t="s">
        <v>751</v>
      </c>
      <c r="Q217" s="10">
        <f>N217/2378</f>
        <v>1399.6882884777124</v>
      </c>
      <c r="R217" s="9" t="s">
        <v>42</v>
      </c>
      <c r="S217" s="13">
        <v>1020</v>
      </c>
      <c r="T217" s="7" t="s">
        <v>43</v>
      </c>
      <c r="U217" s="5" t="s">
        <v>44</v>
      </c>
      <c r="V217" s="6">
        <f>'[1]V, inciso p) (OP)'!AM105</f>
        <v>42688</v>
      </c>
      <c r="W217" s="6">
        <f>'[1]V, inciso p) (OP)'!AN105</f>
        <v>42728</v>
      </c>
      <c r="X217" s="5" t="s">
        <v>668</v>
      </c>
      <c r="Y217" s="5" t="s">
        <v>476</v>
      </c>
      <c r="Z217" s="5" t="s">
        <v>89</v>
      </c>
      <c r="AA217" s="40" t="s">
        <v>40</v>
      </c>
      <c r="AB217" s="5" t="s">
        <v>40</v>
      </c>
    </row>
    <row r="218" spans="1:28" ht="81">
      <c r="A218" s="5">
        <v>2016</v>
      </c>
      <c r="B218" s="5" t="s">
        <v>64</v>
      </c>
      <c r="C218" s="79" t="str">
        <f>'[1]V, inciso o) (OP)'!C72</f>
        <v>DOPI-MUN-RM-PAV-AD-159-2016</v>
      </c>
      <c r="D218" s="12">
        <f>'[1]V, inciso o) (OP)'!V72</f>
        <v>42613</v>
      </c>
      <c r="E218" s="7" t="str">
        <f>'[1]V, inciso o) (OP)'!AA72</f>
        <v>Sustitución de rejillas en bocas de tormenta en Avenida Patria ente Avila Camacho y Real Acueducto, en Avenida Tepeyac entre Manuel J. Clouthier y limite municipal, lateral Periférico en su cruce con Mariano Otero, municipio de Zapopan, Jalisco</v>
      </c>
      <c r="F218" s="7" t="s">
        <v>184</v>
      </c>
      <c r="G218" s="8">
        <f>'[1]V, inciso o) (OP)'!Y72</f>
        <v>1439734.18</v>
      </c>
      <c r="H218" s="7" t="s">
        <v>225</v>
      </c>
      <c r="I218" s="5" t="str">
        <f>'[1]V, inciso o) (OP)'!M72</f>
        <v>José Jaime</v>
      </c>
      <c r="J218" s="5" t="str">
        <f>'[1]V, inciso o) (OP)'!N72</f>
        <v>Camarena</v>
      </c>
      <c r="K218" s="5" t="str">
        <f>'[1]V, inciso o) (OP)'!O72</f>
        <v>Correa</v>
      </c>
      <c r="L218" s="7" t="str">
        <f>'[1]V, inciso o) (OP)'!P72</f>
        <v>Firmitas Constructa, S.A. de C.V.</v>
      </c>
      <c r="M218" s="5" t="str">
        <f>'[1]V, inciso o) (OP)'!Q72</f>
        <v>FCO110711N24</v>
      </c>
      <c r="N218" s="8">
        <f>'[1]V, inciso o) (OP)'!Y72</f>
        <v>1439734.18</v>
      </c>
      <c r="O218" s="77" t="s">
        <v>40</v>
      </c>
      <c r="P218" s="5" t="s">
        <v>752</v>
      </c>
      <c r="Q218" s="8">
        <f>N218/15</f>
        <v>95982.278666666665</v>
      </c>
      <c r="R218" s="5" t="s">
        <v>42</v>
      </c>
      <c r="S218" s="11">
        <v>102366</v>
      </c>
      <c r="T218" s="7" t="s">
        <v>43</v>
      </c>
      <c r="U218" s="5" t="s">
        <v>44</v>
      </c>
      <c r="V218" s="6">
        <f>'[1]V, inciso o) (OP)'!AD72</f>
        <v>42618</v>
      </c>
      <c r="W218" s="6">
        <f>'[1]V, inciso o) (OP)'!AE72</f>
        <v>42658</v>
      </c>
      <c r="X218" s="5" t="s">
        <v>605</v>
      </c>
      <c r="Y218" s="5" t="s">
        <v>442</v>
      </c>
      <c r="Z218" s="5" t="s">
        <v>101</v>
      </c>
      <c r="AA218" s="40" t="s">
        <v>40</v>
      </c>
      <c r="AB218" s="5" t="s">
        <v>40</v>
      </c>
    </row>
    <row r="219" spans="1:28" ht="40.5">
      <c r="A219" s="5">
        <v>2016</v>
      </c>
      <c r="B219" s="5" t="s">
        <v>64</v>
      </c>
      <c r="C219" s="79" t="str">
        <f>'[1]V, inciso o) (OP)'!C73</f>
        <v>DOPI-MUN-RM-PAV-AD-160-2016</v>
      </c>
      <c r="D219" s="12">
        <f>'[1]V, inciso o) (OP)'!V73</f>
        <v>42615</v>
      </c>
      <c r="E219" s="7" t="str">
        <f>'[1]V, inciso o) (OP)'!AA73</f>
        <v>Programa emergente de bacheo de vialidades en Zapopan Centro tramo 1, municipio de Zapopan, Jalisco.</v>
      </c>
      <c r="F219" s="7" t="s">
        <v>184</v>
      </c>
      <c r="G219" s="8">
        <f>'[1]V, inciso o) (OP)'!Y73</f>
        <v>998750.24</v>
      </c>
      <c r="H219" s="7" t="s">
        <v>225</v>
      </c>
      <c r="I219" s="5" t="str">
        <f>'[1]V, inciso o) (OP)'!M73</f>
        <v>Luis Armando</v>
      </c>
      <c r="J219" s="5" t="str">
        <f>'[1]V, inciso o) (OP)'!N73</f>
        <v>Linares</v>
      </c>
      <c r="K219" s="5" t="str">
        <f>'[1]V, inciso o) (OP)'!O73</f>
        <v>Cacho</v>
      </c>
      <c r="L219" s="7" t="str">
        <f>'[1]V, inciso o) (OP)'!P73</f>
        <v>Urbanizadora y Constructora Roal, S.A. de C.V.</v>
      </c>
      <c r="M219" s="5" t="str">
        <f>'[1]V, inciso o) (OP)'!Q73</f>
        <v>URC160310857</v>
      </c>
      <c r="N219" s="8">
        <f>'[1]V, inciso o) (OP)'!Y73</f>
        <v>998750.24</v>
      </c>
      <c r="O219" s="78">
        <v>998750.23</v>
      </c>
      <c r="P219" s="9" t="s">
        <v>753</v>
      </c>
      <c r="Q219" s="10">
        <f>N219/5625</f>
        <v>177.55559822222222</v>
      </c>
      <c r="R219" s="9" t="s">
        <v>42</v>
      </c>
      <c r="S219" s="13">
        <v>17598</v>
      </c>
      <c r="T219" s="7" t="s">
        <v>43</v>
      </c>
      <c r="U219" s="5" t="s">
        <v>44</v>
      </c>
      <c r="V219" s="6">
        <f>'[1]V, inciso o) (OP)'!AD73</f>
        <v>42618</v>
      </c>
      <c r="W219" s="6">
        <f>'[1]V, inciso o) (OP)'!AE73</f>
        <v>42674</v>
      </c>
      <c r="X219" s="5" t="s">
        <v>754</v>
      </c>
      <c r="Y219" s="5" t="s">
        <v>755</v>
      </c>
      <c r="Z219" s="5" t="s">
        <v>756</v>
      </c>
      <c r="AA219" s="40" t="s">
        <v>40</v>
      </c>
      <c r="AB219" s="5" t="s">
        <v>40</v>
      </c>
    </row>
    <row r="220" spans="1:28" ht="40.5">
      <c r="A220" s="5">
        <v>2016</v>
      </c>
      <c r="B220" s="5" t="s">
        <v>64</v>
      </c>
      <c r="C220" s="79" t="str">
        <f>'[1]V, inciso o) (OP)'!C74</f>
        <v>DOPI-MUN-RM-PAV-AD-161-2016</v>
      </c>
      <c r="D220" s="12">
        <f>'[1]V, inciso o) (OP)'!V74</f>
        <v>42615</v>
      </c>
      <c r="E220" s="7" t="str">
        <f>'[1]V, inciso o) (OP)'!AA74</f>
        <v>Programa emergente de bacheo de vialidades en Zapopan Centro tramo 2, municipio de Zapopan, Jalisco.</v>
      </c>
      <c r="F220" s="7" t="s">
        <v>184</v>
      </c>
      <c r="G220" s="8">
        <f>'[1]V, inciso o) (OP)'!Y74</f>
        <v>999587.49</v>
      </c>
      <c r="H220" s="7" t="s">
        <v>225</v>
      </c>
      <c r="I220" s="5" t="str">
        <f>'[1]V, inciso o) (OP)'!M74</f>
        <v>Orlando</v>
      </c>
      <c r="J220" s="5" t="str">
        <f>'[1]V, inciso o) (OP)'!N74</f>
        <v>Hijar</v>
      </c>
      <c r="K220" s="5" t="str">
        <f>'[1]V, inciso o) (OP)'!O74</f>
        <v>Casillas</v>
      </c>
      <c r="L220" s="7" t="str">
        <f>'[1]V, inciso o) (OP)'!P74</f>
        <v>Constructora y Urbanizadora Ceda, S.A. de C.V.</v>
      </c>
      <c r="M220" s="5" t="str">
        <f>'[1]V, inciso o) (OP)'!Q74</f>
        <v>CUC121107NV2</v>
      </c>
      <c r="N220" s="8">
        <f>'[1]V, inciso o) (OP)'!Y74</f>
        <v>999587.49</v>
      </c>
      <c r="O220" s="77" t="s">
        <v>40</v>
      </c>
      <c r="P220" s="9" t="s">
        <v>757</v>
      </c>
      <c r="Q220" s="10">
        <f>N220/5612</f>
        <v>178.11608873841769</v>
      </c>
      <c r="R220" s="9" t="s">
        <v>42</v>
      </c>
      <c r="S220" s="13">
        <v>18966</v>
      </c>
      <c r="T220" s="7" t="s">
        <v>43</v>
      </c>
      <c r="U220" s="5" t="s">
        <v>44</v>
      </c>
      <c r="V220" s="6">
        <f>'[1]V, inciso o) (OP)'!AD74</f>
        <v>42618</v>
      </c>
      <c r="W220" s="6">
        <f>'[1]V, inciso o) (OP)'!AE74</f>
        <v>42674</v>
      </c>
      <c r="X220" s="5" t="s">
        <v>754</v>
      </c>
      <c r="Y220" s="5" t="s">
        <v>755</v>
      </c>
      <c r="Z220" s="5" t="s">
        <v>756</v>
      </c>
      <c r="AA220" s="40" t="s">
        <v>40</v>
      </c>
      <c r="AB220" s="5" t="s">
        <v>40</v>
      </c>
    </row>
    <row r="221" spans="1:28" ht="40.5">
      <c r="A221" s="5">
        <v>2016</v>
      </c>
      <c r="B221" s="5" t="s">
        <v>64</v>
      </c>
      <c r="C221" s="79" t="str">
        <f>'[1]V, inciso o) (OP)'!C75</f>
        <v>DOPI-MUN-RM-PAV-AD-162-2016</v>
      </c>
      <c r="D221" s="12">
        <f>'[1]V, inciso o) (OP)'!V75</f>
        <v>42615</v>
      </c>
      <c r="E221" s="7" t="str">
        <f>'[1]V, inciso o) (OP)'!AA75</f>
        <v>Programa emergente de bacheo de vialidades en Zapopan Sur tramo 1, municipio de Zapopan, Jalisco.</v>
      </c>
      <c r="F221" s="7" t="s">
        <v>184</v>
      </c>
      <c r="G221" s="8">
        <f>'[1]V, inciso o) (OP)'!Y75</f>
        <v>1000115.36</v>
      </c>
      <c r="H221" s="7" t="s">
        <v>225</v>
      </c>
      <c r="I221" s="5" t="str">
        <f>'[1]V, inciso o) (OP)'!M75</f>
        <v>Ignacio Javier</v>
      </c>
      <c r="J221" s="5" t="str">
        <f>'[1]V, inciso o) (OP)'!N75</f>
        <v>Curiel</v>
      </c>
      <c r="K221" s="5" t="str">
        <f>'[1]V, inciso o) (OP)'!O75</f>
        <v>Dueñas</v>
      </c>
      <c r="L221" s="7" t="str">
        <f>'[1]V, inciso o) (OP)'!P75</f>
        <v>TC Construcción y Mantenimiento, S.A. de C.V.</v>
      </c>
      <c r="M221" s="5" t="str">
        <f>'[1]V, inciso o) (OP)'!Q75</f>
        <v>TCM100915HA1</v>
      </c>
      <c r="N221" s="8">
        <f>'[1]V, inciso o) (OP)'!Y75</f>
        <v>1000115.36</v>
      </c>
      <c r="O221" s="77" t="s">
        <v>40</v>
      </c>
      <c r="P221" s="9" t="s">
        <v>758</v>
      </c>
      <c r="Q221" s="10">
        <f>N221/5721</f>
        <v>174.81478063275651</v>
      </c>
      <c r="R221" s="9" t="s">
        <v>42</v>
      </c>
      <c r="S221" s="13">
        <v>18521</v>
      </c>
      <c r="T221" s="7" t="s">
        <v>43</v>
      </c>
      <c r="U221" s="5" t="s">
        <v>44</v>
      </c>
      <c r="V221" s="6">
        <f>'[1]V, inciso o) (OP)'!AD75</f>
        <v>42618</v>
      </c>
      <c r="W221" s="6">
        <f>'[1]V, inciso o) (OP)'!AE75</f>
        <v>42674</v>
      </c>
      <c r="X221" s="5" t="s">
        <v>754</v>
      </c>
      <c r="Y221" s="5" t="s">
        <v>755</v>
      </c>
      <c r="Z221" s="5" t="s">
        <v>756</v>
      </c>
      <c r="AA221" s="40" t="s">
        <v>40</v>
      </c>
      <c r="AB221" s="5" t="s">
        <v>40</v>
      </c>
    </row>
    <row r="222" spans="1:28" ht="40.5">
      <c r="A222" s="5">
        <v>2016</v>
      </c>
      <c r="B222" s="5" t="s">
        <v>64</v>
      </c>
      <c r="C222" s="79" t="str">
        <f>'[1]V, inciso o) (OP)'!C76</f>
        <v>DOPI-MUN-RM-PAV-AD-163-2016</v>
      </c>
      <c r="D222" s="12">
        <f>'[1]V, inciso o) (OP)'!V76</f>
        <v>42615</v>
      </c>
      <c r="E222" s="7" t="str">
        <f>'[1]V, inciso o) (OP)'!AA76</f>
        <v>Programa emergente de bacheo de vialidades en Zapopan Sur Poniente tramo 1, municipio de Zapopan, Jalisco.</v>
      </c>
      <c r="F222" s="7" t="s">
        <v>184</v>
      </c>
      <c r="G222" s="8">
        <f>'[1]V, inciso o) (OP)'!Y76</f>
        <v>1001250.87</v>
      </c>
      <c r="H222" s="7" t="s">
        <v>225</v>
      </c>
      <c r="I222" s="5" t="str">
        <f>'[1]V, inciso o) (OP)'!M76</f>
        <v>Regino</v>
      </c>
      <c r="J222" s="5" t="str">
        <f>'[1]V, inciso o) (OP)'!N76</f>
        <v>Ruiz del Campo</v>
      </c>
      <c r="K222" s="5" t="str">
        <f>'[1]V, inciso o) (OP)'!O76</f>
        <v>Medina</v>
      </c>
      <c r="L222" s="7" t="str">
        <f>'[1]V, inciso o) (OP)'!P76</f>
        <v>Regino Ruiz del Campo Medina</v>
      </c>
      <c r="M222" s="5" t="str">
        <f>'[1]V, inciso o) (OP)'!Q76</f>
        <v>RUMR771116UA8</v>
      </c>
      <c r="N222" s="8">
        <f>'[1]V, inciso o) (OP)'!Y76</f>
        <v>1001250.87</v>
      </c>
      <c r="O222" s="78">
        <v>1001250.87</v>
      </c>
      <c r="P222" s="9" t="s">
        <v>759</v>
      </c>
      <c r="Q222" s="10">
        <f>N222/5725</f>
        <v>174.89098165938864</v>
      </c>
      <c r="R222" s="9" t="s">
        <v>42</v>
      </c>
      <c r="S222" s="13">
        <v>19422</v>
      </c>
      <c r="T222" s="7" t="s">
        <v>43</v>
      </c>
      <c r="U222" s="5" t="s">
        <v>44</v>
      </c>
      <c r="V222" s="6">
        <f>'[1]V, inciso o) (OP)'!AD76</f>
        <v>42618</v>
      </c>
      <c r="W222" s="6">
        <f>'[1]V, inciso o) (OP)'!AE76</f>
        <v>42674</v>
      </c>
      <c r="X222" s="5" t="s">
        <v>754</v>
      </c>
      <c r="Y222" s="5" t="s">
        <v>755</v>
      </c>
      <c r="Z222" s="5" t="s">
        <v>756</v>
      </c>
      <c r="AA222" s="40" t="s">
        <v>40</v>
      </c>
      <c r="AB222" s="5" t="s">
        <v>40</v>
      </c>
    </row>
    <row r="223" spans="1:28" ht="40.5">
      <c r="A223" s="5">
        <v>2016</v>
      </c>
      <c r="B223" s="5" t="s">
        <v>64</v>
      </c>
      <c r="C223" s="79" t="str">
        <f>'[1]V, inciso o) (OP)'!C77</f>
        <v>DOPI-MUN-RM-PAV-AD-164-2016</v>
      </c>
      <c r="D223" s="12">
        <f>'[1]V, inciso o) (OP)'!V77</f>
        <v>42615</v>
      </c>
      <c r="E223" s="7" t="str">
        <f>'[1]V, inciso o) (OP)'!AA77</f>
        <v>Programa emergente de bacheo de vialidades en Zapopan Sur Poniente tramo 2, municipio de Zapopan, Jalsico</v>
      </c>
      <c r="F223" s="7" t="s">
        <v>184</v>
      </c>
      <c r="G223" s="8">
        <f>'[1]V, inciso o) (OP)'!Y77</f>
        <v>1002128.72</v>
      </c>
      <c r="H223" s="7" t="s">
        <v>225</v>
      </c>
      <c r="I223" s="5" t="str">
        <f>'[1]V, inciso o) (OP)'!M77</f>
        <v>Carlos Ignacio</v>
      </c>
      <c r="J223" s="5" t="str">
        <f>'[1]V, inciso o) (OP)'!N77</f>
        <v>Curiel</v>
      </c>
      <c r="K223" s="5" t="str">
        <f>'[1]V, inciso o) (OP)'!O77</f>
        <v>Dueñas</v>
      </c>
      <c r="L223" s="7" t="str">
        <f>'[1]V, inciso o) (OP)'!P77</f>
        <v>Constructora Cecuchi, S.A. de C.V.</v>
      </c>
      <c r="M223" s="5" t="str">
        <f>'[1]V, inciso o) (OP)'!Q77</f>
        <v>CCE130723IR7</v>
      </c>
      <c r="N223" s="8">
        <f>'[1]V, inciso o) (OP)'!Y77</f>
        <v>1002128.72</v>
      </c>
      <c r="O223" s="78">
        <v>1002059.85</v>
      </c>
      <c r="P223" s="9" t="s">
        <v>760</v>
      </c>
      <c r="Q223" s="10">
        <f>N223/5731</f>
        <v>174.86105740708427</v>
      </c>
      <c r="R223" s="9" t="s">
        <v>42</v>
      </c>
      <c r="S223" s="13">
        <v>19523</v>
      </c>
      <c r="T223" s="7" t="s">
        <v>43</v>
      </c>
      <c r="U223" s="5" t="s">
        <v>44</v>
      </c>
      <c r="V223" s="6">
        <f>'[1]V, inciso o) (OP)'!AD77</f>
        <v>42618</v>
      </c>
      <c r="W223" s="6">
        <f>'[1]V, inciso o) (OP)'!AE77</f>
        <v>42674</v>
      </c>
      <c r="X223" s="5" t="s">
        <v>754</v>
      </c>
      <c r="Y223" s="5" t="s">
        <v>755</v>
      </c>
      <c r="Z223" s="5" t="s">
        <v>756</v>
      </c>
      <c r="AA223" s="40" t="s">
        <v>40</v>
      </c>
      <c r="AB223" s="5" t="s">
        <v>40</v>
      </c>
    </row>
    <row r="224" spans="1:28" ht="40.5">
      <c r="A224" s="5">
        <v>2016</v>
      </c>
      <c r="B224" s="5" t="s">
        <v>64</v>
      </c>
      <c r="C224" s="79" t="str">
        <f>'[1]V, inciso o) (OP)'!C78</f>
        <v>DOPI-MUN-RM-PAV-AD-165-2016</v>
      </c>
      <c r="D224" s="12">
        <f>'[1]V, inciso o) (OP)'!V78</f>
        <v>42615</v>
      </c>
      <c r="E224" s="7" t="str">
        <f>'[1]V, inciso o) (OP)'!AA78</f>
        <v>Programa emergente de bacheo de vialidades en Zapopan Poniente tramo 1, municipio de Zapopan, Jalsico</v>
      </c>
      <c r="F224" s="7" t="s">
        <v>184</v>
      </c>
      <c r="G224" s="8">
        <f>'[1]V, inciso o) (OP)'!Y78</f>
        <v>997115.6</v>
      </c>
      <c r="H224" s="7" t="s">
        <v>225</v>
      </c>
      <c r="I224" s="5" t="str">
        <f>'[1]V, inciso o) (OP)'!M78</f>
        <v>Antonio</v>
      </c>
      <c r="J224" s="5" t="str">
        <f>'[1]V, inciso o) (OP)'!N78</f>
        <v>Chávez</v>
      </c>
      <c r="K224" s="5" t="str">
        <f>'[1]V, inciso o) (OP)'!O78</f>
        <v>Navarro</v>
      </c>
      <c r="L224" s="7" t="str">
        <f>'[1]V, inciso o) (OP)'!P78</f>
        <v>Constructora Industrial Chávez S.A. de C.V.</v>
      </c>
      <c r="M224" s="5" t="str">
        <f>'[1]V, inciso o) (OP)'!Q78</f>
        <v>CIC960718BW4</v>
      </c>
      <c r="N224" s="8">
        <f>'[1]V, inciso o) (OP)'!Y78</f>
        <v>997115.6</v>
      </c>
      <c r="O224" s="77" t="s">
        <v>40</v>
      </c>
      <c r="P224" s="9" t="s">
        <v>761</v>
      </c>
      <c r="Q224" s="10">
        <f>N224/5645</f>
        <v>176.6369530558016</v>
      </c>
      <c r="R224" s="9" t="s">
        <v>42</v>
      </c>
      <c r="S224" s="13">
        <v>22538</v>
      </c>
      <c r="T224" s="7" t="s">
        <v>43</v>
      </c>
      <c r="U224" s="5" t="s">
        <v>44</v>
      </c>
      <c r="V224" s="6">
        <f>'[1]V, inciso o) (OP)'!AD78</f>
        <v>42618</v>
      </c>
      <c r="W224" s="6">
        <f>'[1]V, inciso o) (OP)'!AE78</f>
        <v>42674</v>
      </c>
      <c r="X224" s="5" t="s">
        <v>754</v>
      </c>
      <c r="Y224" s="5" t="s">
        <v>755</v>
      </c>
      <c r="Z224" s="5" t="s">
        <v>756</v>
      </c>
      <c r="AA224" s="40" t="s">
        <v>40</v>
      </c>
      <c r="AB224" s="5" t="s">
        <v>40</v>
      </c>
    </row>
    <row r="225" spans="1:28" ht="40.5">
      <c r="A225" s="5">
        <v>2016</v>
      </c>
      <c r="B225" s="5" t="s">
        <v>64</v>
      </c>
      <c r="C225" s="79" t="str">
        <f>'[1]V, inciso o) (OP)'!C79</f>
        <v>DOPI-MUN-RM-PAV-AD-166-2016</v>
      </c>
      <c r="D225" s="12">
        <f>'[1]V, inciso o) (OP)'!V79</f>
        <v>42615</v>
      </c>
      <c r="E225" s="7" t="str">
        <f>'[1]V, inciso o) (OP)'!AA79</f>
        <v>Programa emergente de bacheo de vialidades en Zapopan Poniente tramo 2, municipio de Zapopan, Jalsico</v>
      </c>
      <c r="F225" s="7" t="s">
        <v>184</v>
      </c>
      <c r="G225" s="8">
        <f>'[1]V, inciso o) (OP)'!Y79</f>
        <v>1003154.53</v>
      </c>
      <c r="H225" s="7" t="s">
        <v>225</v>
      </c>
      <c r="I225" s="5" t="str">
        <f>'[1]V, inciso o) (OP)'!M79</f>
        <v>Raquel</v>
      </c>
      <c r="J225" s="5" t="str">
        <f>'[1]V, inciso o) (OP)'!N79</f>
        <v>Chávez</v>
      </c>
      <c r="K225" s="5" t="str">
        <f>'[1]V, inciso o) (OP)'!O79</f>
        <v>Navarro</v>
      </c>
      <c r="L225" s="7" t="str">
        <f>'[1]V, inciso o) (OP)'!P79</f>
        <v>Asfaltos Selectos de Ocotlán, S.A. de C.V.</v>
      </c>
      <c r="M225" s="5" t="str">
        <f>'[1]V, inciso o) (OP)'!Q79</f>
        <v>ASO080408GY0</v>
      </c>
      <c r="N225" s="8">
        <f>'[1]V, inciso o) (OP)'!Y79</f>
        <v>1003154.53</v>
      </c>
      <c r="O225" s="77" t="s">
        <v>40</v>
      </c>
      <c r="P225" s="9" t="s">
        <v>762</v>
      </c>
      <c r="Q225" s="10">
        <f>N225/5733</f>
        <v>174.97898656898658</v>
      </c>
      <c r="R225" s="9" t="s">
        <v>42</v>
      </c>
      <c r="S225" s="13">
        <v>21065</v>
      </c>
      <c r="T225" s="7" t="s">
        <v>43</v>
      </c>
      <c r="U225" s="5" t="s">
        <v>44</v>
      </c>
      <c r="V225" s="6">
        <f>'[1]V, inciso o) (OP)'!AD79</f>
        <v>42618</v>
      </c>
      <c r="W225" s="6">
        <f>'[1]V, inciso o) (OP)'!AE79</f>
        <v>42674</v>
      </c>
      <c r="X225" s="5" t="s">
        <v>754</v>
      </c>
      <c r="Y225" s="5" t="s">
        <v>755</v>
      </c>
      <c r="Z225" s="5" t="s">
        <v>756</v>
      </c>
      <c r="AA225" s="40" t="s">
        <v>40</v>
      </c>
      <c r="AB225" s="5" t="s">
        <v>40</v>
      </c>
    </row>
    <row r="226" spans="1:28" ht="40.5">
      <c r="A226" s="5">
        <v>2016</v>
      </c>
      <c r="B226" s="5" t="s">
        <v>64</v>
      </c>
      <c r="C226" s="79" t="str">
        <f>'[1]V, inciso o) (OP)'!C80</f>
        <v>DOPI-MUN-RM-PAV-AD-167-2016</v>
      </c>
      <c r="D226" s="12">
        <f>'[1]V, inciso o) (OP)'!V80</f>
        <v>42615</v>
      </c>
      <c r="E226" s="7" t="str">
        <f>'[1]V, inciso o) (OP)'!AA80</f>
        <v>Programa emergente de bacheo de vialidades en Zapopan Norponiente tramo 1, municipio de Zapopan, Jalisco.</v>
      </c>
      <c r="F226" s="7" t="s">
        <v>184</v>
      </c>
      <c r="G226" s="8">
        <f>'[1]V, inciso o) (OP)'!Y80</f>
        <v>990472.15</v>
      </c>
      <c r="H226" s="7" t="s">
        <v>225</v>
      </c>
      <c r="I226" s="5" t="str">
        <f>'[1]V, inciso o) (OP)'!M80</f>
        <v xml:space="preserve">Guillermo Emmanuel </v>
      </c>
      <c r="J226" s="5" t="str">
        <f>'[1]V, inciso o) (OP)'!N80</f>
        <v xml:space="preserve">Lara </v>
      </c>
      <c r="K226" s="5" t="str">
        <f>'[1]V, inciso o) (OP)'!O80</f>
        <v>Ochoa</v>
      </c>
      <c r="L226" s="7" t="str">
        <f>'[1]V, inciso o) (OP)'!P80</f>
        <v>Alquimia Grupo Constructor, S.A. de C.V.</v>
      </c>
      <c r="M226" s="5" t="str">
        <f>'[1]V, inciso o) (OP)'!Q80</f>
        <v>AGC070223J95</v>
      </c>
      <c r="N226" s="8">
        <f>'[1]V, inciso o) (OP)'!Y80</f>
        <v>990472.15</v>
      </c>
      <c r="O226" s="78">
        <v>990425.96</v>
      </c>
      <c r="P226" s="9" t="s">
        <v>763</v>
      </c>
      <c r="Q226" s="10">
        <f>N226/5614</f>
        <v>176.428954399715</v>
      </c>
      <c r="R226" s="9" t="s">
        <v>42</v>
      </c>
      <c r="S226" s="13">
        <v>23124</v>
      </c>
      <c r="T226" s="7" t="s">
        <v>43</v>
      </c>
      <c r="U226" s="5" t="s">
        <v>44</v>
      </c>
      <c r="V226" s="6">
        <f>'[1]V, inciso o) (OP)'!AD80</f>
        <v>42618</v>
      </c>
      <c r="W226" s="6">
        <f>'[1]V, inciso o) (OP)'!AE80</f>
        <v>42674</v>
      </c>
      <c r="X226" s="5" t="s">
        <v>754</v>
      </c>
      <c r="Y226" s="5" t="s">
        <v>755</v>
      </c>
      <c r="Z226" s="5" t="s">
        <v>756</v>
      </c>
      <c r="AA226" s="40" t="s">
        <v>40</v>
      </c>
      <c r="AB226" s="5" t="s">
        <v>40</v>
      </c>
    </row>
    <row r="227" spans="1:28" ht="40.5">
      <c r="A227" s="5">
        <v>2016</v>
      </c>
      <c r="B227" s="5" t="s">
        <v>64</v>
      </c>
      <c r="C227" s="79" t="str">
        <f>'[1]V, inciso o) (OP)'!C81</f>
        <v>DOPI-MUN-RM-PAV-AD-168-2016</v>
      </c>
      <c r="D227" s="12">
        <f>'[1]V, inciso o) (OP)'!V81</f>
        <v>42615</v>
      </c>
      <c r="E227" s="7" t="str">
        <f>'[1]V, inciso o) (OP)'!AA81</f>
        <v>Programa emergente de bacheo de vialidades en Zapopan Norponiente tramo 2, municipio de Zapopan, Jalsico</v>
      </c>
      <c r="F227" s="7" t="s">
        <v>184</v>
      </c>
      <c r="G227" s="8">
        <f>'[1]V, inciso o) (OP)'!Y81</f>
        <v>988477.86</v>
      </c>
      <c r="H227" s="7" t="s">
        <v>225</v>
      </c>
      <c r="I227" s="5" t="str">
        <f>'[1]V, inciso o) (OP)'!M81</f>
        <v>Aurora Lucia</v>
      </c>
      <c r="J227" s="5" t="str">
        <f>'[1]V, inciso o) (OP)'!N81</f>
        <v xml:space="preserve">Brenez </v>
      </c>
      <c r="K227" s="5" t="str">
        <f>'[1]V, inciso o) (OP)'!O81</f>
        <v>Garnica</v>
      </c>
      <c r="L227" s="7" t="str">
        <f>'[1]V, inciso o) (OP)'!P81</f>
        <v>Karol Urbanizaciones y Construcciones, S.A. de C.V.</v>
      </c>
      <c r="M227" s="5" t="str">
        <f>'[1]V, inciso o) (OP)'!Q81</f>
        <v>KUC070424344</v>
      </c>
      <c r="N227" s="8">
        <f>'[1]V, inciso o) (OP)'!Y81</f>
        <v>988477.86</v>
      </c>
      <c r="O227" s="77" t="s">
        <v>40</v>
      </c>
      <c r="P227" s="9" t="s">
        <v>764</v>
      </c>
      <c r="Q227" s="10">
        <f>N227/5591</f>
        <v>176.79804328384904</v>
      </c>
      <c r="R227" s="9" t="s">
        <v>42</v>
      </c>
      <c r="S227" s="13">
        <v>22365</v>
      </c>
      <c r="T227" s="7" t="s">
        <v>43</v>
      </c>
      <c r="U227" s="5" t="s">
        <v>44</v>
      </c>
      <c r="V227" s="6">
        <f>'[1]V, inciso o) (OP)'!AD81</f>
        <v>42618</v>
      </c>
      <c r="W227" s="6">
        <f>'[1]V, inciso o) (OP)'!AE81</f>
        <v>42674</v>
      </c>
      <c r="X227" s="5" t="s">
        <v>754</v>
      </c>
      <c r="Y227" s="5" t="s">
        <v>755</v>
      </c>
      <c r="Z227" s="5" t="s">
        <v>756</v>
      </c>
      <c r="AA227" s="40" t="s">
        <v>40</v>
      </c>
      <c r="AB227" s="5" t="s">
        <v>40</v>
      </c>
    </row>
    <row r="228" spans="1:28" ht="40.5">
      <c r="A228" s="5">
        <v>2016</v>
      </c>
      <c r="B228" s="5" t="s">
        <v>64</v>
      </c>
      <c r="C228" s="79" t="str">
        <f>'[1]V, inciso o) (OP)'!C82</f>
        <v>DOPI-MUN-RM-PAV-AD-169-2016</v>
      </c>
      <c r="D228" s="12">
        <f>'[1]V, inciso o) (OP)'!V82</f>
        <v>42615</v>
      </c>
      <c r="E228" s="7" t="str">
        <f>'[1]V, inciso o) (OP)'!AA82</f>
        <v>Programa emergente de bacheo de vialidades en Zapopan Norte tramo 1, municipio de Zapopan, Jalsico</v>
      </c>
      <c r="F228" s="7" t="s">
        <v>184</v>
      </c>
      <c r="G228" s="8">
        <f>'[1]V, inciso o) (OP)'!Y82</f>
        <v>996236.89</v>
      </c>
      <c r="H228" s="7" t="s">
        <v>225</v>
      </c>
      <c r="I228" s="5" t="str">
        <f>'[1]V, inciso o) (OP)'!M82</f>
        <v>Carlos Felipe</v>
      </c>
      <c r="J228" s="5" t="str">
        <f>'[1]V, inciso o) (OP)'!N82</f>
        <v>Vázquez</v>
      </c>
      <c r="K228" s="5" t="str">
        <f>'[1]V, inciso o) (OP)'!O82</f>
        <v>Guerra</v>
      </c>
      <c r="L228" s="7" t="str">
        <f>'[1]V, inciso o) (OP)'!P82</f>
        <v>Urbanizadora Vázquez Guerra, S.A. de C.V.</v>
      </c>
      <c r="M228" s="5" t="str">
        <f>'[1]V, inciso o) (OP)'!Q82</f>
        <v>UVG841211G22</v>
      </c>
      <c r="N228" s="8">
        <f>'[1]V, inciso o) (OP)'!Y82</f>
        <v>996236.89</v>
      </c>
      <c r="O228" s="77" t="s">
        <v>40</v>
      </c>
      <c r="P228" s="9" t="s">
        <v>765</v>
      </c>
      <c r="Q228" s="10">
        <f>N228/5608</f>
        <v>177.64566512125535</v>
      </c>
      <c r="R228" s="9" t="s">
        <v>42</v>
      </c>
      <c r="S228" s="13">
        <v>20165</v>
      </c>
      <c r="T228" s="7" t="s">
        <v>43</v>
      </c>
      <c r="U228" s="5" t="s">
        <v>44</v>
      </c>
      <c r="V228" s="6">
        <f>'[1]V, inciso o) (OP)'!AD82</f>
        <v>42618</v>
      </c>
      <c r="W228" s="6">
        <f>'[1]V, inciso o) (OP)'!AE82</f>
        <v>42674</v>
      </c>
      <c r="X228" s="5" t="s">
        <v>754</v>
      </c>
      <c r="Y228" s="5" t="s">
        <v>755</v>
      </c>
      <c r="Z228" s="5" t="s">
        <v>756</v>
      </c>
      <c r="AA228" s="40" t="s">
        <v>40</v>
      </c>
      <c r="AB228" s="5" t="s">
        <v>40</v>
      </c>
    </row>
    <row r="229" spans="1:28" ht="40.5">
      <c r="A229" s="5">
        <v>2016</v>
      </c>
      <c r="B229" s="5" t="s">
        <v>64</v>
      </c>
      <c r="C229" s="79" t="str">
        <f>'[1]V, inciso o) (OP)'!C83</f>
        <v>DOPI-MUN-RM-ELE-AD-170-2016</v>
      </c>
      <c r="D229" s="12">
        <f>'[1]V, inciso o) (OP)'!V83</f>
        <v>42636</v>
      </c>
      <c r="E229" s="7" t="str">
        <f>'[1]V, inciso o) (OP)'!AA83</f>
        <v>Trabajos complementarios de infraestructura eléctrica y de alumbrado público, frente 1, municipio de Zapopan, Jalisco</v>
      </c>
      <c r="F229" s="7" t="s">
        <v>184</v>
      </c>
      <c r="G229" s="8">
        <f>'[1]V, inciso o) (OP)'!Y83</f>
        <v>1492750.23</v>
      </c>
      <c r="H229" s="7" t="s">
        <v>225</v>
      </c>
      <c r="I229" s="5" t="str">
        <f>'[1]V, inciso o) (OP)'!M83</f>
        <v>Pia Lorena</v>
      </c>
      <c r="J229" s="5" t="str">
        <f>'[1]V, inciso o) (OP)'!N83</f>
        <v>Buenrostro</v>
      </c>
      <c r="K229" s="5" t="str">
        <f>'[1]V, inciso o) (OP)'!O83</f>
        <v>Ahued</v>
      </c>
      <c r="L229" s="7" t="str">
        <f>'[1]V, inciso o) (OP)'!P83</f>
        <v>Birmek Construcciones, S.A. de C.V.</v>
      </c>
      <c r="M229" s="5" t="str">
        <f>'[1]V, inciso o) (OP)'!Q83</f>
        <v>BCO070129512</v>
      </c>
      <c r="N229" s="8">
        <f>'[1]V, inciso o) (OP)'!Y83</f>
        <v>1492750.23</v>
      </c>
      <c r="O229" s="77" t="s">
        <v>40</v>
      </c>
      <c r="P229" s="9" t="s">
        <v>766</v>
      </c>
      <c r="Q229" s="10">
        <f>N229/584</f>
        <v>2556.0791609589041</v>
      </c>
      <c r="R229" s="9" t="s">
        <v>42</v>
      </c>
      <c r="S229" s="13">
        <v>18652</v>
      </c>
      <c r="T229" s="7" t="s">
        <v>43</v>
      </c>
      <c r="U229" s="5" t="s">
        <v>565</v>
      </c>
      <c r="V229" s="6">
        <f>'[1]V, inciso o) (OP)'!AD83</f>
        <v>42639</v>
      </c>
      <c r="W229" s="6">
        <f>'[1]V, inciso o) (OP)'!AE83</f>
        <v>42719</v>
      </c>
      <c r="X229" s="5" t="s">
        <v>640</v>
      </c>
      <c r="Y229" s="5" t="s">
        <v>496</v>
      </c>
      <c r="Z229" s="5" t="s">
        <v>741</v>
      </c>
      <c r="AA229" s="40" t="s">
        <v>40</v>
      </c>
      <c r="AB229" s="5" t="s">
        <v>40</v>
      </c>
    </row>
    <row r="230" spans="1:28" ht="54">
      <c r="A230" s="5">
        <v>2016</v>
      </c>
      <c r="B230" s="5" t="s">
        <v>64</v>
      </c>
      <c r="C230" s="79" t="str">
        <f>'[1]V, inciso o) (OP)'!C84</f>
        <v>DOPI-MUN-RM-PAV-AD-171-2016</v>
      </c>
      <c r="D230" s="12">
        <f>'[1]V, inciso o) (OP)'!V84</f>
        <v>42622</v>
      </c>
      <c r="E230" s="7" t="str">
        <f>'[1]V, inciso o) (OP)'!AA84</f>
        <v>Pavimentación con adoquín y empedrado tradicional con material producto de recuperación en diferentes vialidades en el Municipio de Zapopan, Jalisco</v>
      </c>
      <c r="F230" s="7" t="s">
        <v>184</v>
      </c>
      <c r="G230" s="8">
        <f>'[1]V, inciso o) (OP)'!Y84</f>
        <v>1480115.18</v>
      </c>
      <c r="H230" s="7" t="s">
        <v>225</v>
      </c>
      <c r="I230" s="5" t="str">
        <f>'[1]V, inciso o) (OP)'!M84</f>
        <v>Omar</v>
      </c>
      <c r="J230" s="5" t="str">
        <f>'[1]V, inciso o) (OP)'!N84</f>
        <v>Mora</v>
      </c>
      <c r="K230" s="5" t="str">
        <f>'[1]V, inciso o) (OP)'!O84</f>
        <v>Montes de Oca</v>
      </c>
      <c r="L230" s="7" t="str">
        <f>'[1]V, inciso o) (OP)'!P84</f>
        <v>Dommont Construcciones, S.A. de C.V.</v>
      </c>
      <c r="M230" s="5" t="str">
        <f>'[1]V, inciso o) (OP)'!Q84</f>
        <v>DCO130215C16</v>
      </c>
      <c r="N230" s="8">
        <f>'[1]V, inciso o) (OP)'!Y84</f>
        <v>1480115.18</v>
      </c>
      <c r="O230" s="77" t="s">
        <v>40</v>
      </c>
      <c r="P230" s="9" t="s">
        <v>767</v>
      </c>
      <c r="Q230" s="10">
        <f>N230/3100</f>
        <v>477.45650967741932</v>
      </c>
      <c r="R230" s="9" t="s">
        <v>42</v>
      </c>
      <c r="S230" s="13">
        <v>16845</v>
      </c>
      <c r="T230" s="7" t="s">
        <v>43</v>
      </c>
      <c r="U230" s="5" t="s">
        <v>44</v>
      </c>
      <c r="V230" s="6">
        <f>'[1]V, inciso o) (OP)'!AD84</f>
        <v>42624</v>
      </c>
      <c r="W230" s="6">
        <f>'[1]V, inciso o) (OP)'!AE84</f>
        <v>42689</v>
      </c>
      <c r="X230" s="5" t="s">
        <v>671</v>
      </c>
      <c r="Y230" s="5" t="s">
        <v>334</v>
      </c>
      <c r="Z230" s="5" t="s">
        <v>133</v>
      </c>
      <c r="AA230" s="40" t="s">
        <v>40</v>
      </c>
      <c r="AB230" s="5" t="s">
        <v>40</v>
      </c>
    </row>
    <row r="231" spans="1:28" ht="67.5">
      <c r="A231" s="5">
        <v>2016</v>
      </c>
      <c r="B231" s="5" t="s">
        <v>64</v>
      </c>
      <c r="C231" s="79" t="str">
        <f>'[1]V, inciso o) (OP)'!C85</f>
        <v>DOPI-MUN-RM-SIS-AD-172-2016</v>
      </c>
      <c r="D231" s="12">
        <f>'[1]V, inciso o) (OP)'!V85</f>
        <v>42622</v>
      </c>
      <c r="E231" s="7" t="str">
        <f>'[1]V, inciso o) (OP)'!AA85</f>
        <v>Programación e implementación de sistema informático para la programación, contratación, control y seguimiento de ejecución de obra, elaboración de estimaciones y padrón de contratistas del Municipio de Zapopan, Jalisco</v>
      </c>
      <c r="F231" s="7" t="s">
        <v>67</v>
      </c>
      <c r="G231" s="8">
        <f>'[1]V, inciso o) (OP)'!Y85</f>
        <v>435640.37</v>
      </c>
      <c r="H231" s="7" t="s">
        <v>231</v>
      </c>
      <c r="I231" s="5" t="str">
        <f>'[1]V, inciso o) (OP)'!M85</f>
        <v>Víctor Martín</v>
      </c>
      <c r="J231" s="5" t="str">
        <f>'[1]V, inciso o) (OP)'!N85</f>
        <v>López</v>
      </c>
      <c r="K231" s="5" t="str">
        <f>'[1]V, inciso o) (OP)'!O85</f>
        <v>Santos</v>
      </c>
      <c r="L231" s="7" t="str">
        <f>'[1]V, inciso o) (OP)'!P85</f>
        <v>Desarrollos Vicsa, S.A. de C.V.</v>
      </c>
      <c r="M231" s="5" t="str">
        <f>'[1]V, inciso o) (OP)'!Q85</f>
        <v>DVI0903301U3</v>
      </c>
      <c r="N231" s="8">
        <f>'[1]V, inciso o) (OP)'!Y85</f>
        <v>435640.37</v>
      </c>
      <c r="O231" s="77" t="s">
        <v>40</v>
      </c>
      <c r="P231" s="5" t="s">
        <v>768</v>
      </c>
      <c r="Q231" s="8">
        <f>N231</f>
        <v>435640.37</v>
      </c>
      <c r="R231" s="5" t="s">
        <v>42</v>
      </c>
      <c r="S231" s="11">
        <v>685</v>
      </c>
      <c r="T231" s="7" t="s">
        <v>231</v>
      </c>
      <c r="U231" s="5" t="s">
        <v>44</v>
      </c>
      <c r="V231" s="6">
        <f>'[1]V, inciso o) (OP)'!AD85</f>
        <v>42624</v>
      </c>
      <c r="W231" s="6">
        <f>'[1]V, inciso o) (OP)'!AE85</f>
        <v>42689</v>
      </c>
      <c r="X231" s="5" t="s">
        <v>769</v>
      </c>
      <c r="Y231" s="5" t="s">
        <v>770</v>
      </c>
      <c r="Z231" s="5" t="s">
        <v>771</v>
      </c>
      <c r="AA231" s="40" t="s">
        <v>40</v>
      </c>
      <c r="AB231" s="5" t="s">
        <v>40</v>
      </c>
    </row>
    <row r="232" spans="1:28" ht="54">
      <c r="A232" s="5">
        <v>2016</v>
      </c>
      <c r="B232" s="5" t="str">
        <f>'[1]V, inciso p) (OP)'!B106</f>
        <v>Licitación Pública</v>
      </c>
      <c r="C232" s="79" t="str">
        <f>'[1]V, inciso p) (OP)'!D106</f>
        <v>DOPI-MUN-RM-IM-LP-173-2016</v>
      </c>
      <c r="D232" s="12">
        <f>'[1]V, inciso p) (OP)'!AD106</f>
        <v>42726</v>
      </c>
      <c r="E232" s="7" t="str">
        <f>'[1]V, inciso p) (OP)'!I106</f>
        <v>Rehabilitación de la instalación eléctrica, iluminación y alumbrado público en el mercado municipal de Atemajac, municipio de Zapopan, Jalisco.</v>
      </c>
      <c r="F232" s="7" t="s">
        <v>184</v>
      </c>
      <c r="G232" s="8">
        <f>'[1]V, inciso p) (OP)'!AG106</f>
        <v>8929443.7100000009</v>
      </c>
      <c r="H232" s="7" t="str">
        <f>'[1]V, inciso p) (OP)'!AS106</f>
        <v>Atemajac</v>
      </c>
      <c r="I232" s="5" t="str">
        <f>'[1]V, inciso p) (OP)'!T106</f>
        <v>Amalia</v>
      </c>
      <c r="J232" s="5" t="str">
        <f>'[1]V, inciso p) (OP)'!U106</f>
        <v>Moreno</v>
      </c>
      <c r="K232" s="5" t="str">
        <f>'[1]V, inciso p) (OP)'!V106</f>
        <v>Maldonado</v>
      </c>
      <c r="L232" s="7" t="str">
        <f>'[1]V, inciso p) (OP)'!W106</f>
        <v>Grupo Constructor los Muros, S.A. de C.V.</v>
      </c>
      <c r="M232" s="5" t="str">
        <f>'[1]V, inciso p) (OP)'!X106</f>
        <v>GCM020226F28</v>
      </c>
      <c r="N232" s="8">
        <f>'[1]V, inciso p) (OP)'!AG106</f>
        <v>8929443.7100000009</v>
      </c>
      <c r="O232" s="77" t="s">
        <v>40</v>
      </c>
      <c r="P232" s="9" t="s">
        <v>772</v>
      </c>
      <c r="Q232" s="10">
        <f>N232/9461.16</f>
        <v>943.8000953371469</v>
      </c>
      <c r="R232" s="9" t="s">
        <v>42</v>
      </c>
      <c r="S232" s="13">
        <v>12833</v>
      </c>
      <c r="T232" s="7" t="s">
        <v>43</v>
      </c>
      <c r="U232" s="5" t="s">
        <v>565</v>
      </c>
      <c r="V232" s="6">
        <f>'[1]V, inciso p) (OP)'!AM106</f>
        <v>42727</v>
      </c>
      <c r="W232" s="6">
        <f>'[1]V, inciso p) (OP)'!AN106</f>
        <v>42816</v>
      </c>
      <c r="X232" s="5" t="s">
        <v>640</v>
      </c>
      <c r="Y232" s="5" t="s">
        <v>496</v>
      </c>
      <c r="Z232" s="5" t="s">
        <v>741</v>
      </c>
      <c r="AA232" s="40" t="s">
        <v>40</v>
      </c>
      <c r="AB232" s="5" t="s">
        <v>40</v>
      </c>
    </row>
    <row r="233" spans="1:28" ht="54">
      <c r="A233" s="5">
        <v>2016</v>
      </c>
      <c r="B233" s="5" t="str">
        <f>'[1]V, inciso p) (OP)'!B107</f>
        <v>Licitación Pública</v>
      </c>
      <c r="C233" s="79" t="str">
        <f>'[1]V, inciso p) (OP)'!D107</f>
        <v>DOPI-MUN-RM-IM-LP-174-2016</v>
      </c>
      <c r="D233" s="12">
        <f>'[1]V, inciso p) (OP)'!AD107</f>
        <v>42726</v>
      </c>
      <c r="E233" s="7" t="str">
        <f>'[1]V, inciso p) (OP)'!I107</f>
        <v>Rehabilitación de la red hidrosanitaria, instalación de la red contra incendio, obra civil, elevador y acabados en el mercado municipal de Atemajac, municipio de Zapopan , Jalisco.</v>
      </c>
      <c r="F233" s="7" t="s">
        <v>184</v>
      </c>
      <c r="G233" s="8">
        <f>'[1]V, inciso p) (OP)'!AG107</f>
        <v>10276943.060000001</v>
      </c>
      <c r="H233" s="7" t="str">
        <f>'[1]V, inciso p) (OP)'!AS107</f>
        <v>Atemajac</v>
      </c>
      <c r="I233" s="5" t="str">
        <f>'[1]V, inciso p) (OP)'!T107</f>
        <v xml:space="preserve">Leobardo </v>
      </c>
      <c r="J233" s="5" t="str">
        <f>'[1]V, inciso p) (OP)'!U107</f>
        <v>Preciado</v>
      </c>
      <c r="K233" s="5" t="str">
        <f>'[1]V, inciso p) (OP)'!V107</f>
        <v>Zepeda</v>
      </c>
      <c r="L233" s="7" t="str">
        <f>'[1]V, inciso p) (OP)'!W107</f>
        <v xml:space="preserve">Consorcio Constructor Adobes, S. A. de C. V. </v>
      </c>
      <c r="M233" s="5" t="str">
        <f>'[1]V, inciso p) (OP)'!X107</f>
        <v>CCA971126QC9</v>
      </c>
      <c r="N233" s="8">
        <f>'[1]V, inciso p) (OP)'!AG107</f>
        <v>10276943.060000001</v>
      </c>
      <c r="O233" s="77" t="s">
        <v>40</v>
      </c>
      <c r="P233" s="9" t="s">
        <v>773</v>
      </c>
      <c r="Q233" s="10">
        <f>N233/9461.16</f>
        <v>1086.2244227980502</v>
      </c>
      <c r="R233" s="9" t="s">
        <v>42</v>
      </c>
      <c r="S233" s="13">
        <v>12833</v>
      </c>
      <c r="T233" s="7" t="s">
        <v>43</v>
      </c>
      <c r="U233" s="5" t="s">
        <v>565</v>
      </c>
      <c r="V233" s="6">
        <f>'[1]V, inciso p) (OP)'!AM107</f>
        <v>42727</v>
      </c>
      <c r="W233" s="6">
        <f>'[1]V, inciso p) (OP)'!AN107</f>
        <v>42816</v>
      </c>
      <c r="X233" s="5" t="s">
        <v>723</v>
      </c>
      <c r="Y233" s="5" t="s">
        <v>724</v>
      </c>
      <c r="Z233" s="5" t="s">
        <v>145</v>
      </c>
      <c r="AA233" s="40" t="s">
        <v>40</v>
      </c>
      <c r="AB233" s="5" t="s">
        <v>40</v>
      </c>
    </row>
    <row r="234" spans="1:28" ht="40.5">
      <c r="A234" s="5">
        <v>2016</v>
      </c>
      <c r="B234" s="5" t="str">
        <f>'[1]V, inciso p) (OP)'!B108</f>
        <v>Licitación Pública</v>
      </c>
      <c r="C234" s="79" t="str">
        <f>'[1]V, inciso p) (OP)'!D108</f>
        <v>DOPI-MUN-RM-DP-LP-175-2016</v>
      </c>
      <c r="D234" s="12">
        <f>'[1]V, inciso p) (OP)'!AD108</f>
        <v>42726</v>
      </c>
      <c r="E234" s="7" t="str">
        <f>'[1]V, inciso p) (OP)'!I108</f>
        <v>Sustitución de rejillas de bocas de tormenta en diferentes vialidades del municipio.</v>
      </c>
      <c r="F234" s="7" t="s">
        <v>184</v>
      </c>
      <c r="G234" s="8">
        <f>'[1]V, inciso p) (OP)'!AG108</f>
        <v>2998448.3</v>
      </c>
      <c r="H234" s="7" t="str">
        <f>'[1]V, inciso p) (OP)'!AS108</f>
        <v>Varias colonias del Municipio</v>
      </c>
      <c r="I234" s="5" t="str">
        <f>'[1]V, inciso p) (OP)'!T108</f>
        <v>José Omar</v>
      </c>
      <c r="J234" s="5" t="str">
        <f>'[1]V, inciso p) (OP)'!U108</f>
        <v>Fernández</v>
      </c>
      <c r="K234" s="5" t="str">
        <f>'[1]V, inciso p) (OP)'!V108</f>
        <v>Vázquez</v>
      </c>
      <c r="L234" s="7" t="str">
        <f>'[1]V, inciso p) (OP)'!W108</f>
        <v>José Omar Fernández Vázquez</v>
      </c>
      <c r="M234" s="5" t="str">
        <f>'[1]V, inciso p) (OP)'!X108</f>
        <v>FEVO740619686</v>
      </c>
      <c r="N234" s="8">
        <f>'[1]V, inciso p) (OP)'!AG108</f>
        <v>2998448.3</v>
      </c>
      <c r="O234" s="77" t="s">
        <v>40</v>
      </c>
      <c r="P234" s="9" t="s">
        <v>774</v>
      </c>
      <c r="Q234" s="10">
        <f>N234/254</f>
        <v>11804.914566929134</v>
      </c>
      <c r="R234" s="9" t="s">
        <v>42</v>
      </c>
      <c r="S234" s="13">
        <v>122366</v>
      </c>
      <c r="T234" s="7" t="s">
        <v>43</v>
      </c>
      <c r="U234" s="5" t="s">
        <v>565</v>
      </c>
      <c r="V234" s="6">
        <f>'[1]V, inciso p) (OP)'!AM108</f>
        <v>42727</v>
      </c>
      <c r="W234" s="6">
        <f>'[1]V, inciso p) (OP)'!AN108</f>
        <v>42846</v>
      </c>
      <c r="X234" s="5" t="s">
        <v>775</v>
      </c>
      <c r="Y234" s="5" t="s">
        <v>776</v>
      </c>
      <c r="Z234" s="5" t="s">
        <v>117</v>
      </c>
      <c r="AA234" s="40" t="s">
        <v>40</v>
      </c>
      <c r="AB234" s="5" t="s">
        <v>40</v>
      </c>
    </row>
    <row r="235" spans="1:28" ht="40.5">
      <c r="A235" s="5">
        <v>2016</v>
      </c>
      <c r="B235" s="5" t="str">
        <f>'[1]V, inciso p) (OP)'!B109</f>
        <v>Licitación Pública</v>
      </c>
      <c r="C235" s="79" t="str">
        <f>'[1]V, inciso p) (OP)'!D109</f>
        <v>DOPI-MUN-RM-ID-LP-176-2016</v>
      </c>
      <c r="D235" s="12">
        <f>'[1]V, inciso p) (OP)'!AD109</f>
        <v>42726</v>
      </c>
      <c r="E235" s="7" t="str">
        <f>'[1]V, inciso p) (OP)'!I109</f>
        <v>Rehabilitación de las instalaciones y equipamiento deportivo de la Unidad Deportiva Miramar, municipio de Zapopan, Jalisco</v>
      </c>
      <c r="F235" s="7" t="s">
        <v>184</v>
      </c>
      <c r="G235" s="8">
        <f>'[1]V, inciso p) (OP)'!AG109</f>
        <v>7420078.3799999999</v>
      </c>
      <c r="H235" s="7" t="str">
        <f>'[1]V, inciso p) (OP)'!AS109</f>
        <v>Colonia Miramar</v>
      </c>
      <c r="I235" s="5" t="str">
        <f>'[1]V, inciso p) (OP)'!T109</f>
        <v>José Antonio</v>
      </c>
      <c r="J235" s="5" t="str">
        <f>'[1]V, inciso p) (OP)'!U109</f>
        <v>Álvarez</v>
      </c>
      <c r="K235" s="5" t="str">
        <f>'[1]V, inciso p) (OP)'!V109</f>
        <v>Garcia</v>
      </c>
      <c r="L235" s="7" t="str">
        <f>'[1]V, inciso p) (OP)'!W109</f>
        <v>Urcoma 1970, S.A. de C.V.</v>
      </c>
      <c r="M235" s="5" t="str">
        <f>'[1]V, inciso p) (OP)'!X109</f>
        <v>UMN160125869</v>
      </c>
      <c r="N235" s="8">
        <f>'[1]V, inciso p) (OP)'!AG109</f>
        <v>7420078.3799999999</v>
      </c>
      <c r="O235" s="77" t="s">
        <v>40</v>
      </c>
      <c r="P235" s="9" t="s">
        <v>777</v>
      </c>
      <c r="Q235" s="10">
        <f>N235/13099.16</f>
        <v>566.45451922107986</v>
      </c>
      <c r="R235" s="9" t="s">
        <v>42</v>
      </c>
      <c r="S235" s="13">
        <v>3881</v>
      </c>
      <c r="T235" s="7" t="s">
        <v>43</v>
      </c>
      <c r="U235" s="5" t="s">
        <v>565</v>
      </c>
      <c r="V235" s="6">
        <f>'[1]V, inciso p) (OP)'!AM109</f>
        <v>42727</v>
      </c>
      <c r="W235" s="6">
        <f>'[1]V, inciso p) (OP)'!AN109</f>
        <v>42816</v>
      </c>
      <c r="X235" s="5" t="s">
        <v>668</v>
      </c>
      <c r="Y235" s="5" t="s">
        <v>476</v>
      </c>
      <c r="Z235" s="5" t="s">
        <v>89</v>
      </c>
      <c r="AA235" s="40" t="s">
        <v>40</v>
      </c>
      <c r="AB235" s="5" t="s">
        <v>40</v>
      </c>
    </row>
    <row r="236" spans="1:28" ht="40.5">
      <c r="A236" s="5">
        <v>2016</v>
      </c>
      <c r="B236" s="5" t="str">
        <f>'[1]V, inciso p) (OP)'!B110</f>
        <v>Licitación Pública</v>
      </c>
      <c r="C236" s="79" t="str">
        <f>'[1]V, inciso p) (OP)'!D110</f>
        <v>DOPI-MUN-RM-ID-LP-177-2016</v>
      </c>
      <c r="D236" s="12">
        <f>'[1]V, inciso p) (OP)'!AD110</f>
        <v>42726</v>
      </c>
      <c r="E236" s="7" t="str">
        <f>'[1]V, inciso p) (OP)'!I110</f>
        <v>Rehabilitación de las Instalaciones y equipamiento deportivo de la Unidad Deportiva Paseos del Briseño, municipio de Zapopan, Jalisco</v>
      </c>
      <c r="F236" s="7" t="s">
        <v>184</v>
      </c>
      <c r="G236" s="8">
        <f>'[1]V, inciso p) (OP)'!AG110</f>
        <v>8768312.9199999999</v>
      </c>
      <c r="H236" s="7" t="str">
        <f>'[1]V, inciso p) (OP)'!AS110</f>
        <v>Colonia Paseos del Briseño</v>
      </c>
      <c r="I236" s="5" t="str">
        <f>'[1]V, inciso p) (OP)'!T110</f>
        <v>Francisco Javier</v>
      </c>
      <c r="J236" s="5" t="str">
        <f>'[1]V, inciso p) (OP)'!U110</f>
        <v>Diaz</v>
      </c>
      <c r="K236" s="5" t="str">
        <f>'[1]V, inciso p) (OP)'!V110</f>
        <v>Ruiz</v>
      </c>
      <c r="L236" s="7" t="str">
        <f>'[1]V, inciso p) (OP)'!W110</f>
        <v>Constructora Diru, S.A. de C.V.</v>
      </c>
      <c r="M236" s="5" t="str">
        <f>'[1]V, inciso p) (OP)'!X110</f>
        <v>CDI950714B79</v>
      </c>
      <c r="N236" s="8">
        <f>'[1]V, inciso p) (OP)'!AG110</f>
        <v>8768312.9199999999</v>
      </c>
      <c r="O236" s="77" t="s">
        <v>40</v>
      </c>
      <c r="P236" s="14">
        <v>16194.34</v>
      </c>
      <c r="Q236" s="10">
        <f>N236/16194.34</f>
        <v>541.44305479568789</v>
      </c>
      <c r="R236" s="9" t="s">
        <v>42</v>
      </c>
      <c r="S236" s="13">
        <v>2896</v>
      </c>
      <c r="T236" s="7" t="s">
        <v>43</v>
      </c>
      <c r="U236" s="5" t="s">
        <v>565</v>
      </c>
      <c r="V236" s="6">
        <f>'[1]V, inciso p) (OP)'!AM110</f>
        <v>42727</v>
      </c>
      <c r="W236" s="6">
        <f>'[1]V, inciso p) (OP)'!AN110</f>
        <v>42816</v>
      </c>
      <c r="X236" s="5" t="s">
        <v>701</v>
      </c>
      <c r="Y236" s="5" t="s">
        <v>524</v>
      </c>
      <c r="Z236" s="5" t="s">
        <v>254</v>
      </c>
      <c r="AA236" s="40" t="s">
        <v>40</v>
      </c>
      <c r="AB236" s="5" t="s">
        <v>40</v>
      </c>
    </row>
    <row r="237" spans="1:28" ht="40.5">
      <c r="A237" s="5">
        <v>2016</v>
      </c>
      <c r="B237" s="5" t="str">
        <f>'[1]V, inciso p) (OP)'!B111</f>
        <v>Licitación Pública</v>
      </c>
      <c r="C237" s="79" t="str">
        <f>'[1]V, inciso p) (OP)'!D111</f>
        <v>DOPI-MUN-RM-ID-LP-178-2016</v>
      </c>
      <c r="D237" s="12">
        <f>'[1]V, inciso p) (OP)'!AD111</f>
        <v>42726</v>
      </c>
      <c r="E237" s="7" t="str">
        <f>'[1]V, inciso p) (OP)'!I111</f>
        <v>Rehabilitación de las Instalaciones y equipamiento deportivo de la Unidad Deportiva San Juan de Ocotán, municipio de Zapopan, Jalisco</v>
      </c>
      <c r="F237" s="7" t="s">
        <v>184</v>
      </c>
      <c r="G237" s="8">
        <f>'[1]V, inciso p) (OP)'!AG111</f>
        <v>7913055.7999999998</v>
      </c>
      <c r="H237" s="7" t="str">
        <f>'[1]V, inciso p) (OP)'!AS111</f>
        <v>Colonia San Juan de Ocotán</v>
      </c>
      <c r="I237" s="5" t="str">
        <f>'[1]V, inciso p) (OP)'!T111</f>
        <v>Eduardo</v>
      </c>
      <c r="J237" s="5" t="str">
        <f>'[1]V, inciso p) (OP)'!U111</f>
        <v>Romero</v>
      </c>
      <c r="K237" s="5" t="str">
        <f>'[1]V, inciso p) (OP)'!V111</f>
        <v>Lugo</v>
      </c>
      <c r="L237" s="7" t="str">
        <f>'[1]V, inciso p) (OP)'!W111</f>
        <v>RS Obras y Servicios S.A. de C.V.</v>
      </c>
      <c r="M237" s="5" t="str">
        <f>'[1]V, inciso p) (OP)'!X111</f>
        <v>ROS120904PV9</v>
      </c>
      <c r="N237" s="8">
        <f>'[1]V, inciso p) (OP)'!AG111</f>
        <v>7913055.7999999998</v>
      </c>
      <c r="O237" s="77" t="s">
        <v>40</v>
      </c>
      <c r="P237" s="9" t="s">
        <v>778</v>
      </c>
      <c r="Q237" s="10">
        <f>N237/8180.41</f>
        <v>967.31775057729385</v>
      </c>
      <c r="R237" s="9" t="s">
        <v>42</v>
      </c>
      <c r="S237" s="13">
        <v>12652</v>
      </c>
      <c r="T237" s="7" t="s">
        <v>43</v>
      </c>
      <c r="U237" s="5" t="s">
        <v>565</v>
      </c>
      <c r="V237" s="6">
        <f>'[1]V, inciso p) (OP)'!AM111</f>
        <v>42727</v>
      </c>
      <c r="W237" s="6">
        <f>'[1]V, inciso p) (OP)'!AN111</f>
        <v>42794</v>
      </c>
      <c r="X237" s="5" t="s">
        <v>686</v>
      </c>
      <c r="Y237" s="5" t="s">
        <v>687</v>
      </c>
      <c r="Z237" s="5" t="s">
        <v>268</v>
      </c>
      <c r="AA237" s="40" t="s">
        <v>40</v>
      </c>
      <c r="AB237" s="5" t="s">
        <v>40</v>
      </c>
    </row>
    <row r="238" spans="1:28" ht="67.5">
      <c r="A238" s="5">
        <v>2016</v>
      </c>
      <c r="B238" s="5" t="str">
        <f>'[1]V, inciso p) (OP)'!B112</f>
        <v>Licitación Pública</v>
      </c>
      <c r="C238" s="79" t="str">
        <f>'[1]V, inciso p) (OP)'!D112</f>
        <v>DOPI-MUN-RM-MOV-LP-179-2016</v>
      </c>
      <c r="D238" s="12">
        <f>'[1]V, inciso p) (OP)'!AD112</f>
        <v>42726</v>
      </c>
      <c r="E238" s="7" t="str">
        <f>'[1]V, inciso p) (OP)'!I112</f>
        <v>Construcción de cruceros seguros, incluye señaletica horizontal y vertical, acceso universal en esquinas,semaforización y paradas de autobús en diferentes cruceros, zona 1 del Municipio de Zapopan, Jallisco</v>
      </c>
      <c r="F238" s="15" t="s">
        <v>67</v>
      </c>
      <c r="G238" s="8">
        <f>'[1]V, inciso p) (OP)'!AG112</f>
        <v>3582511.3</v>
      </c>
      <c r="H238" s="7" t="str">
        <f>'[1]V, inciso p) (OP)'!AS112</f>
        <v>Varias colonias del Municipio</v>
      </c>
      <c r="I238" s="5" t="str">
        <f>'[1]V, inciso p) (OP)'!T112</f>
        <v>José Omar</v>
      </c>
      <c r="J238" s="5" t="str">
        <f>'[1]V, inciso p) (OP)'!U112</f>
        <v>Fernández</v>
      </c>
      <c r="K238" s="5" t="str">
        <f>'[1]V, inciso p) (OP)'!V112</f>
        <v>Vázquez</v>
      </c>
      <c r="L238" s="7" t="str">
        <f>'[1]V, inciso p) (OP)'!W112</f>
        <v>José Omar Fernández Vázquez</v>
      </c>
      <c r="M238" s="5" t="str">
        <f>'[1]V, inciso p) (OP)'!X112</f>
        <v>FEVO740619686</v>
      </c>
      <c r="N238" s="8">
        <f>'[1]V, inciso p) (OP)'!AG112</f>
        <v>3582511.3</v>
      </c>
      <c r="O238" s="77" t="s">
        <v>40</v>
      </c>
      <c r="P238" s="9" t="s">
        <v>779</v>
      </c>
      <c r="Q238" s="10">
        <f>N238/1718</f>
        <v>2085.2801513387658</v>
      </c>
      <c r="R238" s="9" t="s">
        <v>42</v>
      </c>
      <c r="S238" s="13">
        <v>220690</v>
      </c>
      <c r="T238" s="7" t="s">
        <v>43</v>
      </c>
      <c r="U238" s="5" t="s">
        <v>565</v>
      </c>
      <c r="V238" s="6">
        <f>'[1]V, inciso p) (OP)'!AM112</f>
        <v>42727</v>
      </c>
      <c r="W238" s="6">
        <f>'[1]V, inciso p) (OP)'!AN112</f>
        <v>42846</v>
      </c>
      <c r="X238" s="5" t="s">
        <v>775</v>
      </c>
      <c r="Y238" s="5" t="s">
        <v>776</v>
      </c>
      <c r="Z238" s="5" t="s">
        <v>117</v>
      </c>
      <c r="AA238" s="40" t="s">
        <v>40</v>
      </c>
      <c r="AB238" s="5" t="s">
        <v>40</v>
      </c>
    </row>
    <row r="239" spans="1:28" ht="67.5">
      <c r="A239" s="5">
        <v>2016</v>
      </c>
      <c r="B239" s="5" t="str">
        <f>'[1]V, inciso p) (OP)'!B113</f>
        <v>Licitación Pública</v>
      </c>
      <c r="C239" s="79" t="str">
        <f>'[1]V, inciso p) (OP)'!D113</f>
        <v>DOPI-MUN-RM-MOV-LP-180-2016</v>
      </c>
      <c r="D239" s="12">
        <f>'[1]V, inciso p) (OP)'!AD113</f>
        <v>42726</v>
      </c>
      <c r="E239" s="7" t="str">
        <f>'[1]V, inciso p) (OP)'!I113</f>
        <v>Construcción de cruceros seguros, incluye señaletica horizontal y vertical, acceso universal en esquinas,semaforización y paradas de autobús en diferentes cruceros, zona 2 del Municipio de Zapopan, Jallisco</v>
      </c>
      <c r="F239" s="15" t="s">
        <v>67</v>
      </c>
      <c r="G239" s="8">
        <f>'[1]V, inciso p) (OP)'!AG113</f>
        <v>4703307.2300000004</v>
      </c>
      <c r="H239" s="7" t="str">
        <f>'[1]V, inciso p) (OP)'!AS113</f>
        <v>Varias colonias del Municipio</v>
      </c>
      <c r="I239" s="5" t="str">
        <f>'[1]V, inciso p) (OP)'!T113</f>
        <v>José Jaime</v>
      </c>
      <c r="J239" s="5" t="str">
        <f>'[1]V, inciso p) (OP)'!U113</f>
        <v>Camarena</v>
      </c>
      <c r="K239" s="5" t="str">
        <f>'[1]V, inciso p) (OP)'!V113</f>
        <v>Correa</v>
      </c>
      <c r="L239" s="7" t="str">
        <f>'[1]V, inciso p) (OP)'!W113</f>
        <v>Firmitas Constructa, S.A de C.V.</v>
      </c>
      <c r="M239" s="5" t="str">
        <f>'[1]V, inciso p) (OP)'!X113</f>
        <v>FCO110711N24</v>
      </c>
      <c r="N239" s="8">
        <f>'[1]V, inciso p) (OP)'!AG113</f>
        <v>4703307.2300000004</v>
      </c>
      <c r="O239" s="77" t="s">
        <v>40</v>
      </c>
      <c r="P239" s="9" t="s">
        <v>780</v>
      </c>
      <c r="Q239" s="10">
        <f>N239/2265.23</f>
        <v>2076.3044944663457</v>
      </c>
      <c r="R239" s="9" t="s">
        <v>42</v>
      </c>
      <c r="S239" s="13">
        <v>284788</v>
      </c>
      <c r="T239" s="7" t="s">
        <v>43</v>
      </c>
      <c r="U239" s="5" t="s">
        <v>565</v>
      </c>
      <c r="V239" s="6">
        <f>'[1]V, inciso p) (OP)'!AM113</f>
        <v>42727</v>
      </c>
      <c r="W239" s="6">
        <f>'[1]V, inciso p) (OP)'!AN113</f>
        <v>42846</v>
      </c>
      <c r="X239" s="5" t="s">
        <v>775</v>
      </c>
      <c r="Y239" s="5" t="s">
        <v>776</v>
      </c>
      <c r="Z239" s="5" t="s">
        <v>117</v>
      </c>
      <c r="AA239" s="40" t="s">
        <v>40</v>
      </c>
      <c r="AB239" s="5" t="s">
        <v>40</v>
      </c>
    </row>
    <row r="240" spans="1:28" ht="40.5">
      <c r="A240" s="5">
        <v>2016</v>
      </c>
      <c r="B240" s="5" t="s">
        <v>64</v>
      </c>
      <c r="C240" s="79" t="str">
        <f>'[1]V, inciso o) (OP)'!C86</f>
        <v>DOPI-MUN-RM-PAV-AD-181-2016</v>
      </c>
      <c r="D240" s="12">
        <f>'[1]V, inciso o) (OP)'!V86</f>
        <v>42653</v>
      </c>
      <c r="E240" s="7" t="str">
        <f>'[1]V, inciso o) (OP)'!AA86</f>
        <v>Programa emergente de bacheo de vialidades en Zapopan Norte tramo 2, municipio de Zapopan, Jalisco.</v>
      </c>
      <c r="F240" s="7" t="s">
        <v>184</v>
      </c>
      <c r="G240" s="8">
        <f>'[1]V, inciso o) (OP)'!Y86</f>
        <v>1494945.36</v>
      </c>
      <c r="H240" s="7" t="s">
        <v>225</v>
      </c>
      <c r="I240" s="5" t="str">
        <f>'[1]V, inciso o) (OP)'!M86</f>
        <v>RAFAEL AUGUSTO</v>
      </c>
      <c r="J240" s="5" t="str">
        <f>'[1]V, inciso o) (OP)'!N86</f>
        <v>CABALLERO</v>
      </c>
      <c r="K240" s="5" t="str">
        <f>'[1]V, inciso o) (OP)'!O86</f>
        <v>QUIRARTE</v>
      </c>
      <c r="L240" s="7" t="str">
        <f>'[1]V, inciso o) (OP)'!P86</f>
        <v>PROYECTOS ARQUITECTONICOS TRIANGULO, S.A. DE C.V.</v>
      </c>
      <c r="M240" s="5" t="str">
        <f>'[1]V, inciso o) (OP)'!Q86</f>
        <v>PAT110331HH0</v>
      </c>
      <c r="N240" s="8">
        <f>'[1]V, inciso o) (OP)'!Y86</f>
        <v>1494945.36</v>
      </c>
      <c r="O240" s="77" t="s">
        <v>40</v>
      </c>
      <c r="P240" s="9" t="s">
        <v>781</v>
      </c>
      <c r="Q240" s="10">
        <f>N240/249</f>
        <v>6003.7966265060249</v>
      </c>
      <c r="R240" s="9" t="s">
        <v>42</v>
      </c>
      <c r="S240" s="13">
        <v>156300</v>
      </c>
      <c r="T240" s="7" t="s">
        <v>43</v>
      </c>
      <c r="U240" s="5" t="s">
        <v>44</v>
      </c>
      <c r="V240" s="6">
        <f>'[1]V, inciso o) (OP)'!AD86</f>
        <v>42654</v>
      </c>
      <c r="W240" s="6">
        <f>'[1]V, inciso o) (OP)'!AE86</f>
        <v>42710</v>
      </c>
      <c r="X240" s="5" t="s">
        <v>754</v>
      </c>
      <c r="Y240" s="5" t="s">
        <v>755</v>
      </c>
      <c r="Z240" s="5" t="s">
        <v>756</v>
      </c>
      <c r="AA240" s="40" t="s">
        <v>40</v>
      </c>
      <c r="AB240" s="5" t="s">
        <v>40</v>
      </c>
    </row>
    <row r="241" spans="1:28" ht="54">
      <c r="A241" s="5">
        <v>2016</v>
      </c>
      <c r="B241" s="5" t="s">
        <v>64</v>
      </c>
      <c r="C241" s="79" t="str">
        <f>'[1]V, inciso o) (OP)'!C87</f>
        <v>DOPI-MUN-RM-PAV-AD-182-2016</v>
      </c>
      <c r="D241" s="12">
        <f>'[1]V, inciso o) (OP)'!V87</f>
        <v>42650</v>
      </c>
      <c r="E241" s="7" t="str">
        <f>'[1]V, inciso o) (OP)'!AA87</f>
        <v>Rehabilitación de machuelos de concreto hidráulico en la Av. Juan Gil Preciado, tramo 1, municipio de Zapopan, Jalisco.</v>
      </c>
      <c r="F241" s="7" t="s">
        <v>184</v>
      </c>
      <c r="G241" s="8">
        <f>'[1]V, inciso o) (OP)'!Y87</f>
        <v>1498832.34</v>
      </c>
      <c r="H241" s="7" t="s">
        <v>225</v>
      </c>
      <c r="I241" s="5" t="str">
        <f>'[1]V, inciso o) (OP)'!M87</f>
        <v>ENRIQUE</v>
      </c>
      <c r="J241" s="5" t="str">
        <f>'[1]V, inciso o) (OP)'!N87</f>
        <v>LUGO</v>
      </c>
      <c r="K241" s="5" t="str">
        <f>'[1]V, inciso o) (OP)'!O87</f>
        <v>IBARRA</v>
      </c>
      <c r="L241" s="7" t="str">
        <f>'[1]V, inciso o) (OP)'!P87</f>
        <v>LUGO IBARRA CONSORCIO CONSTRUCTOR, S.A. DE C.V.</v>
      </c>
      <c r="M241" s="5" t="str">
        <f>'[1]V, inciso o) (OP)'!Q87</f>
        <v>LIC0208141P8</v>
      </c>
      <c r="N241" s="8">
        <f>'[1]V, inciso o) (OP)'!Y87</f>
        <v>1498832.34</v>
      </c>
      <c r="O241" s="77" t="s">
        <v>40</v>
      </c>
      <c r="P241" s="9" t="s">
        <v>782</v>
      </c>
      <c r="Q241" s="10">
        <f>N241/4153</f>
        <v>360.90352516253313</v>
      </c>
      <c r="R241" s="9" t="s">
        <v>42</v>
      </c>
      <c r="S241" s="13">
        <v>121200</v>
      </c>
      <c r="T241" s="7" t="s">
        <v>43</v>
      </c>
      <c r="U241" s="5" t="s">
        <v>44</v>
      </c>
      <c r="V241" s="6">
        <f>'[1]V, inciso o) (OP)'!AD87</f>
        <v>42653</v>
      </c>
      <c r="W241" s="6">
        <f>'[1]V, inciso o) (OP)'!AE87</f>
        <v>42712</v>
      </c>
      <c r="X241" s="5" t="s">
        <v>586</v>
      </c>
      <c r="Y241" s="5" t="s">
        <v>404</v>
      </c>
      <c r="Z241" s="5" t="s">
        <v>405</v>
      </c>
      <c r="AA241" s="40" t="s">
        <v>40</v>
      </c>
      <c r="AB241" s="5" t="s">
        <v>40</v>
      </c>
    </row>
    <row r="242" spans="1:28" ht="40.5">
      <c r="A242" s="5">
        <v>2016</v>
      </c>
      <c r="B242" s="5" t="s">
        <v>64</v>
      </c>
      <c r="C242" s="79" t="str">
        <f>'[1]V, inciso o) (OP)'!C88</f>
        <v>DOPI-MUN-RM-PAV-AD-183-2016</v>
      </c>
      <c r="D242" s="12">
        <f>'[1]V, inciso o) (OP)'!V88</f>
        <v>42650</v>
      </c>
      <c r="E242" s="7" t="str">
        <f>'[1]V, inciso o) (OP)'!AA88</f>
        <v>Rehabilitación de machuelos de concreto hidráulico en la Av. Juan Gil Preciado, tramo 2, municipio de Zapopan, Jalisco.</v>
      </c>
      <c r="F242" s="7" t="s">
        <v>184</v>
      </c>
      <c r="G242" s="8">
        <f>'[1]V, inciso o) (OP)'!Y88</f>
        <v>1492150.48</v>
      </c>
      <c r="H242" s="7" t="s">
        <v>225</v>
      </c>
      <c r="I242" s="5" t="str">
        <f>'[1]V, inciso o) (OP)'!M88</f>
        <v>ARTURO</v>
      </c>
      <c r="J242" s="5" t="str">
        <f>'[1]V, inciso o) (OP)'!N88</f>
        <v>SARMIENTO</v>
      </c>
      <c r="K242" s="5" t="str">
        <f>'[1]V, inciso o) (OP)'!O88</f>
        <v>SANCHEZ</v>
      </c>
      <c r="L242" s="7" t="str">
        <f>'[1]V, inciso o) (OP)'!P88</f>
        <v>CONSTRUBRAVO, S.A. DE C.V.</v>
      </c>
      <c r="M242" s="5" t="str">
        <f>'[1]V, inciso o) (OP)'!Q88</f>
        <v>CON020208696</v>
      </c>
      <c r="N242" s="8">
        <f>'[1]V, inciso o) (OP)'!Y88</f>
        <v>1492150.48</v>
      </c>
      <c r="O242" s="78">
        <v>1492126.81</v>
      </c>
      <c r="P242" s="9" t="s">
        <v>782</v>
      </c>
      <c r="Q242" s="10">
        <f>N242/4153</f>
        <v>359.29460149289667</v>
      </c>
      <c r="R242" s="9" t="s">
        <v>42</v>
      </c>
      <c r="S242" s="13">
        <v>121200</v>
      </c>
      <c r="T242" s="7" t="s">
        <v>43</v>
      </c>
      <c r="U242" s="5" t="s">
        <v>44</v>
      </c>
      <c r="V242" s="6">
        <f>'[1]V, inciso o) (OP)'!AD88</f>
        <v>42653</v>
      </c>
      <c r="W242" s="6">
        <f>'[1]V, inciso o) (OP)'!AE88</f>
        <v>42712</v>
      </c>
      <c r="X242" s="5" t="s">
        <v>586</v>
      </c>
      <c r="Y242" s="5" t="s">
        <v>404</v>
      </c>
      <c r="Z242" s="5" t="s">
        <v>405</v>
      </c>
      <c r="AA242" s="40" t="s">
        <v>40</v>
      </c>
      <c r="AB242" s="5" t="s">
        <v>40</v>
      </c>
    </row>
    <row r="243" spans="1:28" ht="40.5">
      <c r="A243" s="5">
        <v>2016</v>
      </c>
      <c r="B243" s="5" t="s">
        <v>64</v>
      </c>
      <c r="C243" s="79" t="str">
        <f>'[1]V, inciso o) (OP)'!C89</f>
        <v>DOPI-MUN-RM-DP-AD-184-2016</v>
      </c>
      <c r="D243" s="12">
        <f>'[1]V, inciso o) (OP)'!V89</f>
        <v>42653</v>
      </c>
      <c r="E243" s="7" t="str">
        <f>'[1]V, inciso o) (OP)'!AA89</f>
        <v>Construcción de colector pluvial en el camino al Arenero, municipio de Zapopan, Jalisco.</v>
      </c>
      <c r="F243" s="7" t="s">
        <v>184</v>
      </c>
      <c r="G243" s="8">
        <f>'[1]V, inciso o) (OP)'!Y89</f>
        <v>1478083.67</v>
      </c>
      <c r="H243" s="7" t="s">
        <v>783</v>
      </c>
      <c r="I243" s="5" t="str">
        <f>'[1]V, inciso o) (OP)'!M89</f>
        <v xml:space="preserve">EDUARDO </v>
      </c>
      <c r="J243" s="5" t="str">
        <f>'[1]V, inciso o) (OP)'!N89</f>
        <v>ROMERO</v>
      </c>
      <c r="K243" s="5" t="str">
        <f>'[1]V, inciso o) (OP)'!O89</f>
        <v>LUGO</v>
      </c>
      <c r="L243" s="7" t="str">
        <f>'[1]V, inciso o) (OP)'!P89</f>
        <v>RS OBRAS Y SERVICIOS S.A. DE C.V.</v>
      </c>
      <c r="M243" s="5" t="str">
        <f>'[1]V, inciso o) (OP)'!Q89</f>
        <v>ROS120904PV9</v>
      </c>
      <c r="N243" s="8">
        <f>'[1]V, inciso o) (OP)'!Y89</f>
        <v>1478083.67</v>
      </c>
      <c r="O243" s="77" t="s">
        <v>40</v>
      </c>
      <c r="P243" s="9" t="s">
        <v>784</v>
      </c>
      <c r="Q243" s="10">
        <f>N243/231</f>
        <v>6398.6306060606057</v>
      </c>
      <c r="R243" s="9" t="s">
        <v>42</v>
      </c>
      <c r="S243" s="13">
        <v>1850</v>
      </c>
      <c r="T243" s="7" t="s">
        <v>43</v>
      </c>
      <c r="U243" s="5" t="s">
        <v>44</v>
      </c>
      <c r="V243" s="6">
        <f>'[1]V, inciso o) (OP)'!AD89</f>
        <v>42654</v>
      </c>
      <c r="W243" s="6">
        <f>'[1]V, inciso o) (OP)'!AE89</f>
        <v>42678</v>
      </c>
      <c r="X243" s="5" t="s">
        <v>785</v>
      </c>
      <c r="Y243" s="5" t="s">
        <v>76</v>
      </c>
      <c r="Z243" s="5" t="s">
        <v>77</v>
      </c>
      <c r="AA243" s="40" t="s">
        <v>40</v>
      </c>
      <c r="AB243" s="5" t="s">
        <v>40</v>
      </c>
    </row>
    <row r="244" spans="1:28" ht="54">
      <c r="A244" s="5">
        <v>2016</v>
      </c>
      <c r="B244" s="5" t="s">
        <v>64</v>
      </c>
      <c r="C244" s="79" t="str">
        <f>'[1]V, inciso o) (OP)'!C90</f>
        <v>DOPI-MUN-RM-PROY-AD-185-2016</v>
      </c>
      <c r="D244" s="12">
        <f>'[1]V, inciso o) (OP)'!V90</f>
        <v>42653</v>
      </c>
      <c r="E244" s="7" t="str">
        <f>'[1]V, inciso o) (OP)'!AA90</f>
        <v>Proyecto ejecutivo de la renovación y ampliación del Museo de Arte de Zapopan, ubicado en el Andador 20 de Noviembre y la calle 28 de Enero, en la cabecera municipal, de Zapopan, Jalisco.</v>
      </c>
      <c r="F244" s="7" t="s">
        <v>184</v>
      </c>
      <c r="G244" s="8">
        <f>'[1]V, inciso o) (OP)'!Y90</f>
        <v>986034.8</v>
      </c>
      <c r="H244" s="7" t="s">
        <v>215</v>
      </c>
      <c r="I244" s="5" t="str">
        <f>'[1]V, inciso o) (OP)'!M90</f>
        <v>ENRIQUE FRANCISCO</v>
      </c>
      <c r="J244" s="5" t="str">
        <f>'[1]V, inciso o) (OP)'!N90</f>
        <v>TOUSSAINT</v>
      </c>
      <c r="K244" s="5" t="str">
        <f>'[1]V, inciso o) (OP)'!O90</f>
        <v>OCHOA</v>
      </c>
      <c r="L244" s="7" t="str">
        <f>'[1]V, inciso o) (OP)'!P90</f>
        <v>GRUPO ARQUITECTOS TOUSSAINT Y ORENDAIN SC</v>
      </c>
      <c r="M244" s="5" t="str">
        <f>'[1]V, inciso o) (OP)'!Q90</f>
        <v>GAT920520R72</v>
      </c>
      <c r="N244" s="8">
        <f>'[1]V, inciso o) (OP)'!Y90</f>
        <v>986034.8</v>
      </c>
      <c r="O244" s="77" t="s">
        <v>40</v>
      </c>
      <c r="P244" s="9" t="s">
        <v>731</v>
      </c>
      <c r="Q244" s="10">
        <f>N244</f>
        <v>986034.8</v>
      </c>
      <c r="R244" s="9" t="s">
        <v>42</v>
      </c>
      <c r="S244" s="13" t="s">
        <v>232</v>
      </c>
      <c r="T244" s="7" t="s">
        <v>231</v>
      </c>
      <c r="U244" s="5" t="s">
        <v>44</v>
      </c>
      <c r="V244" s="6">
        <f>'[1]V, inciso o) (OP)'!AD90</f>
        <v>42654</v>
      </c>
      <c r="W244" s="6">
        <f>'[1]V, inciso o) (OP)'!AE90</f>
        <v>42750</v>
      </c>
      <c r="X244" s="5" t="s">
        <v>639</v>
      </c>
      <c r="Y244" s="5" t="s">
        <v>524</v>
      </c>
      <c r="Z244" s="5" t="s">
        <v>462</v>
      </c>
      <c r="AA244" s="40" t="s">
        <v>40</v>
      </c>
      <c r="AB244" s="5" t="s">
        <v>40</v>
      </c>
    </row>
    <row r="245" spans="1:28" ht="54">
      <c r="A245" s="5">
        <v>2016</v>
      </c>
      <c r="B245" s="5" t="s">
        <v>64</v>
      </c>
      <c r="C245" s="79" t="str">
        <f>'[1]V, inciso o) (OP)'!C91</f>
        <v>DOPI-MUN-RM-DP-AD-186-2016</v>
      </c>
      <c r="D245" s="12">
        <f>'[1]V, inciso o) (OP)'!V91</f>
        <v>42653</v>
      </c>
      <c r="E245" s="7" t="str">
        <f>'[1]V, inciso o) (OP)'!AA91</f>
        <v>Solución Pluvial en Tesistán (colector pluvial de 36" y bocas de tormenta) en la calle Jalisco, Hidalgo, Puebla, en la localidad de Tesistán, municipio de Zapopan, Jalisco. Frente 1.</v>
      </c>
      <c r="F245" s="7" t="s">
        <v>184</v>
      </c>
      <c r="G245" s="8">
        <f>'[1]V, inciso o) (OP)'!Y91</f>
        <v>1479766.1</v>
      </c>
      <c r="H245" s="7" t="s">
        <v>786</v>
      </c>
      <c r="I245" s="5" t="str">
        <f>'[1]V, inciso o) (OP)'!M91</f>
        <v>JAVIER</v>
      </c>
      <c r="J245" s="5" t="str">
        <f>'[1]V, inciso o) (OP)'!N91</f>
        <v xml:space="preserve">ÁVILA </v>
      </c>
      <c r="K245" s="5" t="str">
        <f>'[1]V, inciso o) (OP)'!O91</f>
        <v>FLORES</v>
      </c>
      <c r="L245" s="7" t="str">
        <f>'[1]V, inciso o) (OP)'!P91</f>
        <v>SAVHO CONSULTORÍA Y CONSTRUCCIÓN, S.A. DE C.V.</v>
      </c>
      <c r="M245" s="5" t="str">
        <f>'[1]V, inciso o) (OP)'!Q91</f>
        <v>SCC060622HZ3</v>
      </c>
      <c r="N245" s="8">
        <f>'[1]V, inciso o) (OP)'!Y91</f>
        <v>1479766.1</v>
      </c>
      <c r="O245" s="77" t="s">
        <v>40</v>
      </c>
      <c r="P245" s="9" t="s">
        <v>787</v>
      </c>
      <c r="Q245" s="10">
        <f>N245/222</f>
        <v>6665.6130630630632</v>
      </c>
      <c r="R245" s="9" t="s">
        <v>42</v>
      </c>
      <c r="S245" s="13">
        <v>2460</v>
      </c>
      <c r="T245" s="7" t="s">
        <v>43</v>
      </c>
      <c r="U245" s="5" t="s">
        <v>44</v>
      </c>
      <c r="V245" s="6">
        <f>'[1]V, inciso o) (OP)'!AD91</f>
        <v>42654</v>
      </c>
      <c r="W245" s="6">
        <f>'[1]V, inciso o) (OP)'!AE91</f>
        <v>42704</v>
      </c>
      <c r="X245" s="5" t="s">
        <v>544</v>
      </c>
      <c r="Y245" s="5" t="s">
        <v>545</v>
      </c>
      <c r="Z245" s="5" t="s">
        <v>212</v>
      </c>
      <c r="AA245" s="40" t="s">
        <v>40</v>
      </c>
      <c r="AB245" s="5" t="s">
        <v>40</v>
      </c>
    </row>
    <row r="246" spans="1:28" ht="67.5">
      <c r="A246" s="5">
        <v>2016</v>
      </c>
      <c r="B246" s="5" t="s">
        <v>64</v>
      </c>
      <c r="C246" s="79" t="str">
        <f>'[1]V, inciso o) (OP)'!C92</f>
        <v>DOPI-MUN-RM-IE-AD-187-2016</v>
      </c>
      <c r="D246" s="12">
        <f>'[1]V, inciso o) (OP)'!V92</f>
        <v>42664</v>
      </c>
      <c r="E246" s="7" t="str">
        <f>'[1]V, inciso o) (OP)'!AA92</f>
        <v>Suministro y colocación de estructuras de protección de rayos ultravioleta y sustitución de losas de concreto en el plantel educativo Gustavo Diaz Ordaz, clave 14EPR1473U, colonia Gustavo Diaz Ordaz, Municipio de Zapopan, Jalisco.</v>
      </c>
      <c r="F246" s="7" t="s">
        <v>184</v>
      </c>
      <c r="G246" s="8">
        <f>'[1]V, inciso o) (OP)'!Y92</f>
        <v>998756.32</v>
      </c>
      <c r="H246" s="7" t="s">
        <v>788</v>
      </c>
      <c r="I246" s="5" t="str">
        <f>'[1]V, inciso o) (OP)'!M92</f>
        <v>AARON</v>
      </c>
      <c r="J246" s="5" t="str">
        <f>'[1]V, inciso o) (OP)'!N92</f>
        <v>AMARAL</v>
      </c>
      <c r="K246" s="5" t="str">
        <f>'[1]V, inciso o) (OP)'!O92</f>
        <v>LOPEZ</v>
      </c>
      <c r="L246" s="7" t="str">
        <f>'[1]V, inciso o) (OP)'!P92</f>
        <v>GLOBAL CONSTRUCCIONES Y CONSULTORIA, S.A. DE C.V.</v>
      </c>
      <c r="M246" s="5" t="str">
        <f>'[1]V, inciso o) (OP)'!Q92</f>
        <v>GCC1102098R8</v>
      </c>
      <c r="N246" s="8">
        <f>'[1]V, inciso o) (OP)'!Y92</f>
        <v>998756.32</v>
      </c>
      <c r="O246" s="77" t="s">
        <v>40</v>
      </c>
      <c r="P246" s="9" t="s">
        <v>789</v>
      </c>
      <c r="Q246" s="10">
        <f>N246/684</f>
        <v>1460.1700584795321</v>
      </c>
      <c r="R246" s="9" t="s">
        <v>42</v>
      </c>
      <c r="S246" s="13">
        <v>1140</v>
      </c>
      <c r="T246" s="7" t="s">
        <v>43</v>
      </c>
      <c r="U246" s="5" t="s">
        <v>44</v>
      </c>
      <c r="V246" s="6">
        <f>'[1]V, inciso o) (OP)'!AD92</f>
        <v>42667</v>
      </c>
      <c r="W246" s="6">
        <f>'[1]V, inciso o) (OP)'!AE92</f>
        <v>42726</v>
      </c>
      <c r="X246" s="5" t="s">
        <v>668</v>
      </c>
      <c r="Y246" s="5" t="s">
        <v>88</v>
      </c>
      <c r="Z246" s="5" t="s">
        <v>790</v>
      </c>
      <c r="AA246" s="40" t="s">
        <v>40</v>
      </c>
      <c r="AB246" s="5" t="s">
        <v>40</v>
      </c>
    </row>
    <row r="247" spans="1:28" ht="40.5">
      <c r="A247" s="5">
        <v>2016</v>
      </c>
      <c r="B247" s="5" t="s">
        <v>30</v>
      </c>
      <c r="C247" s="79" t="str">
        <f>'[1]V, inciso p) (OP)'!D114</f>
        <v>DOPI-FED-R23-IM-LP-188-2016</v>
      </c>
      <c r="D247" s="12">
        <f>'[1]V, inciso p) (OP)'!AD114</f>
        <v>42704</v>
      </c>
      <c r="E247" s="7" t="str">
        <f>'[1]V, inciso p) (OP)'!AL114</f>
        <v>Construcción de la primera etapa del centro comunitario, Centro de Emprendimiento, en Miramar, frente 1.</v>
      </c>
      <c r="F247" s="7" t="s">
        <v>648</v>
      </c>
      <c r="G247" s="8">
        <f>'[1]V, inciso p) (OP)'!AG114</f>
        <v>18435309.59</v>
      </c>
      <c r="H247" s="7" t="str">
        <f>'[1]V, inciso p) (OP)'!AS114</f>
        <v>Colonia Miramar</v>
      </c>
      <c r="I247" s="5" t="str">
        <f>'[1]V, inciso p) (OP)'!T114</f>
        <v>Luis German</v>
      </c>
      <c r="J247" s="5" t="str">
        <f>'[1]V, inciso p) (OP)'!U114</f>
        <v xml:space="preserve">Delgadillo </v>
      </c>
      <c r="K247" s="5" t="str">
        <f>'[1]V, inciso p) (OP)'!V114</f>
        <v>Alcazar</v>
      </c>
      <c r="L247" s="7" t="str">
        <f>'[1]V, inciso p) (OP)'!W114</f>
        <v>Axioma Proyectos e Ingeniería, S. A. de C. V.</v>
      </c>
      <c r="M247" s="5" t="str">
        <f>'[1]V, inciso p) (OP)'!X114</f>
        <v>APE111122MI0</v>
      </c>
      <c r="N247" s="8">
        <f t="shared" ref="N247:N269" si="4">G247</f>
        <v>18435309.59</v>
      </c>
      <c r="O247" s="77" t="s">
        <v>40</v>
      </c>
      <c r="P247" s="9" t="s">
        <v>791</v>
      </c>
      <c r="Q247" s="10">
        <f>N247/1601</f>
        <v>11514.871698938163</v>
      </c>
      <c r="R247" s="9" t="s">
        <v>42</v>
      </c>
      <c r="S247" s="13">
        <v>4790</v>
      </c>
      <c r="T247" s="7" t="s">
        <v>43</v>
      </c>
      <c r="U247" s="5" t="s">
        <v>565</v>
      </c>
      <c r="V247" s="6">
        <f>'[1]V, inciso p) (OP)'!AM114</f>
        <v>42705</v>
      </c>
      <c r="W247" s="6">
        <f>'[1]V, inciso p) (OP)'!AN114</f>
        <v>42735</v>
      </c>
      <c r="X247" s="5" t="s">
        <v>668</v>
      </c>
      <c r="Y247" s="5" t="s">
        <v>88</v>
      </c>
      <c r="Z247" s="5" t="s">
        <v>790</v>
      </c>
      <c r="AA247" s="40" t="s">
        <v>40</v>
      </c>
      <c r="AB247" s="5" t="s">
        <v>40</v>
      </c>
    </row>
    <row r="248" spans="1:28" ht="40.5">
      <c r="A248" s="5">
        <v>2016</v>
      </c>
      <c r="B248" s="5" t="s">
        <v>30</v>
      </c>
      <c r="C248" s="79" t="str">
        <f>'[1]V, inciso p) (OP)'!D115</f>
        <v>DOPI-FED-R23-IM-LP-189-2016</v>
      </c>
      <c r="D248" s="12">
        <f>'[1]V, inciso p) (OP)'!AD115</f>
        <v>42704</v>
      </c>
      <c r="E248" s="7" t="str">
        <f>'[1]V, inciso p) (OP)'!AL115</f>
        <v>Construcción de la primera etapa del centro comunitario, Centro de Emprendimiento, en Miramar, frente 2.</v>
      </c>
      <c r="F248" s="7" t="s">
        <v>648</v>
      </c>
      <c r="G248" s="8">
        <f>'[1]V, inciso p) (OP)'!AG115</f>
        <v>4817658.4800000004</v>
      </c>
      <c r="H248" s="7" t="str">
        <f>'[1]V, inciso p) (OP)'!AS115</f>
        <v>Colonia Miramar</v>
      </c>
      <c r="I248" s="5" t="str">
        <f>'[1]V, inciso p) (OP)'!T115</f>
        <v>Gustavo Alejandro</v>
      </c>
      <c r="J248" s="5" t="str">
        <f>'[1]V, inciso p) (OP)'!U115</f>
        <v>Ledezma</v>
      </c>
      <c r="K248" s="5" t="str">
        <f>'[1]V, inciso p) (OP)'!V115</f>
        <v xml:space="preserve"> Cervantes</v>
      </c>
      <c r="L248" s="7" t="str">
        <f>'[1]V, inciso p) (OP)'!W115</f>
        <v>Edificaciones y Proyectos Roca, S.A. de C.V.</v>
      </c>
      <c r="M248" s="5" t="str">
        <f>'[1]V, inciso p) (OP)'!X115</f>
        <v>EPR131016I71</v>
      </c>
      <c r="N248" s="8">
        <f t="shared" si="4"/>
        <v>4817658.4800000004</v>
      </c>
      <c r="O248" s="77" t="s">
        <v>40</v>
      </c>
      <c r="P248" s="9" t="s">
        <v>792</v>
      </c>
      <c r="Q248" s="10">
        <f>N248/4215</f>
        <v>1142.9794733096087</v>
      </c>
      <c r="R248" s="9" t="s">
        <v>42</v>
      </c>
      <c r="S248" s="13">
        <v>4790</v>
      </c>
      <c r="T248" s="7" t="s">
        <v>43</v>
      </c>
      <c r="U248" s="5" t="s">
        <v>565</v>
      </c>
      <c r="V248" s="6">
        <f>'[1]V, inciso p) (OP)'!AM115</f>
        <v>42705</v>
      </c>
      <c r="W248" s="6">
        <f>'[1]V, inciso p) (OP)'!AN115</f>
        <v>42735</v>
      </c>
      <c r="X248" s="5" t="s">
        <v>668</v>
      </c>
      <c r="Y248" s="5" t="s">
        <v>88</v>
      </c>
      <c r="Z248" s="5" t="s">
        <v>790</v>
      </c>
      <c r="AA248" s="40" t="s">
        <v>40</v>
      </c>
      <c r="AB248" s="5" t="s">
        <v>40</v>
      </c>
    </row>
    <row r="249" spans="1:28" ht="81">
      <c r="A249" s="5">
        <v>2016</v>
      </c>
      <c r="B249" s="5" t="s">
        <v>30</v>
      </c>
      <c r="C249" s="79" t="str">
        <f>'[1]V, inciso p) (OP)'!D116</f>
        <v>DOPI-FED-PR-PAV-LP-190-2016</v>
      </c>
      <c r="D249" s="12">
        <f>'[1]V, inciso p) (OP)'!AD116</f>
        <v>42704</v>
      </c>
      <c r="E249" s="7" t="str">
        <f>'[1]V, inciso p) (OP)'!AL116</f>
        <v>Pavimentación con concreto hidráulico de la Calle Rizo Ayala, incluye: red de agua potable y alcantarillado, alumbrado público y guarniciones, banquetas, renivelación de pozos y cajas, señalamiento horizontal y vertical, municipio de Zapopan, Jalisco.</v>
      </c>
      <c r="F249" s="7" t="s">
        <v>648</v>
      </c>
      <c r="G249" s="8">
        <f>'[1]V, inciso p) (OP)'!AG116</f>
        <v>2963838.41</v>
      </c>
      <c r="H249" s="7" t="str">
        <f>'[1]V, inciso p) (OP)'!AS116</f>
        <v>Colonia La Martinica</v>
      </c>
      <c r="I249" s="5" t="str">
        <f>'[1]V, inciso p) (OP)'!T116</f>
        <v>Blanca Estela</v>
      </c>
      <c r="J249" s="5" t="str">
        <f>'[1]V, inciso p) (OP)'!U116</f>
        <v>Moreno</v>
      </c>
      <c r="K249" s="5" t="str">
        <f>'[1]V, inciso p) (OP)'!V116</f>
        <v>Lemus</v>
      </c>
      <c r="L249" s="7" t="str">
        <f>'[1]V, inciso p) (OP)'!W116</f>
        <v xml:space="preserve">Estudios, Proyectos y Construcciones de Guadalajara, S.A. de C.V. </v>
      </c>
      <c r="M249" s="5" t="str">
        <f>'[1]V, inciso p) (OP)'!X116</f>
        <v>EPC7107236R1</v>
      </c>
      <c r="N249" s="8">
        <f t="shared" si="4"/>
        <v>2963838.41</v>
      </c>
      <c r="O249" s="77" t="s">
        <v>40</v>
      </c>
      <c r="P249" s="9" t="s">
        <v>793</v>
      </c>
      <c r="Q249" s="10">
        <f>N249/1440</f>
        <v>2058.2211180555555</v>
      </c>
      <c r="R249" s="9" t="s">
        <v>42</v>
      </c>
      <c r="S249" s="13">
        <v>1840</v>
      </c>
      <c r="T249" s="7" t="s">
        <v>43</v>
      </c>
      <c r="U249" s="5" t="s">
        <v>565</v>
      </c>
      <c r="V249" s="6">
        <f>'[1]V, inciso p) (OP)'!AM116</f>
        <v>42705</v>
      </c>
      <c r="W249" s="6">
        <f>'[1]V, inciso p) (OP)'!AN116</f>
        <v>42735</v>
      </c>
      <c r="X249" s="5" t="s">
        <v>775</v>
      </c>
      <c r="Y249" s="5" t="s">
        <v>776</v>
      </c>
      <c r="Z249" s="5" t="s">
        <v>117</v>
      </c>
      <c r="AA249" s="40" t="s">
        <v>40</v>
      </c>
      <c r="AB249" s="5" t="s">
        <v>40</v>
      </c>
    </row>
    <row r="250" spans="1:28" ht="81">
      <c r="A250" s="5">
        <v>2016</v>
      </c>
      <c r="B250" s="5" t="s">
        <v>30</v>
      </c>
      <c r="C250" s="79" t="str">
        <f>'[1]V, inciso p) (OP)'!D117</f>
        <v>DOPI-FED-PR-PAV-LP-191-2016</v>
      </c>
      <c r="D250" s="12">
        <f>'[1]V, inciso p) (OP)'!AD117</f>
        <v>42704</v>
      </c>
      <c r="E250" s="7" t="str">
        <f>'[1]V, inciso p) (OP)'!AL117</f>
        <v>Reencarpetamiento de vialidad Calle Pípila con concreto hidráulico desde la Calle Felipe Ángeles a la Calle Rizo Ayala, incluye: guarniciones, banquetas, renivelación de pozos y cajas, señalamiento vertical y horizontal, Municipio de Zapopan, Jalisco</v>
      </c>
      <c r="F250" s="7" t="s">
        <v>648</v>
      </c>
      <c r="G250" s="8">
        <f>'[1]V, inciso p) (OP)'!AG117</f>
        <v>9700078.7599999998</v>
      </c>
      <c r="H250" s="7" t="str">
        <f>'[1]V, inciso p) (OP)'!AS117</f>
        <v>Colonia La Martinica</v>
      </c>
      <c r="I250" s="5" t="str">
        <f>'[1]V, inciso p) (OP)'!T117</f>
        <v>Sergio Cesar</v>
      </c>
      <c r="J250" s="5" t="str">
        <f>'[1]V, inciso p) (OP)'!U117</f>
        <v>Diaz</v>
      </c>
      <c r="K250" s="5" t="str">
        <f>'[1]V, inciso p) (OP)'!V117</f>
        <v>Quiroz</v>
      </c>
      <c r="L250" s="7" t="str">
        <f>'[1]V, inciso p) (OP)'!W117</f>
        <v>Grupo Unicreto S.A. de C.V.</v>
      </c>
      <c r="M250" s="5" t="str">
        <f>'[1]V, inciso p) (OP)'!X117</f>
        <v>GUN880613NY1</v>
      </c>
      <c r="N250" s="8">
        <f t="shared" si="4"/>
        <v>9700078.7599999998</v>
      </c>
      <c r="O250" s="77" t="s">
        <v>40</v>
      </c>
      <c r="P250" s="9" t="s">
        <v>794</v>
      </c>
      <c r="Q250" s="10">
        <f>N250/6183</f>
        <v>1568.8304641759664</v>
      </c>
      <c r="R250" s="9" t="s">
        <v>42</v>
      </c>
      <c r="S250" s="13">
        <v>1840</v>
      </c>
      <c r="T250" s="7" t="s">
        <v>43</v>
      </c>
      <c r="U250" s="5" t="s">
        <v>565</v>
      </c>
      <c r="V250" s="6">
        <f>'[1]V, inciso p) (OP)'!AM117</f>
        <v>42705</v>
      </c>
      <c r="W250" s="6">
        <f>'[1]V, inciso p) (OP)'!AN117</f>
        <v>42735</v>
      </c>
      <c r="X250" s="5" t="s">
        <v>775</v>
      </c>
      <c r="Y250" s="5" t="s">
        <v>776</v>
      </c>
      <c r="Z250" s="5" t="s">
        <v>117</v>
      </c>
      <c r="AA250" s="40" t="s">
        <v>40</v>
      </c>
      <c r="AB250" s="5" t="s">
        <v>40</v>
      </c>
    </row>
    <row r="251" spans="1:28" ht="94.5">
      <c r="A251" s="5">
        <v>2016</v>
      </c>
      <c r="B251" s="5" t="s">
        <v>30</v>
      </c>
      <c r="C251" s="79" t="str">
        <f>'[1]V, inciso p) (OP)'!D118</f>
        <v>DOPI-FED-PR-PAV-LP-192-2016</v>
      </c>
      <c r="D251" s="12">
        <f>'[1]V, inciso p) (OP)'!AD118</f>
        <v>42704</v>
      </c>
      <c r="E251" s="7" t="str">
        <f>'[1]V, inciso p) (OP)'!AL118</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251" s="7" t="s">
        <v>648</v>
      </c>
      <c r="G251" s="8">
        <f>'[1]V, inciso p) (OP)'!AG118</f>
        <v>9006202.9700000007</v>
      </c>
      <c r="H251" s="7" t="str">
        <f>'[1]V, inciso p) (OP)'!AS118</f>
        <v>Colonia Parque del Auditorio</v>
      </c>
      <c r="I251" s="5" t="str">
        <f>'[1]V, inciso p) (OP)'!T118</f>
        <v>José</v>
      </c>
      <c r="J251" s="5" t="str">
        <f>'[1]V, inciso p) (OP)'!U118</f>
        <v>Plascencia</v>
      </c>
      <c r="K251" s="5" t="str">
        <f>'[1]V, inciso p) (OP)'!V118</f>
        <v>Casillas</v>
      </c>
      <c r="L251" s="7" t="str">
        <f>'[1]V, inciso p) (OP)'!W118</f>
        <v>PyP Constructora, S.A. de C.V.</v>
      </c>
      <c r="M251" s="5" t="str">
        <f>'[1]V, inciso p) (OP)'!X118</f>
        <v>PPC980828SY4</v>
      </c>
      <c r="N251" s="8">
        <f t="shared" si="4"/>
        <v>9006202.9700000007</v>
      </c>
      <c r="O251" s="77" t="s">
        <v>40</v>
      </c>
      <c r="P251" s="9" t="s">
        <v>795</v>
      </c>
      <c r="Q251" s="10">
        <f>N251/5521</f>
        <v>1631.2629904002899</v>
      </c>
      <c r="R251" s="9" t="s">
        <v>42</v>
      </c>
      <c r="S251" s="13">
        <v>2460</v>
      </c>
      <c r="T251" s="7" t="s">
        <v>43</v>
      </c>
      <c r="U251" s="5" t="s">
        <v>565</v>
      </c>
      <c r="V251" s="6">
        <f>'[1]V, inciso p) (OP)'!AM118</f>
        <v>42705</v>
      </c>
      <c r="W251" s="6">
        <f>'[1]V, inciso p) (OP)'!AN118</f>
        <v>42735</v>
      </c>
      <c r="X251" s="5" t="s">
        <v>775</v>
      </c>
      <c r="Y251" s="5" t="s">
        <v>776</v>
      </c>
      <c r="Z251" s="5" t="s">
        <v>117</v>
      </c>
      <c r="AA251" s="40" t="s">
        <v>40</v>
      </c>
      <c r="AB251" s="5" t="s">
        <v>40</v>
      </c>
    </row>
    <row r="252" spans="1:28" ht="81">
      <c r="A252" s="5">
        <v>2016</v>
      </c>
      <c r="B252" s="5" t="s">
        <v>30</v>
      </c>
      <c r="C252" s="79" t="str">
        <f>'[1]V, inciso p) (OP)'!D119</f>
        <v>DOPI-FED-PR-PAV-LP-193-2016</v>
      </c>
      <c r="D252" s="12">
        <f>'[1]V, inciso p) (OP)'!AD119</f>
        <v>42704</v>
      </c>
      <c r="E252" s="7" t="str">
        <f>'[1]V, inciso p) (OP)'!AL119</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252" s="7" t="s">
        <v>648</v>
      </c>
      <c r="G252" s="8">
        <f>'[1]V, inciso p) (OP)'!AG119</f>
        <v>1879618.12</v>
      </c>
      <c r="H252" s="7" t="str">
        <f>'[1]V, inciso p) (OP)'!AS119</f>
        <v>Colonia Mesa Colorada Oriente</v>
      </c>
      <c r="I252" s="5" t="str">
        <f>'[1]V, inciso p) (OP)'!T119</f>
        <v>Erick</v>
      </c>
      <c r="J252" s="5" t="str">
        <f>'[1]V, inciso p) (OP)'!U119</f>
        <v>Villaseñor</v>
      </c>
      <c r="K252" s="5" t="str">
        <f>'[1]V, inciso p) (OP)'!V119</f>
        <v>Gutiérrez</v>
      </c>
      <c r="L252" s="7" t="str">
        <f>'[1]V, inciso p) (OP)'!W119</f>
        <v>Pixide Constructora, S.A. de C.V.</v>
      </c>
      <c r="M252" s="5" t="str">
        <f>'[1]V, inciso p) (OP)'!X119</f>
        <v>PCO140829425</v>
      </c>
      <c r="N252" s="8">
        <f t="shared" si="4"/>
        <v>1879618.12</v>
      </c>
      <c r="O252" s="77" t="s">
        <v>40</v>
      </c>
      <c r="P252" s="9" t="s">
        <v>796</v>
      </c>
      <c r="Q252" s="10">
        <f>N252/898</f>
        <v>2093.1159465478845</v>
      </c>
      <c r="R252" s="9" t="s">
        <v>42</v>
      </c>
      <c r="S252" s="13">
        <v>1450</v>
      </c>
      <c r="T252" s="7" t="s">
        <v>43</v>
      </c>
      <c r="U252" s="5" t="s">
        <v>565</v>
      </c>
      <c r="V252" s="6">
        <f>'[1]V, inciso p) (OP)'!AM119</f>
        <v>42705</v>
      </c>
      <c r="W252" s="6">
        <f>'[1]V, inciso p) (OP)'!AN119</f>
        <v>42735</v>
      </c>
      <c r="X252" s="5" t="s">
        <v>556</v>
      </c>
      <c r="Y252" s="5" t="s">
        <v>557</v>
      </c>
      <c r="Z252" s="5" t="s">
        <v>558</v>
      </c>
      <c r="AA252" s="40" t="s">
        <v>40</v>
      </c>
      <c r="AB252" s="5" t="s">
        <v>40</v>
      </c>
    </row>
    <row r="253" spans="1:28" ht="54">
      <c r="A253" s="5">
        <v>2016</v>
      </c>
      <c r="B253" s="5" t="s">
        <v>30</v>
      </c>
      <c r="C253" s="79" t="str">
        <f>'[1]V, inciso p) (OP)'!D120</f>
        <v>DOPI-FED-SM-RS-LP-194-2016</v>
      </c>
      <c r="D253" s="12">
        <f>'[1]V, inciso p) (OP)'!AD120</f>
        <v>42704</v>
      </c>
      <c r="E253" s="7" t="str">
        <f>'[1]V, inciso p) (OP)'!AL120</f>
        <v>Construcción de la celda V y primera fase del equipamiento de la planta de separación y alta compactación para el relleno sanitario Picachos del municipio de Zapopan, Jalisco.</v>
      </c>
      <c r="F253" s="7" t="s">
        <v>648</v>
      </c>
      <c r="G253" s="8">
        <f>'[1]V, inciso p) (OP)'!AG120</f>
        <v>53876349.590000004</v>
      </c>
      <c r="H253" s="7" t="str">
        <f>'[1]V, inciso p) (OP)'!AS120</f>
        <v>Relleno Sanitario de Picachos</v>
      </c>
      <c r="I253" s="5" t="str">
        <f>'[1]V, inciso p) (OP)'!T120</f>
        <v>Héctor</v>
      </c>
      <c r="J253" s="5" t="str">
        <f>'[1]V, inciso p) (OP)'!U120</f>
        <v>Gaytán</v>
      </c>
      <c r="K253" s="5" t="str">
        <f>'[1]V, inciso p) (OP)'!V120</f>
        <v>Galicia</v>
      </c>
      <c r="L253" s="7" t="str">
        <f>'[1]V, inciso p) (OP)'!W120</f>
        <v>Secoi Construcciones y Servicios, S.A. de C.V.</v>
      </c>
      <c r="M253" s="5" t="str">
        <f>'[1]V, inciso p) (OP)'!X120</f>
        <v>SCS1301173MA</v>
      </c>
      <c r="N253" s="8">
        <f t="shared" si="4"/>
        <v>53876349.590000004</v>
      </c>
      <c r="O253" s="77" t="s">
        <v>40</v>
      </c>
      <c r="P253" s="9" t="s">
        <v>797</v>
      </c>
      <c r="Q253" s="10">
        <f>N253/47361.07</f>
        <v>1137.5661400808724</v>
      </c>
      <c r="R253" s="9" t="s">
        <v>42</v>
      </c>
      <c r="S253" s="13">
        <v>1243756</v>
      </c>
      <c r="T253" s="7" t="s">
        <v>43</v>
      </c>
      <c r="U253" s="5" t="s">
        <v>565</v>
      </c>
      <c r="V253" s="6">
        <f>'[1]V, inciso p) (OP)'!AM120</f>
        <v>42705</v>
      </c>
      <c r="W253" s="6">
        <f>'[1]V, inciso p) (OP)'!AN120</f>
        <v>42735</v>
      </c>
      <c r="X253" s="5" t="s">
        <v>699</v>
      </c>
      <c r="Y253" s="5" t="s">
        <v>513</v>
      </c>
      <c r="Z253" s="5" t="s">
        <v>280</v>
      </c>
      <c r="AA253" s="40" t="s">
        <v>40</v>
      </c>
      <c r="AB253" s="5" t="s">
        <v>40</v>
      </c>
    </row>
    <row r="254" spans="1:28" ht="40.5">
      <c r="A254" s="5">
        <v>2016</v>
      </c>
      <c r="B254" s="5" t="s">
        <v>30</v>
      </c>
      <c r="C254" s="79" t="str">
        <f>'[1]V, inciso p) (OP)'!D121</f>
        <v>DOPI-EST-FC-IS-LP-195-2016</v>
      </c>
      <c r="D254" s="12">
        <f>'[1]V, inciso p) (OP)'!AD121</f>
        <v>42726</v>
      </c>
      <c r="E254" s="7" t="str">
        <f>'[1]V, inciso p) (OP)'!AL121</f>
        <v>Rehabilitación de Cruz Verde Federalismo, Municipio de Zapopan, Jalisco.</v>
      </c>
      <c r="F254" s="7" t="s">
        <v>669</v>
      </c>
      <c r="G254" s="8">
        <f>'[1]V, inciso p) (OP)'!AG121</f>
        <v>4495293.74</v>
      </c>
      <c r="H254" s="7" t="str">
        <f>'[1]V, inciso p) (OP)'!AS121</f>
        <v>Colonia Auditorio</v>
      </c>
      <c r="I254" s="5" t="str">
        <f>'[1]V, inciso p) (OP)'!T121</f>
        <v>Luis Armando</v>
      </c>
      <c r="J254" s="5" t="str">
        <f>'[1]V, inciso p) (OP)'!U121</f>
        <v>Linares</v>
      </c>
      <c r="K254" s="5" t="str">
        <f>'[1]V, inciso p) (OP)'!V121</f>
        <v>Cacho</v>
      </c>
      <c r="L254" s="7" t="str">
        <f>'[1]V, inciso p) (OP)'!W121</f>
        <v>Urbanizadora y Constructora Roal, S.A. de C.V.</v>
      </c>
      <c r="M254" s="5" t="str">
        <f>'[1]V, inciso p) (OP)'!X121</f>
        <v>URC160310857</v>
      </c>
      <c r="N254" s="8">
        <f t="shared" si="4"/>
        <v>4495293.74</v>
      </c>
      <c r="O254" s="77" t="s">
        <v>40</v>
      </c>
      <c r="P254" s="9" t="s">
        <v>798</v>
      </c>
      <c r="Q254" s="10">
        <f>N254/417.4</f>
        <v>10769.750215620508</v>
      </c>
      <c r="R254" s="9" t="s">
        <v>42</v>
      </c>
      <c r="S254" s="13">
        <v>242366</v>
      </c>
      <c r="T254" s="7" t="s">
        <v>43</v>
      </c>
      <c r="U254" s="5" t="s">
        <v>565</v>
      </c>
      <c r="V254" s="6">
        <f>'[1]V, inciso p) (OP)'!AM121</f>
        <v>42727</v>
      </c>
      <c r="W254" s="6">
        <f>'[1]V, inciso p) (OP)'!AN121</f>
        <v>42816</v>
      </c>
      <c r="X254" s="5" t="s">
        <v>733</v>
      </c>
      <c r="Y254" s="5" t="s">
        <v>734</v>
      </c>
      <c r="Z254" s="5" t="s">
        <v>735</v>
      </c>
      <c r="AA254" s="40" t="s">
        <v>40</v>
      </c>
      <c r="AB254" s="5" t="s">
        <v>40</v>
      </c>
    </row>
    <row r="255" spans="1:28" ht="40.5">
      <c r="A255" s="5">
        <v>2016</v>
      </c>
      <c r="B255" s="5" t="s">
        <v>30</v>
      </c>
      <c r="C255" s="79" t="str">
        <f>'[1]V, inciso p) (OP)'!D122</f>
        <v>DOPI-EST-CR-IM-LP-196-2016</v>
      </c>
      <c r="D255" s="12">
        <f>'[1]V, inciso p) (OP)'!AD122</f>
        <v>42726</v>
      </c>
      <c r="E255" s="7" t="str">
        <f>'[1]V, inciso p) (OP)'!AL122</f>
        <v>Construcción del Centro Cultural en Villa de Guadalupe.</v>
      </c>
      <c r="F255" s="7" t="s">
        <v>669</v>
      </c>
      <c r="G255" s="8">
        <f>'[1]V, inciso p) (OP)'!AG122</f>
        <v>14395555.26</v>
      </c>
      <c r="H255" s="7" t="str">
        <f>'[1]V, inciso p) (OP)'!AS122</f>
        <v>Colonia Villa de Guadalupe</v>
      </c>
      <c r="I255" s="5" t="str">
        <f>'[1]V, inciso p) (OP)'!T122</f>
        <v>José Antonio</v>
      </c>
      <c r="J255" s="5" t="str">
        <f>'[1]V, inciso p) (OP)'!U122</f>
        <v>Álvarez</v>
      </c>
      <c r="K255" s="5" t="str">
        <f>'[1]V, inciso p) (OP)'!V122</f>
        <v>García</v>
      </c>
      <c r="L255" s="7" t="str">
        <f>'[1]V, inciso p) (OP)'!W122</f>
        <v>Urcoma 1970, S.A. de C.V.</v>
      </c>
      <c r="M255" s="5" t="str">
        <f>'[1]V, inciso p) (OP)'!X122</f>
        <v>UMN160125869</v>
      </c>
      <c r="N255" s="8">
        <f t="shared" si="4"/>
        <v>14395555.26</v>
      </c>
      <c r="O255" s="77" t="s">
        <v>40</v>
      </c>
      <c r="P255" s="9" t="s">
        <v>799</v>
      </c>
      <c r="Q255" s="10">
        <f>N255/767.32</f>
        <v>18760.82372413074</v>
      </c>
      <c r="R255" s="9" t="s">
        <v>42</v>
      </c>
      <c r="S255" s="13">
        <v>84152</v>
      </c>
      <c r="T255" s="7" t="s">
        <v>43</v>
      </c>
      <c r="U255" s="5" t="s">
        <v>565</v>
      </c>
      <c r="V255" s="6">
        <f>'[1]V, inciso p) (OP)'!AM122</f>
        <v>42727</v>
      </c>
      <c r="W255" s="6">
        <f>'[1]V, inciso p) (OP)'!AN122</f>
        <v>42846</v>
      </c>
      <c r="X255" s="5" t="s">
        <v>733</v>
      </c>
      <c r="Y255" s="5" t="s">
        <v>734</v>
      </c>
      <c r="Z255" s="5" t="s">
        <v>735</v>
      </c>
      <c r="AA255" s="40" t="s">
        <v>40</v>
      </c>
      <c r="AB255" s="5" t="s">
        <v>40</v>
      </c>
    </row>
    <row r="256" spans="1:28" ht="40.5">
      <c r="A256" s="5">
        <v>2016</v>
      </c>
      <c r="B256" s="7" t="s">
        <v>800</v>
      </c>
      <c r="C256" s="79" t="str">
        <f>'[1]V, inciso p) (OP)'!D123</f>
        <v>DOPI‐MUN‐PP‐EP‐CI‐198‐2016</v>
      </c>
      <c r="D256" s="12">
        <f>'[1]V, inciso p) (OP)'!AD123</f>
        <v>42727</v>
      </c>
      <c r="E256" s="7" t="str">
        <f>'[1]V, inciso p) (OP)'!AL123</f>
        <v>Mejoramiento de la imagen urbana de la plaza pública de localidad de Tesistán municipio de Zapopan, Jalisco.</v>
      </c>
      <c r="F256" s="7" t="s">
        <v>67</v>
      </c>
      <c r="G256" s="8">
        <f>'[1]V, inciso p) (OP)'!AG123</f>
        <v>8110239.25</v>
      </c>
      <c r="H256" s="7" t="str">
        <f>'[1]V, inciso p) (OP)'!AS123</f>
        <v>Localidad de Tesistán</v>
      </c>
      <c r="I256" s="5" t="str">
        <f>'[1]V, inciso p) (OP)'!T123</f>
        <v>Amalia</v>
      </c>
      <c r="J256" s="5" t="str">
        <f>'[1]V, inciso p) (OP)'!U123</f>
        <v>Moreno</v>
      </c>
      <c r="K256" s="5" t="str">
        <f>'[1]V, inciso p) (OP)'!V123</f>
        <v>Maldonado</v>
      </c>
      <c r="L256" s="7" t="str">
        <f>'[1]V, inciso p) (OP)'!W123</f>
        <v>Grupo Constructor los Muros, S.A. de C.V.</v>
      </c>
      <c r="M256" s="5" t="str">
        <f>'[1]V, inciso p) (OP)'!X123</f>
        <v>GCM020226F28</v>
      </c>
      <c r="N256" s="8">
        <f t="shared" si="4"/>
        <v>8110239.25</v>
      </c>
      <c r="O256" s="77" t="s">
        <v>40</v>
      </c>
      <c r="P256" s="9" t="s">
        <v>801</v>
      </c>
      <c r="Q256" s="10">
        <f>N256/3642.95</f>
        <v>2226.2834378731523</v>
      </c>
      <c r="R256" s="9" t="s">
        <v>42</v>
      </c>
      <c r="S256" s="13">
        <v>39269</v>
      </c>
      <c r="T256" s="7" t="s">
        <v>43</v>
      </c>
      <c r="U256" s="5" t="s">
        <v>565</v>
      </c>
      <c r="V256" s="6">
        <f>'[1]V, inciso p) (OP)'!AM123</f>
        <v>42730</v>
      </c>
      <c r="W256" s="6">
        <f>'[1]V, inciso p) (OP)'!AN123</f>
        <v>42831</v>
      </c>
      <c r="X256" s="5" t="s">
        <v>544</v>
      </c>
      <c r="Y256" s="5" t="s">
        <v>545</v>
      </c>
      <c r="Z256" s="5" t="s">
        <v>212</v>
      </c>
      <c r="AA256" s="40" t="s">
        <v>40</v>
      </c>
      <c r="AB256" s="5" t="s">
        <v>40</v>
      </c>
    </row>
    <row r="257" spans="1:28" s="18" customFormat="1" ht="40.5">
      <c r="A257" s="5">
        <v>2016</v>
      </c>
      <c r="B257" s="9" t="s">
        <v>30</v>
      </c>
      <c r="C257" s="79" t="str">
        <f>'[1]V, inciso p) (OP)'!D124</f>
        <v>DOPI‐MUN‐PP‐IS‐LP‐199‐2016</v>
      </c>
      <c r="D257" s="12">
        <f>'[1]V, inciso p) (OP)'!AD124</f>
        <v>42754</v>
      </c>
      <c r="E257" s="15" t="str">
        <f>'[1]V, inciso p) (OP)'!AL124</f>
        <v>Construcción de la cruz verde Villa de Guadalupe, en la zona de las mesas, municipio de Zapopan, Jalisco.</v>
      </c>
      <c r="F257" s="15" t="s">
        <v>67</v>
      </c>
      <c r="G257" s="10">
        <f>'[1]V, inciso p) (OP)'!AG124</f>
        <v>28125202.050000001</v>
      </c>
      <c r="H257" s="15" t="str">
        <f>'[1]V, inciso p) (OP)'!AS124</f>
        <v>Zona de Las Mesas</v>
      </c>
      <c r="I257" s="9" t="str">
        <f>'[1]V, inciso p) (OP)'!T124</f>
        <v>Ernesto</v>
      </c>
      <c r="J257" s="9" t="str">
        <f>'[1]V, inciso p) (OP)'!U124</f>
        <v>Olivares</v>
      </c>
      <c r="K257" s="9" t="str">
        <f>'[1]V, inciso p) (OP)'!V124</f>
        <v>Álvarez</v>
      </c>
      <c r="L257" s="15" t="str">
        <f>'[1]V, inciso p) (OP)'!W124</f>
        <v>Servicios Metropolitanos de Jalisco, S.A. de C.V.</v>
      </c>
      <c r="M257" s="9" t="str">
        <f>'[1]V, inciso p) (OP)'!X124</f>
        <v>SMJ090317FS9</v>
      </c>
      <c r="N257" s="10">
        <f>G257</f>
        <v>28125202.050000001</v>
      </c>
      <c r="O257" s="77" t="s">
        <v>40</v>
      </c>
      <c r="P257" s="9" t="s">
        <v>802</v>
      </c>
      <c r="Q257" s="10">
        <f>N257/1200</f>
        <v>23437.668375000001</v>
      </c>
      <c r="R257" s="9" t="s">
        <v>42</v>
      </c>
      <c r="S257" s="13">
        <v>92780</v>
      </c>
      <c r="T257" s="15" t="s">
        <v>43</v>
      </c>
      <c r="U257" s="9" t="s">
        <v>565</v>
      </c>
      <c r="V257" s="12">
        <f>'[1]V, inciso p) (OP)'!AM124</f>
        <v>42755</v>
      </c>
      <c r="W257" s="12">
        <f>'[1]V, inciso p) (OP)'!AN124</f>
        <v>42874</v>
      </c>
      <c r="X257" s="9" t="s">
        <v>733</v>
      </c>
      <c r="Y257" s="9" t="s">
        <v>734</v>
      </c>
      <c r="Z257" s="9" t="s">
        <v>735</v>
      </c>
      <c r="AA257" s="51" t="s">
        <v>40</v>
      </c>
      <c r="AB257" s="9" t="s">
        <v>40</v>
      </c>
    </row>
    <row r="258" spans="1:28" s="18" customFormat="1" ht="40.5">
      <c r="A258" s="9">
        <v>2016</v>
      </c>
      <c r="B258" s="15" t="s">
        <v>800</v>
      </c>
      <c r="C258" s="79" t="str">
        <f>'[1]V, inciso p) (OP)'!D125</f>
        <v>DOPI-MUN-PP-ID-CI-200-2016</v>
      </c>
      <c r="D258" s="12">
        <f>'[1]V, inciso p) (OP)'!AD125</f>
        <v>42727</v>
      </c>
      <c r="E258" s="15" t="str">
        <f>'[1]V, inciso p) (OP)'!AL125</f>
        <v>Rehabilitación de las instalaciones y equipamiento deportivo de la Unidad Deportiva Lomas de Tabachines, municipio de Zapopan, Jalisco.</v>
      </c>
      <c r="F258" s="15" t="s">
        <v>67</v>
      </c>
      <c r="G258" s="10">
        <f>'[1]V, inciso p) (OP)'!AG125</f>
        <v>6502584.6699999999</v>
      </c>
      <c r="H258" s="15" t="str">
        <f>'[1]V, inciso p) (OP)'!AS125</f>
        <v>Colonia Lomas de Tabachines</v>
      </c>
      <c r="I258" s="9" t="str">
        <f>'[1]V, inciso p) (OP)'!T125</f>
        <v>Carlos Alberto</v>
      </c>
      <c r="J258" s="9" t="str">
        <f>'[1]V, inciso p) (OP)'!U125</f>
        <v>Villaseñor</v>
      </c>
      <c r="K258" s="9" t="str">
        <f>'[1]V, inciso p) (OP)'!V125</f>
        <v>Núñez</v>
      </c>
      <c r="L258" s="15" t="str">
        <f>'[1]V, inciso p) (OP)'!W125</f>
        <v>MTQ de México, S.A. de C.V.</v>
      </c>
      <c r="M258" s="9" t="str">
        <f>'[1]V, inciso p) (OP)'!X125</f>
        <v>MME011214IV5</v>
      </c>
      <c r="N258" s="10">
        <f t="shared" si="4"/>
        <v>6502584.6699999999</v>
      </c>
      <c r="O258" s="77" t="s">
        <v>40</v>
      </c>
      <c r="P258" s="9" t="s">
        <v>803</v>
      </c>
      <c r="Q258" s="10">
        <f>N258/9522.21</f>
        <v>682.88608106731533</v>
      </c>
      <c r="R258" s="9" t="s">
        <v>42</v>
      </c>
      <c r="S258" s="13">
        <v>26544</v>
      </c>
      <c r="T258" s="15" t="s">
        <v>43</v>
      </c>
      <c r="U258" s="9" t="s">
        <v>565</v>
      </c>
      <c r="V258" s="12">
        <f>'[1]V, inciso p) (OP)'!AM125</f>
        <v>42730</v>
      </c>
      <c r="W258" s="12">
        <f>'[1]V, inciso p) (OP)'!AN125</f>
        <v>42820</v>
      </c>
      <c r="X258" s="9" t="s">
        <v>681</v>
      </c>
      <c r="Y258" s="9" t="s">
        <v>682</v>
      </c>
      <c r="Z258" s="9" t="s">
        <v>683</v>
      </c>
      <c r="AA258" s="51" t="s">
        <v>40</v>
      </c>
      <c r="AB258" s="9" t="s">
        <v>40</v>
      </c>
    </row>
    <row r="259" spans="1:28" s="18" customFormat="1" ht="40.5">
      <c r="A259" s="9">
        <v>2016</v>
      </c>
      <c r="B259" s="15" t="s">
        <v>800</v>
      </c>
      <c r="C259" s="79" t="str">
        <f>'[1]V, inciso p) (OP)'!D126</f>
        <v>DOPI-MUN-RM-ID-CI-201-2016</v>
      </c>
      <c r="D259" s="12">
        <f>'[1]V, inciso p) (OP)'!AD126</f>
        <v>42727</v>
      </c>
      <c r="E259" s="15" t="str">
        <f>'[1]V, inciso p) (OP)'!AL126</f>
        <v>Rehabilitación de las instalaciones y equipamiento deportivo de la Unidad Deportiva Santa María del Pueblito, municipio de Zapopan, Jalisco.</v>
      </c>
      <c r="F259" s="15" t="s">
        <v>67</v>
      </c>
      <c r="G259" s="10">
        <f>'[1]V, inciso p) (OP)'!AG126</f>
        <v>7474586.25</v>
      </c>
      <c r="H259" s="15" t="str">
        <f>'[1]V, inciso p) (OP)'!AS126</f>
        <v>Colonia Santa Maria del Pueblito</v>
      </c>
      <c r="I259" s="9" t="str">
        <f>'[1]V, inciso p) (OP)'!T126</f>
        <v>Juan José</v>
      </c>
      <c r="J259" s="9" t="str">
        <f>'[1]V, inciso p) (OP)'!U126</f>
        <v>Gutiérrez</v>
      </c>
      <c r="K259" s="9" t="str">
        <f>'[1]V, inciso p) (OP)'!V126</f>
        <v>Contreras</v>
      </c>
      <c r="L259" s="15" t="str">
        <f>'[1]V, inciso p) (OP)'!W126</f>
        <v>Rencoist Construcciones, S.A. de C.V.</v>
      </c>
      <c r="M259" s="9" t="str">
        <f>'[1]V, inciso p) (OP)'!X126</f>
        <v>RCO130920JX9</v>
      </c>
      <c r="N259" s="10">
        <f t="shared" si="4"/>
        <v>7474586.25</v>
      </c>
      <c r="O259" s="77" t="s">
        <v>40</v>
      </c>
      <c r="P259" s="9" t="s">
        <v>804</v>
      </c>
      <c r="Q259" s="10">
        <f>N259/5960</f>
        <v>1254.1252097315437</v>
      </c>
      <c r="R259" s="9" t="s">
        <v>42</v>
      </c>
      <c r="S259" s="13">
        <v>19865</v>
      </c>
      <c r="T259" s="15" t="s">
        <v>43</v>
      </c>
      <c r="U259" s="9" t="s">
        <v>565</v>
      </c>
      <c r="V259" s="12">
        <f>'[1]V, inciso p) (OP)'!AM126</f>
        <v>42730</v>
      </c>
      <c r="W259" s="12">
        <f>'[1]V, inciso p) (OP)'!AN126</f>
        <v>42850</v>
      </c>
      <c r="X259" s="9" t="s">
        <v>701</v>
      </c>
      <c r="Y259" s="9" t="s">
        <v>524</v>
      </c>
      <c r="Z259" s="9" t="s">
        <v>254</v>
      </c>
      <c r="AA259" s="51" t="s">
        <v>40</v>
      </c>
      <c r="AB259" s="9" t="s">
        <v>40</v>
      </c>
    </row>
    <row r="260" spans="1:28" s="18" customFormat="1" ht="40.5">
      <c r="A260" s="9">
        <v>2016</v>
      </c>
      <c r="B260" s="9" t="s">
        <v>30</v>
      </c>
      <c r="C260" s="79" t="str">
        <f>'[1]V, inciso p) (OP)'!D127</f>
        <v>DOPI-EST-CM-PAV-LP-202-2016</v>
      </c>
      <c r="D260" s="12">
        <f>'[1]V, inciso p) (OP)'!AD127</f>
        <v>42754</v>
      </c>
      <c r="E260" s="15" t="str">
        <f>'[1]V, inciso p) (OP)'!AL127</f>
        <v>Renovación urbana en área habitacional y de zona comercial del Andador 20 de Noviembre en el Centro de Zapopan, Jalisco.</v>
      </c>
      <c r="F260" s="15" t="s">
        <v>805</v>
      </c>
      <c r="G260" s="10">
        <f>'[1]V, inciso p) (OP)'!AG127</f>
        <v>16710004.48</v>
      </c>
      <c r="H260" s="15" t="str">
        <f>'[1]V, inciso p) (OP)'!AS127</f>
        <v>Zapopan Centro</v>
      </c>
      <c r="I260" s="9" t="str">
        <f>'[1]V, inciso p) (OP)'!T127</f>
        <v>Ignacio Javier</v>
      </c>
      <c r="J260" s="9" t="str">
        <f>'[1]V, inciso p) (OP)'!U127</f>
        <v>Curiel</v>
      </c>
      <c r="K260" s="9" t="str">
        <f>'[1]V, inciso p) (OP)'!V127</f>
        <v>Dueñas</v>
      </c>
      <c r="L260" s="15" t="str">
        <f>'[1]V, inciso p) (OP)'!W127</f>
        <v>TC Construcción y Mantenimiento, S.A. de C.V.</v>
      </c>
      <c r="M260" s="9" t="str">
        <f>'[1]V, inciso p) (OP)'!X127</f>
        <v>TCM100915HA1</v>
      </c>
      <c r="N260" s="10">
        <f>G260</f>
        <v>16710004.48</v>
      </c>
      <c r="O260" s="77" t="s">
        <v>40</v>
      </c>
      <c r="P260" s="9" t="s">
        <v>806</v>
      </c>
      <c r="Q260" s="10">
        <f>N260/8833</f>
        <v>1891.7700079248275</v>
      </c>
      <c r="R260" s="9" t="s">
        <v>42</v>
      </c>
      <c r="S260" s="13">
        <v>643192</v>
      </c>
      <c r="T260" s="15" t="s">
        <v>43</v>
      </c>
      <c r="U260" s="9" t="s">
        <v>565</v>
      </c>
      <c r="V260" s="12">
        <f>'[1]V, inciso p) (OP)'!AM127</f>
        <v>42755</v>
      </c>
      <c r="W260" s="12">
        <f>'[1]V, inciso p) (OP)'!AN127</f>
        <v>42834</v>
      </c>
      <c r="X260" s="9" t="s">
        <v>686</v>
      </c>
      <c r="Y260" s="9" t="s">
        <v>807</v>
      </c>
      <c r="Z260" s="9" t="s">
        <v>808</v>
      </c>
      <c r="AA260" s="51" t="s">
        <v>40</v>
      </c>
      <c r="AB260" s="9" t="s">
        <v>40</v>
      </c>
    </row>
    <row r="261" spans="1:28" s="18" customFormat="1" ht="54">
      <c r="A261" s="9">
        <v>2016</v>
      </c>
      <c r="B261" s="9" t="s">
        <v>30</v>
      </c>
      <c r="C261" s="79" t="str">
        <f>'[1]V, inciso p) (OP)'!D128</f>
        <v>DOPI-EST-CM-PAV-LP-203-2016</v>
      </c>
      <c r="D261" s="12">
        <f>'[1]V, inciso p) (OP)'!AD128</f>
        <v>42754</v>
      </c>
      <c r="E261" s="15" t="str">
        <f>'[1]V, inciso p) (OP)'!AL128</f>
        <v>Renovación urbana de área habitacional y de zona comercial de laterales de Av. Aviación, del tramo de Juan Gil Preciado a Camino Antiguo a Tesistán, en Zapopan, Jalisco.</v>
      </c>
      <c r="F261" s="15" t="s">
        <v>805</v>
      </c>
      <c r="G261" s="10">
        <f>'[1]V, inciso p) (OP)'!AG128</f>
        <v>12580210.390000001</v>
      </c>
      <c r="H261" s="15" t="str">
        <f>'[1]V, inciso p) (OP)'!AS128</f>
        <v>Col. Nuevo México</v>
      </c>
      <c r="I261" s="9" t="str">
        <f>'[1]V, inciso p) (OP)'!T128</f>
        <v>Felipe Daniel</v>
      </c>
      <c r="J261" s="9" t="str">
        <f>'[1]V, inciso p) (OP)'!U128</f>
        <v>Nuñez</v>
      </c>
      <c r="K261" s="9" t="str">
        <f>'[1]V, inciso p) (OP)'!V128</f>
        <v>Hernández</v>
      </c>
      <c r="L261" s="15" t="str">
        <f>'[1]V, inciso p) (OP)'!W128</f>
        <v>Grupo Constructor Felca, S.A. de C.V.</v>
      </c>
      <c r="M261" s="9" t="str">
        <f>'[1]V, inciso p) (OP)'!X128</f>
        <v>GCF8504255B8</v>
      </c>
      <c r="N261" s="10">
        <f>G261</f>
        <v>12580210.390000001</v>
      </c>
      <c r="O261" s="77" t="s">
        <v>40</v>
      </c>
      <c r="P261" s="9" t="s">
        <v>809</v>
      </c>
      <c r="Q261" s="10">
        <f>N261/8401</f>
        <v>1497.4658243066303</v>
      </c>
      <c r="R261" s="9" t="s">
        <v>42</v>
      </c>
      <c r="S261" s="13">
        <v>174914</v>
      </c>
      <c r="T261" s="15" t="s">
        <v>43</v>
      </c>
      <c r="U261" s="9" t="s">
        <v>565</v>
      </c>
      <c r="V261" s="12">
        <f>'[1]V, inciso p) (OP)'!AM128</f>
        <v>42755</v>
      </c>
      <c r="W261" s="12">
        <f>'[1]V, inciso p) (OP)'!AN128</f>
        <v>42834</v>
      </c>
      <c r="X261" s="9" t="s">
        <v>605</v>
      </c>
      <c r="Y261" s="9" t="s">
        <v>442</v>
      </c>
      <c r="Z261" s="9" t="s">
        <v>101</v>
      </c>
      <c r="AA261" s="51" t="s">
        <v>40</v>
      </c>
      <c r="AB261" s="9" t="s">
        <v>40</v>
      </c>
    </row>
    <row r="262" spans="1:28" s="18" customFormat="1" ht="54">
      <c r="A262" s="9">
        <v>2016</v>
      </c>
      <c r="B262" s="9" t="s">
        <v>30</v>
      </c>
      <c r="C262" s="79" t="str">
        <f>'[1]V, inciso p) (OP)'!D129</f>
        <v>DOPI-EST-CM-PAV-LP-204-2016</v>
      </c>
      <c r="D262" s="12">
        <f>'[1]V, inciso p) (OP)'!AD129</f>
        <v>42754</v>
      </c>
      <c r="E262" s="15" t="str">
        <f>'[1]V, inciso p) (OP)'!AL129</f>
        <v>Renovación urbana de área habitacional y de zona comercial de Av. Aviación, del tramo del Ingreso de Base Aérea No. 2 a Camino Antiguo a Tesistán, en Zapopan, Jalisco.</v>
      </c>
      <c r="F262" s="15" t="s">
        <v>805</v>
      </c>
      <c r="G262" s="10">
        <f>'[1]V, inciso p) (OP)'!AG129</f>
        <v>44287096.670000002</v>
      </c>
      <c r="H262" s="15" t="str">
        <f>'[1]V, inciso p) (OP)'!AS129</f>
        <v>Col. Nuevo México</v>
      </c>
      <c r="I262" s="9" t="str">
        <f>'[1]V, inciso p) (OP)'!T129</f>
        <v>Andrés Eduardo</v>
      </c>
      <c r="J262" s="9" t="str">
        <f>'[1]V, inciso p) (OP)'!U129</f>
        <v>Aceves</v>
      </c>
      <c r="K262" s="9" t="str">
        <f>'[1]V, inciso p) (OP)'!V129</f>
        <v>Castañeda</v>
      </c>
      <c r="L262" s="15" t="str">
        <f>'[1]V, inciso p) (OP)'!W129</f>
        <v>Secri Constructora, S.A. de C.V.</v>
      </c>
      <c r="M262" s="9" t="str">
        <f>'[1]V, inciso p) (OP)'!X129</f>
        <v>SCO100609EVA</v>
      </c>
      <c r="N262" s="10">
        <f>G262</f>
        <v>44287096.670000002</v>
      </c>
      <c r="O262" s="77" t="s">
        <v>40</v>
      </c>
      <c r="P262" s="9" t="s">
        <v>810</v>
      </c>
      <c r="Q262" s="10">
        <f>N262/30276</f>
        <v>1462.7789889681596</v>
      </c>
      <c r="R262" s="9" t="s">
        <v>42</v>
      </c>
      <c r="S262" s="13">
        <v>174914</v>
      </c>
      <c r="T262" s="15" t="s">
        <v>43</v>
      </c>
      <c r="U262" s="9" t="s">
        <v>565</v>
      </c>
      <c r="V262" s="12">
        <f>'[1]V, inciso p) (OP)'!AM129</f>
        <v>42755</v>
      </c>
      <c r="W262" s="12">
        <f>'[1]V, inciso p) (OP)'!AN129</f>
        <v>42834</v>
      </c>
      <c r="X262" s="9" t="s">
        <v>605</v>
      </c>
      <c r="Y262" s="9" t="s">
        <v>442</v>
      </c>
      <c r="Z262" s="9" t="s">
        <v>101</v>
      </c>
      <c r="AA262" s="51" t="s">
        <v>40</v>
      </c>
      <c r="AB262" s="9" t="s">
        <v>40</v>
      </c>
    </row>
    <row r="263" spans="1:28" s="18" customFormat="1" ht="94.5">
      <c r="A263" s="9">
        <v>2016</v>
      </c>
      <c r="B263" s="9" t="s">
        <v>30</v>
      </c>
      <c r="C263" s="79" t="str">
        <f>'[1]V, inciso p) (OP)'!D130</f>
        <v>DOPI-EST-CM-PAV-LP-205-2016</v>
      </c>
      <c r="D263" s="12">
        <f>'[1]V, inciso p) (OP)'!AD130</f>
        <v>42754</v>
      </c>
      <c r="E263" s="15" t="str">
        <f>'[1]V, inciso p) (OP)'!AL130</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63" s="15" t="s">
        <v>805</v>
      </c>
      <c r="G263" s="10">
        <f>'[1]V, inciso p) (OP)'!AG130</f>
        <v>18744083.59</v>
      </c>
      <c r="H263" s="15" t="str">
        <f>'[1]V, inciso p) (OP)'!AS130</f>
        <v>Col. San Juan de Ocotán</v>
      </c>
      <c r="I263" s="9" t="str">
        <f>'[1]V, inciso p) (OP)'!T130</f>
        <v>Mario</v>
      </c>
      <c r="J263" s="9" t="str">
        <f>'[1]V, inciso p) (OP)'!U130</f>
        <v>Beltrán</v>
      </c>
      <c r="K263" s="9" t="str">
        <f>'[1]V, inciso p) (OP)'!V130</f>
        <v>Rodríguez</v>
      </c>
      <c r="L263" s="15" t="str">
        <f>'[1]V, inciso p) (OP)'!W130</f>
        <v xml:space="preserve">Constructora y Desarrolladora Barba y Asociados, S. A. de C. V. </v>
      </c>
      <c r="M263" s="9" t="str">
        <f>'[1]V, inciso p) (OP)'!X130</f>
        <v>CDB0506068Z4</v>
      </c>
      <c r="N263" s="10">
        <f>G263</f>
        <v>18744083.59</v>
      </c>
      <c r="O263" s="77" t="s">
        <v>40</v>
      </c>
      <c r="P263" s="9" t="s">
        <v>811</v>
      </c>
      <c r="Q263" s="10">
        <f>N263/14220</f>
        <v>1318.1493382559775</v>
      </c>
      <c r="R263" s="9" t="s">
        <v>42</v>
      </c>
      <c r="S263" s="13">
        <v>145782</v>
      </c>
      <c r="T263" s="15" t="s">
        <v>43</v>
      </c>
      <c r="U263" s="9" t="s">
        <v>565</v>
      </c>
      <c r="V263" s="12">
        <f>'[1]V, inciso p) (OP)'!AM130</f>
        <v>42755</v>
      </c>
      <c r="W263" s="12">
        <f>'[1]V, inciso p) (OP)'!AN130</f>
        <v>42834</v>
      </c>
      <c r="X263" s="9" t="s">
        <v>530</v>
      </c>
      <c r="Y263" s="9" t="s">
        <v>343</v>
      </c>
      <c r="Z263" s="9" t="s">
        <v>344</v>
      </c>
      <c r="AA263" s="51" t="s">
        <v>40</v>
      </c>
      <c r="AB263" s="9" t="s">
        <v>40</v>
      </c>
    </row>
    <row r="264" spans="1:28" ht="40.5">
      <c r="A264" s="9">
        <v>2016</v>
      </c>
      <c r="B264" s="7" t="s">
        <v>800</v>
      </c>
      <c r="C264" s="79" t="str">
        <f>'[1]V, inciso p) (OP)'!D131</f>
        <v>DOPI-MUN-RM-ID-CI-206-2016</v>
      </c>
      <c r="D264" s="12">
        <f>'[1]V, inciso p) (OP)'!AD131</f>
        <v>42727</v>
      </c>
      <c r="E264" s="7" t="str">
        <f>'[1]V, inciso p) (OP)'!AL131</f>
        <v>Rehabilitación de las instalaciones y equipamiento deportivo de la Unidad Deportiva Miguel de la Madrid, municipio de Zapopan, Jalisco.</v>
      </c>
      <c r="F264" s="7" t="s">
        <v>67</v>
      </c>
      <c r="G264" s="8">
        <f>'[1]V, inciso p) (OP)'!AG131</f>
        <v>7998190.21</v>
      </c>
      <c r="H264" s="7" t="str">
        <f>'[1]V, inciso p) (OP)'!AS131</f>
        <v>Colonia Miguel de la Madrid</v>
      </c>
      <c r="I264" s="5" t="str">
        <f>'[1]V, inciso p) (OP)'!T131</f>
        <v>Apolinar</v>
      </c>
      <c r="J264" s="5" t="str">
        <f>'[1]V, inciso p) (OP)'!U131</f>
        <v>Gómez</v>
      </c>
      <c r="K264" s="5" t="str">
        <f>'[1]V, inciso p) (OP)'!V131</f>
        <v>Alonso</v>
      </c>
      <c r="L264" s="7" t="str">
        <f>'[1]V, inciso p) (OP)'!W131</f>
        <v>Edificaciones y Transformaciones Técnicas, S.A. de C.V.</v>
      </c>
      <c r="M264" s="5" t="str">
        <f>'[1]V, inciso p) (OP)'!X131</f>
        <v>ETT9302049B2</v>
      </c>
      <c r="N264" s="8">
        <f t="shared" si="4"/>
        <v>7998190.21</v>
      </c>
      <c r="O264" s="77" t="s">
        <v>40</v>
      </c>
      <c r="P264" s="9" t="s">
        <v>812</v>
      </c>
      <c r="Q264" s="10">
        <f>N264/10786</f>
        <v>741.53441590951229</v>
      </c>
      <c r="R264" s="9" t="s">
        <v>42</v>
      </c>
      <c r="S264" s="13">
        <v>21536</v>
      </c>
      <c r="T264" s="7" t="s">
        <v>43</v>
      </c>
      <c r="U264" s="5" t="s">
        <v>565</v>
      </c>
      <c r="V264" s="6">
        <f>'[1]V, inciso p) (OP)'!AM131</f>
        <v>42730</v>
      </c>
      <c r="W264" s="6">
        <f>'[1]V, inciso p) (OP)'!AN131</f>
        <v>42850</v>
      </c>
      <c r="X264" s="5" t="s">
        <v>775</v>
      </c>
      <c r="Y264" s="5" t="s">
        <v>776</v>
      </c>
      <c r="Z264" s="5" t="s">
        <v>117</v>
      </c>
      <c r="AA264" s="40" t="s">
        <v>40</v>
      </c>
      <c r="AB264" s="5" t="s">
        <v>40</v>
      </c>
    </row>
    <row r="265" spans="1:28" ht="40.5">
      <c r="A265" s="5">
        <v>2016</v>
      </c>
      <c r="B265" s="7" t="s">
        <v>800</v>
      </c>
      <c r="C265" s="79" t="str">
        <f>'[1]V, inciso p) (OP)'!D132</f>
        <v>DOPI-MUN-RM-ID-CI-207-2016</v>
      </c>
      <c r="D265" s="12">
        <f>'[1]V, inciso p) (OP)'!AD132</f>
        <v>42727</v>
      </c>
      <c r="E265" s="7" t="str">
        <f>'[1]V, inciso p) (OP)'!AL132</f>
        <v>Rehabilitación de las instalaciones y equipamiento deportivo de la Unidad Deportiva Villas de Guadalupe, municipio de Zapopan, Jalisco.</v>
      </c>
      <c r="F265" s="7" t="s">
        <v>67</v>
      </c>
      <c r="G265" s="8">
        <f>'[1]V, inciso p) (OP)'!AG132</f>
        <v>7900442.7599999998</v>
      </c>
      <c r="H265" s="7" t="str">
        <f>'[1]V, inciso p) (OP)'!AS132</f>
        <v>Colonia Villa de Guadalupe</v>
      </c>
      <c r="I265" s="5" t="str">
        <f>'[1]V, inciso p) (OP)'!T132</f>
        <v xml:space="preserve">Leobardo </v>
      </c>
      <c r="J265" s="5" t="str">
        <f>'[1]V, inciso p) (OP)'!U132</f>
        <v>Preciado</v>
      </c>
      <c r="K265" s="5" t="str">
        <f>'[1]V, inciso p) (OP)'!V132</f>
        <v>Zepeda</v>
      </c>
      <c r="L265" s="7" t="str">
        <f>'[1]V, inciso p) (OP)'!W132</f>
        <v>Consorcio Constructor Adobes, S. A. de C. V.</v>
      </c>
      <c r="M265" s="5" t="str">
        <f>'[1]V, inciso p) (OP)'!X132</f>
        <v>CCA971126QC9</v>
      </c>
      <c r="N265" s="8">
        <f t="shared" si="4"/>
        <v>7900442.7599999998</v>
      </c>
      <c r="O265" s="77" t="s">
        <v>40</v>
      </c>
      <c r="P265" s="9" t="s">
        <v>813</v>
      </c>
      <c r="Q265" s="10">
        <f>N265/4585</f>
        <v>1723.1063816793892</v>
      </c>
      <c r="R265" s="9" t="s">
        <v>42</v>
      </c>
      <c r="S265" s="13">
        <v>12558</v>
      </c>
      <c r="T265" s="7" t="s">
        <v>43</v>
      </c>
      <c r="U265" s="5" t="s">
        <v>565</v>
      </c>
      <c r="V265" s="6">
        <f>'[1]V, inciso p) (OP)'!AM132</f>
        <v>42730</v>
      </c>
      <c r="W265" s="6">
        <f>'[1]V, inciso p) (OP)'!AN132</f>
        <v>42850</v>
      </c>
      <c r="X265" s="5" t="s">
        <v>671</v>
      </c>
      <c r="Y265" s="5" t="s">
        <v>334</v>
      </c>
      <c r="Z265" s="5" t="s">
        <v>133</v>
      </c>
      <c r="AA265" s="40" t="s">
        <v>40</v>
      </c>
      <c r="AB265" s="5" t="s">
        <v>40</v>
      </c>
    </row>
    <row r="266" spans="1:28" ht="40.5">
      <c r="A266" s="5">
        <v>2016</v>
      </c>
      <c r="B266" s="7" t="s">
        <v>800</v>
      </c>
      <c r="C266" s="79" t="str">
        <f>'[1]V, inciso p) (OP)'!D133</f>
        <v>DOPI-MUN-RM-ID-CI-208-2016</v>
      </c>
      <c r="D266" s="12">
        <f>'[1]V, inciso p) (OP)'!AD133</f>
        <v>42727</v>
      </c>
      <c r="E266" s="7" t="str">
        <f>'[1]V, inciso p) (OP)'!AL133</f>
        <v>Rehabilitación de las instalaciones y equipamiento deportivo de la Unidad Deportiva Santa Margarita, municipio de Zapopan, Jalisco.</v>
      </c>
      <c r="F266" s="7" t="s">
        <v>67</v>
      </c>
      <c r="G266" s="8">
        <f>'[1]V, inciso p) (OP)'!AG133</f>
        <v>7996437.3600000003</v>
      </c>
      <c r="H266" s="7" t="str">
        <f>'[1]V, inciso p) (OP)'!AS133</f>
        <v>Colonia Santa Margarita</v>
      </c>
      <c r="I266" s="5" t="str">
        <f>'[1]V, inciso p) (OP)'!T133</f>
        <v>David</v>
      </c>
      <c r="J266" s="5" t="str">
        <f>'[1]V, inciso p) (OP)'!U133</f>
        <v>Hernández</v>
      </c>
      <c r="K266" s="5" t="str">
        <f>'[1]V, inciso p) (OP)'!V133</f>
        <v>Flores</v>
      </c>
      <c r="L266" s="7" t="str">
        <f>'[1]V, inciso p) (OP)'!W133</f>
        <v>Constructora San Sebastián, S.A. de C.V.</v>
      </c>
      <c r="M266" s="5" t="str">
        <f>'[1]V, inciso p) (OP)'!X133</f>
        <v>CSS8303089S9</v>
      </c>
      <c r="N266" s="8">
        <f t="shared" si="4"/>
        <v>7996437.3600000003</v>
      </c>
      <c r="O266" s="77" t="s">
        <v>40</v>
      </c>
      <c r="P266" s="9" t="s">
        <v>814</v>
      </c>
      <c r="Q266" s="10">
        <f>N266/12433</f>
        <v>643.16233893670073</v>
      </c>
      <c r="R266" s="9" t="s">
        <v>42</v>
      </c>
      <c r="S266" s="13">
        <v>38995</v>
      </c>
      <c r="T266" s="7" t="s">
        <v>43</v>
      </c>
      <c r="U266" s="5" t="s">
        <v>565</v>
      </c>
      <c r="V266" s="6">
        <f>'[1]V, inciso p) (OP)'!AM133</f>
        <v>42730</v>
      </c>
      <c r="W266" s="6">
        <f>'[1]V, inciso p) (OP)'!AN133</f>
        <v>42850</v>
      </c>
      <c r="X266" s="5" t="s">
        <v>671</v>
      </c>
      <c r="Y266" s="5" t="s">
        <v>334</v>
      </c>
      <c r="Z266" s="5" t="s">
        <v>133</v>
      </c>
      <c r="AA266" s="40" t="s">
        <v>40</v>
      </c>
      <c r="AB266" s="5" t="s">
        <v>40</v>
      </c>
    </row>
    <row r="267" spans="1:28" ht="54">
      <c r="A267" s="5">
        <v>2016</v>
      </c>
      <c r="B267" s="7" t="s">
        <v>800</v>
      </c>
      <c r="C267" s="79" t="str">
        <f>'[1]V, inciso p) (OP)'!D134</f>
        <v>DOPI-MUN-RM-PAV-CI-209-2016</v>
      </c>
      <c r="D267" s="12">
        <f>'[1]V, inciso p) (OP)'!AD134</f>
        <v>42727</v>
      </c>
      <c r="E267" s="7" t="str">
        <f>'[1]V, inciso p) (OP)'!AL134</f>
        <v>Construcción de pavimento de concreto hidráulico MR-45 y jardinería, en la Glorieta Venustiano Carranza en la colonia Constitución, municipio de Zapopan, Jalisco</v>
      </c>
      <c r="F267" s="7" t="s">
        <v>184</v>
      </c>
      <c r="G267" s="8">
        <f>'[1]V, inciso p) (OP)'!AG134</f>
        <v>5570941.0800000001</v>
      </c>
      <c r="H267" s="7" t="str">
        <f>'[1]V, inciso p) (OP)'!AS134</f>
        <v>Colonia Constitución</v>
      </c>
      <c r="I267" s="5" t="str">
        <f>'[1]V, inciso p) (OP)'!T134</f>
        <v>Jorge Alfredo</v>
      </c>
      <c r="J267" s="5" t="str">
        <f>'[1]V, inciso p) (OP)'!U134</f>
        <v>Ochoa</v>
      </c>
      <c r="K267" s="5" t="str">
        <f>'[1]V, inciso p) (OP)'!V134</f>
        <v>González</v>
      </c>
      <c r="L267" s="7" t="str">
        <f>'[1]V, inciso p) (OP)'!W134</f>
        <v>Aedificant, S.A. de C.V.</v>
      </c>
      <c r="M267" s="5" t="str">
        <f>'[1]V, inciso p) (OP)'!X134</f>
        <v>AED890925181</v>
      </c>
      <c r="N267" s="8">
        <f t="shared" si="4"/>
        <v>5570941.0800000001</v>
      </c>
      <c r="O267" s="77" t="s">
        <v>40</v>
      </c>
      <c r="P267" s="9" t="s">
        <v>815</v>
      </c>
      <c r="Q267" s="10">
        <f>N267/3911.58</f>
        <v>1424.2176000490851</v>
      </c>
      <c r="R267" s="9" t="s">
        <v>42</v>
      </c>
      <c r="S267" s="13">
        <v>98745</v>
      </c>
      <c r="T267" s="7" t="s">
        <v>43</v>
      </c>
      <c r="U267" s="5" t="s">
        <v>565</v>
      </c>
      <c r="V267" s="6">
        <f>'[1]V, inciso p) (OP)'!AM134</f>
        <v>42730</v>
      </c>
      <c r="W267" s="6">
        <f>'[1]V, inciso p) (OP)'!AN134</f>
        <v>42762</v>
      </c>
      <c r="X267" s="5" t="s">
        <v>650</v>
      </c>
      <c r="Y267" s="5" t="s">
        <v>651</v>
      </c>
      <c r="Z267" s="5" t="s">
        <v>652</v>
      </c>
      <c r="AA267" s="40" t="s">
        <v>40</v>
      </c>
      <c r="AB267" s="5" t="s">
        <v>40</v>
      </c>
    </row>
    <row r="268" spans="1:28" ht="94.5">
      <c r="A268" s="5">
        <v>2016</v>
      </c>
      <c r="B268" s="7" t="s">
        <v>800</v>
      </c>
      <c r="C268" s="79" t="str">
        <f>'[1]V, inciso p) (OP)'!D135</f>
        <v>DOPI-MUN-RM-PAV-CI-210-2016</v>
      </c>
      <c r="D268" s="12">
        <f>'[1]V, inciso p) (OP)'!AD135</f>
        <v>42727</v>
      </c>
      <c r="E268" s="7" t="str">
        <f>'[1]V, inciso p) (OP)'!AL135</f>
        <v>Construcción de pavimento de concreto hidráulico, red de agua potable, alcantarillado sanitario, alumbrado público, banquetas, señalamiento vertical y horizontal, de la Prol. Laureles de Av. Del Rodeo a Periférico Norte Manuel Gómez Morín, municipio de Zapopan, Jalisco.</v>
      </c>
      <c r="F268" s="7" t="s">
        <v>184</v>
      </c>
      <c r="G268" s="8">
        <f>'[1]V, inciso p) (OP)'!AG135</f>
        <v>7995338.8700000001</v>
      </c>
      <c r="H268" s="7" t="str">
        <f>'[1]V, inciso p) (OP)'!AS135</f>
        <v>Colonia Belenes Norte</v>
      </c>
      <c r="I268" s="5" t="str">
        <f>'[1]V, inciso p) (OP)'!T135</f>
        <v>Elvia Alejandra</v>
      </c>
      <c r="J268" s="5" t="str">
        <f>'[1]V, inciso p) (OP)'!U135</f>
        <v>Torres</v>
      </c>
      <c r="K268" s="5" t="str">
        <f>'[1]V, inciso p) (OP)'!V135</f>
        <v>Villa</v>
      </c>
      <c r="L268" s="7" t="str">
        <f>'[1]V, inciso p) (OP)'!W135</f>
        <v>Procourza, S.A. de C.V.</v>
      </c>
      <c r="M268" s="5" t="str">
        <f>'[1]V, inciso p) (OP)'!X135</f>
        <v>PRO0205208F2</v>
      </c>
      <c r="N268" s="8">
        <f t="shared" si="4"/>
        <v>7995338.8700000001</v>
      </c>
      <c r="O268" s="77" t="s">
        <v>40</v>
      </c>
      <c r="P268" s="9" t="s">
        <v>816</v>
      </c>
      <c r="Q268" s="10">
        <f>N268/6300</f>
        <v>1269.1014079365079</v>
      </c>
      <c r="R268" s="9" t="s">
        <v>42</v>
      </c>
      <c r="S268" s="13">
        <v>31566</v>
      </c>
      <c r="T268" s="7" t="s">
        <v>43</v>
      </c>
      <c r="U268" s="5" t="s">
        <v>565</v>
      </c>
      <c r="V268" s="6">
        <f>'[1]V, inciso p) (OP)'!AM135</f>
        <v>42730</v>
      </c>
      <c r="W268" s="6">
        <f>'[1]V, inciso p) (OP)'!AN135</f>
        <v>42820</v>
      </c>
      <c r="X268" s="5" t="s">
        <v>817</v>
      </c>
      <c r="Y268" s="5" t="s">
        <v>818</v>
      </c>
      <c r="Z268" s="5" t="s">
        <v>405</v>
      </c>
      <c r="AA268" s="40" t="s">
        <v>40</v>
      </c>
      <c r="AB268" s="5" t="s">
        <v>40</v>
      </c>
    </row>
    <row r="269" spans="1:28" ht="67.5">
      <c r="A269" s="5">
        <v>2016</v>
      </c>
      <c r="B269" s="7" t="s">
        <v>800</v>
      </c>
      <c r="C269" s="79" t="str">
        <f>'[1]V, inciso p) (OP)'!D136</f>
        <v>DOPI-MUN-RM-AP-CI-211-2016</v>
      </c>
      <c r="D269" s="12">
        <f>'[1]V, inciso p) (OP)'!AD136</f>
        <v>42727</v>
      </c>
      <c r="E269" s="7" t="str">
        <f>'[1]V, inciso p) (OP)'!AL136</f>
        <v>Construcción de línea de agua potable, drenaje sanitario, preparación para instalaciones de Telmex y CFE, pozos de absorción, en la Glorieta Venustiano Carranza en la colonia Constitución, municipio de Zapopan, Jalisco</v>
      </c>
      <c r="F269" s="7" t="s">
        <v>184</v>
      </c>
      <c r="G269" s="8">
        <f>'[1]V, inciso p) (OP)'!AG136</f>
        <v>2591650.5499999998</v>
      </c>
      <c r="H269" s="7" t="str">
        <f>'[1]V, inciso p) (OP)'!AS136</f>
        <v>Colonia Constitución</v>
      </c>
      <c r="I269" s="5" t="str">
        <f>'[1]V, inciso p) (OP)'!T136</f>
        <v>Rosalba Edilia</v>
      </c>
      <c r="J269" s="5" t="str">
        <f>'[1]V, inciso p) (OP)'!U136</f>
        <v>Sandoval</v>
      </c>
      <c r="K269" s="5" t="str">
        <f>'[1]V, inciso p) (OP)'!V136</f>
        <v>Huizar</v>
      </c>
      <c r="L269" s="7" t="str">
        <f>'[1]V, inciso p) (OP)'!W136</f>
        <v>Infraestructura San Miguel, S.A. de C.V.</v>
      </c>
      <c r="M269" s="5" t="str">
        <f>'[1]V, inciso p) (OP)'!X136</f>
        <v>ISM0112209Y5</v>
      </c>
      <c r="N269" s="8">
        <f t="shared" si="4"/>
        <v>2591650.5499999998</v>
      </c>
      <c r="O269" s="77" t="s">
        <v>40</v>
      </c>
      <c r="P269" s="9" t="s">
        <v>819</v>
      </c>
      <c r="Q269" s="10">
        <f>N269/671.12</f>
        <v>3861.6798039098817</v>
      </c>
      <c r="R269" s="9" t="s">
        <v>42</v>
      </c>
      <c r="S269" s="13">
        <v>2569</v>
      </c>
      <c r="T269" s="7" t="s">
        <v>43</v>
      </c>
      <c r="U269" s="5" t="s">
        <v>565</v>
      </c>
      <c r="V269" s="6">
        <f>'[1]V, inciso p) (OP)'!AM136</f>
        <v>42730</v>
      </c>
      <c r="W269" s="6">
        <f>'[1]V, inciso p) (OP)'!AN136</f>
        <v>42760</v>
      </c>
      <c r="X269" s="5" t="s">
        <v>650</v>
      </c>
      <c r="Y269" s="5" t="s">
        <v>651</v>
      </c>
      <c r="Z269" s="5" t="s">
        <v>652</v>
      </c>
      <c r="AA269" s="40" t="s">
        <v>40</v>
      </c>
      <c r="AB269" s="5" t="s">
        <v>40</v>
      </c>
    </row>
    <row r="270" spans="1:28" ht="54">
      <c r="A270" s="5">
        <v>2016</v>
      </c>
      <c r="B270" s="5" t="s">
        <v>64</v>
      </c>
      <c r="C270" s="79" t="str">
        <f>'[1]V, inciso o) (OP)'!C93</f>
        <v>DOPI-MUN-RM-AP-AD-212-2016</v>
      </c>
      <c r="D270" s="12">
        <f>'[1]V, inciso o) (OP)'!V93</f>
        <v>42653</v>
      </c>
      <c r="E270" s="7" t="str">
        <f>'[1]V, inciso o) (OP)'!AA93</f>
        <v>Construcción de linea de agua potable, drenaje sanitario y linea de alejamiento en la calle La grana y calle Rastro, en la colonia San Isidro, municipio de Zapopan, Jalisco.</v>
      </c>
      <c r="F270" s="7" t="s">
        <v>184</v>
      </c>
      <c r="G270" s="8">
        <f>'[1]V, inciso o) (OP)'!Y93</f>
        <v>1498750.44</v>
      </c>
      <c r="H270" s="7" t="s">
        <v>820</v>
      </c>
      <c r="I270" s="5" t="str">
        <f>'[1]V, inciso o) (OP)'!M93</f>
        <v xml:space="preserve">HECTOR DAVID </v>
      </c>
      <c r="J270" s="5" t="str">
        <f>'[1]V, inciso o) (OP)'!N93</f>
        <v>ROBLES</v>
      </c>
      <c r="K270" s="5" t="str">
        <f>'[1]V, inciso o) (OP)'!O93</f>
        <v>ROBLES</v>
      </c>
      <c r="L270" s="7" t="str">
        <f>'[1]V, inciso o) (OP)'!P93</f>
        <v>ESTRUCTURAS Y DISEÑOS DEL SOL, S.A. DE C.V.</v>
      </c>
      <c r="M270" s="5" t="str">
        <f>'[1]V, inciso o) (OP)'!Q93</f>
        <v>EDS001103AJ2</v>
      </c>
      <c r="N270" s="8">
        <f>'[1]V, inciso o) (OP)'!Y93</f>
        <v>1498750.44</v>
      </c>
      <c r="O270" s="77" t="s">
        <v>40</v>
      </c>
      <c r="P270" s="9" t="s">
        <v>821</v>
      </c>
      <c r="Q270" s="10">
        <f>N270/132</f>
        <v>11354.17</v>
      </c>
      <c r="R270" s="9" t="s">
        <v>42</v>
      </c>
      <c r="S270" s="13">
        <v>865</v>
      </c>
      <c r="T270" s="7" t="s">
        <v>43</v>
      </c>
      <c r="U270" s="5" t="s">
        <v>44</v>
      </c>
      <c r="V270" s="6">
        <f>'[1]V, inciso o) (OP)'!AD93</f>
        <v>42654</v>
      </c>
      <c r="W270" s="6">
        <f>'[1]V, inciso o) (OP)'!AE93</f>
        <v>42698</v>
      </c>
      <c r="X270" s="5" t="s">
        <v>733</v>
      </c>
      <c r="Y270" s="5" t="s">
        <v>822</v>
      </c>
      <c r="Z270" s="5" t="s">
        <v>735</v>
      </c>
      <c r="AA270" s="40" t="s">
        <v>40</v>
      </c>
      <c r="AB270" s="5" t="s">
        <v>40</v>
      </c>
    </row>
    <row r="271" spans="1:28" ht="54">
      <c r="A271" s="5">
        <v>2016</v>
      </c>
      <c r="B271" s="5" t="s">
        <v>64</v>
      </c>
      <c r="C271" s="79" t="str">
        <f>'[1]V, inciso o) (OP)'!C94</f>
        <v>DOPI-MUN-RM-IM-AD-213-2016</v>
      </c>
      <c r="D271" s="12">
        <f>'[1]V, inciso o) (OP)'!V94</f>
        <v>42647</v>
      </c>
      <c r="E271" s="7" t="str">
        <f>'[1]V, inciso o) (OP)'!AA94</f>
        <v>Suministro e instalación de piso de danza flotado de duela de Maple en el escenario del auditorio del Centro Cultural Constitución, ,municipio de Zapopan, Jalisco.</v>
      </c>
      <c r="F271" s="7" t="s">
        <v>184</v>
      </c>
      <c r="G271" s="8">
        <f>'[1]V, inciso o) (OP)'!Y94</f>
        <v>932552.22</v>
      </c>
      <c r="H271" s="7" t="s">
        <v>707</v>
      </c>
      <c r="I271" s="5" t="str">
        <f>'[1]V, inciso o) (OP)'!M94</f>
        <v>NORMA FABIOLA</v>
      </c>
      <c r="J271" s="5" t="str">
        <f>'[1]V, inciso o) (OP)'!N94</f>
        <v>RODRIGUEZ</v>
      </c>
      <c r="K271" s="5" t="str">
        <f>'[1]V, inciso o) (OP)'!O94</f>
        <v>CASTILLO</v>
      </c>
      <c r="L271" s="7" t="str">
        <f>'[1]V, inciso o) (OP)'!P94</f>
        <v>PARED URBANA, S.A. DE C.V.</v>
      </c>
      <c r="M271" s="5" t="str">
        <f>'[1]V, inciso o) (OP)'!Q94</f>
        <v>PUR071001L23</v>
      </c>
      <c r="N271" s="8">
        <f>'[1]V, inciso o) (OP)'!Y94</f>
        <v>932552.22</v>
      </c>
      <c r="O271" s="77" t="s">
        <v>40</v>
      </c>
      <c r="P271" s="9" t="s">
        <v>823</v>
      </c>
      <c r="Q271" s="10">
        <f>N271/426</f>
        <v>2189.0897183098591</v>
      </c>
      <c r="R271" s="9" t="s">
        <v>42</v>
      </c>
      <c r="S271" s="13">
        <v>350</v>
      </c>
      <c r="T271" s="7" t="s">
        <v>43</v>
      </c>
      <c r="U271" s="5" t="s">
        <v>44</v>
      </c>
      <c r="V271" s="6">
        <f>'[1]V, inciso o) (OP)'!AD94</f>
        <v>42648</v>
      </c>
      <c r="W271" s="6">
        <f>'[1]V, inciso o) (OP)'!AE94</f>
        <v>42677</v>
      </c>
      <c r="X271" s="5" t="s">
        <v>650</v>
      </c>
      <c r="Y271" s="5" t="s">
        <v>651</v>
      </c>
      <c r="Z271" s="5" t="s">
        <v>652</v>
      </c>
      <c r="AA271" s="40" t="s">
        <v>40</v>
      </c>
      <c r="AB271" s="5" t="s">
        <v>40</v>
      </c>
    </row>
    <row r="272" spans="1:28" ht="54">
      <c r="A272" s="5">
        <v>2016</v>
      </c>
      <c r="B272" s="7" t="s">
        <v>824</v>
      </c>
      <c r="C272" s="79" t="str">
        <f>'[1]V, inciso p) (OP)'!D137</f>
        <v>DOPI-FED-HAB-PAV-CI-214-2016</v>
      </c>
      <c r="D272" s="12">
        <f>'[1]V, inciso p) (OP)'!AD137</f>
        <v>42717</v>
      </c>
      <c r="E272" s="7" t="str">
        <f>'[1]V, inciso p) (OP)'!AL137</f>
        <v>Pavimentación de concreto hidráulico en la calle Casiano Torres Poniente, municipio de Zapopan, Jalisco.</v>
      </c>
      <c r="F272" s="7" t="s">
        <v>825</v>
      </c>
      <c r="G272" s="8">
        <f>'[1]V, inciso p) (OP)'!AG137</f>
        <v>6282745.2800000003</v>
      </c>
      <c r="H272" s="7" t="str">
        <f>'[1]V, inciso p) (OP)'!AS137</f>
        <v>Colonia Vista Hermosa</v>
      </c>
      <c r="I272" s="5" t="str">
        <f>'[1]V, inciso p) (OP)'!T137</f>
        <v>Miguel Ángel</v>
      </c>
      <c r="J272" s="5" t="str">
        <f>'[1]V, inciso p) (OP)'!U137</f>
        <v>Romero</v>
      </c>
      <c r="K272" s="5" t="str">
        <f>'[1]V, inciso p) (OP)'!V137</f>
        <v>Lugo</v>
      </c>
      <c r="L272" s="7" t="str">
        <f>'[1]V, inciso p) (OP)'!W137</f>
        <v>Obras y Comercialización de la Construcción, S.A. de C.V.</v>
      </c>
      <c r="M272" s="5" t="str">
        <f>'[1]V, inciso p) (OP)'!X137</f>
        <v>OCC940714PB0</v>
      </c>
      <c r="N272" s="8">
        <f>'[1]V, inciso p) (OP)'!AG137</f>
        <v>6282745.2800000003</v>
      </c>
      <c r="O272" s="77" t="s">
        <v>40</v>
      </c>
      <c r="P272" s="9" t="s">
        <v>826</v>
      </c>
      <c r="Q272" s="10">
        <f>N272/3200</f>
        <v>1963.3579</v>
      </c>
      <c r="R272" s="9" t="s">
        <v>42</v>
      </c>
      <c r="S272" s="13">
        <v>1255</v>
      </c>
      <c r="T272" s="7" t="s">
        <v>43</v>
      </c>
      <c r="U272" s="5" t="s">
        <v>565</v>
      </c>
      <c r="V272" s="6">
        <f>'[1]V, inciso p) (OP)'!AM137</f>
        <v>42718</v>
      </c>
      <c r="W272" s="6">
        <f>'[1]V, inciso p) (OP)'!AN137</f>
        <v>42735</v>
      </c>
      <c r="X272" s="5" t="s">
        <v>556</v>
      </c>
      <c r="Y272" s="5" t="s">
        <v>557</v>
      </c>
      <c r="Z272" s="5" t="s">
        <v>558</v>
      </c>
      <c r="AA272" s="40" t="s">
        <v>40</v>
      </c>
      <c r="AB272" s="5" t="s">
        <v>40</v>
      </c>
    </row>
    <row r="273" spans="1:28" ht="40.5">
      <c r="A273" s="5">
        <v>2016</v>
      </c>
      <c r="B273" s="5" t="s">
        <v>64</v>
      </c>
      <c r="C273" s="79" t="str">
        <f>'[1]V, inciso o) (OP)'!C95</f>
        <v>DOPI-MUN-RM-PROY-AD-215-2016</v>
      </c>
      <c r="D273" s="12">
        <f>'[1]V, inciso o) (OP)'!V95</f>
        <v>42657</v>
      </c>
      <c r="E273" s="7" t="str">
        <f>'[1]V, inciso o) (OP)'!AA95</f>
        <v>Estudios básicos topográficos para diferentes obras 2016, segunda etapa, del municipio de Zapopan, Jalisco.</v>
      </c>
      <c r="F273" s="7" t="s">
        <v>184</v>
      </c>
      <c r="G273" s="8">
        <f>'[1]V, inciso o) (OP)'!Y95</f>
        <v>1350125.87</v>
      </c>
      <c r="H273" s="7" t="s">
        <v>225</v>
      </c>
      <c r="I273" s="5" t="str">
        <f>'[1]V, inciso o) (OP)'!M95</f>
        <v>LUIS ERNESTO</v>
      </c>
      <c r="J273" s="5" t="str">
        <f>'[1]V, inciso o) (OP)'!N95</f>
        <v>GONZALEZ</v>
      </c>
      <c r="K273" s="5" t="str">
        <f>'[1]V, inciso o) (OP)'!O95</f>
        <v>LOZANO</v>
      </c>
      <c r="L273" s="7" t="str">
        <f>'[1]V, inciso o) (OP)'!P95</f>
        <v>TOSCANA INGENIERIA, S. A.  DE C.V.</v>
      </c>
      <c r="M273" s="5" t="str">
        <f>'[1]V, inciso o) (OP)'!Q95</f>
        <v>TIN04100824A</v>
      </c>
      <c r="N273" s="8">
        <f>'[1]V, inciso o) (OP)'!Y95</f>
        <v>1350125.87</v>
      </c>
      <c r="O273" s="77" t="s">
        <v>40</v>
      </c>
      <c r="P273" s="9" t="s">
        <v>827</v>
      </c>
      <c r="Q273" s="10">
        <f>N273/796102</f>
        <v>1.6959207111651524</v>
      </c>
      <c r="R273" s="9" t="s">
        <v>42</v>
      </c>
      <c r="S273" s="13" t="s">
        <v>232</v>
      </c>
      <c r="T273" s="7" t="s">
        <v>231</v>
      </c>
      <c r="U273" s="5" t="s">
        <v>44</v>
      </c>
      <c r="V273" s="6">
        <f>'[1]V, inciso o) (OP)'!AD95</f>
        <v>42660</v>
      </c>
      <c r="W273" s="6">
        <f>'[1]V, inciso o) (OP)'!AE95</f>
        <v>42735</v>
      </c>
      <c r="X273" s="5" t="s">
        <v>570</v>
      </c>
      <c r="Y273" s="5" t="s">
        <v>828</v>
      </c>
      <c r="Z273" s="5" t="s">
        <v>286</v>
      </c>
      <c r="AA273" s="40" t="s">
        <v>40</v>
      </c>
      <c r="AB273" s="5" t="s">
        <v>40</v>
      </c>
    </row>
    <row r="274" spans="1:28" ht="40.5">
      <c r="A274" s="5">
        <v>2016</v>
      </c>
      <c r="B274" s="5" t="s">
        <v>64</v>
      </c>
      <c r="C274" s="79" t="str">
        <f>'[1]V, inciso o) (OP)'!C96</f>
        <v>DOPI-MUN-RM-PAV-AD-216-2016</v>
      </c>
      <c r="D274" s="12">
        <f>'[1]V, inciso o) (OP)'!V96</f>
        <v>42674</v>
      </c>
      <c r="E274" s="7" t="str">
        <f>'[1]V, inciso o) (OP)'!AA96</f>
        <v>Programa emergente de bacheo de vialidades en Zapopan Norte, tramo 3, municipio de Zapopan, Jalisco.</v>
      </c>
      <c r="F274" s="7" t="s">
        <v>184</v>
      </c>
      <c r="G274" s="8">
        <f>'[1]V, inciso o) (OP)'!Y96</f>
        <v>1492596.99</v>
      </c>
      <c r="H274" s="7" t="s">
        <v>225</v>
      </c>
      <c r="I274" s="5" t="str">
        <f>'[1]V, inciso o) (OP)'!M96</f>
        <v>ESPERANZA</v>
      </c>
      <c r="J274" s="5" t="str">
        <f>'[1]V, inciso o) (OP)'!N96</f>
        <v>CORONA</v>
      </c>
      <c r="K274" s="5" t="str">
        <f>'[1]V, inciso o) (OP)'!O96</f>
        <v>JUAREZ</v>
      </c>
      <c r="L274" s="7" t="str">
        <f>'[1]V, inciso o) (OP)'!P96</f>
        <v>GREEN PATCHER MEXICO, S. DE R.L. DE C.V.</v>
      </c>
      <c r="M274" s="5" t="str">
        <f>'[1]V, inciso o) (OP)'!Q96</f>
        <v>ISA071206P64</v>
      </c>
      <c r="N274" s="8">
        <f>'[1]V, inciso o) (OP)'!Y96</f>
        <v>1492596.99</v>
      </c>
      <c r="O274" s="77" t="s">
        <v>40</v>
      </c>
      <c r="P274" s="9" t="s">
        <v>829</v>
      </c>
      <c r="Q274" s="10">
        <f>N274/8510</f>
        <v>175.39330082256168</v>
      </c>
      <c r="R274" s="9" t="s">
        <v>42</v>
      </c>
      <c r="S274" s="13">
        <v>215000</v>
      </c>
      <c r="T274" s="7" t="s">
        <v>43</v>
      </c>
      <c r="U274" s="5" t="s">
        <v>44</v>
      </c>
      <c r="V274" s="6">
        <f>'[1]V, inciso o) (OP)'!AD96</f>
        <v>42675</v>
      </c>
      <c r="W274" s="6">
        <f>'[1]V, inciso o) (OP)'!AE96</f>
        <v>42734</v>
      </c>
      <c r="X274" s="5" t="s">
        <v>754</v>
      </c>
      <c r="Y274" s="5" t="s">
        <v>755</v>
      </c>
      <c r="Z274" s="5" t="s">
        <v>756</v>
      </c>
      <c r="AA274" s="40" t="s">
        <v>40</v>
      </c>
      <c r="AB274" s="5" t="s">
        <v>40</v>
      </c>
    </row>
    <row r="275" spans="1:28" ht="40.5">
      <c r="A275" s="5">
        <v>2016</v>
      </c>
      <c r="B275" s="5" t="s">
        <v>64</v>
      </c>
      <c r="C275" s="79" t="str">
        <f>'[1]V, inciso o) (OP)'!C97</f>
        <v>DOPI-MUN-RM-IM-AD-217-2016</v>
      </c>
      <c r="D275" s="12">
        <f>'[1]V, inciso o) (OP)'!V97</f>
        <v>42657</v>
      </c>
      <c r="E275" s="7" t="str">
        <f>'[1]V, inciso o) (OP)'!AA97</f>
        <v>Construcción de modulo de sanitarios, en el Panteón de Santa  Ana Tepetitlan, municipio de Zapopan, Jalisco.</v>
      </c>
      <c r="F275" s="7" t="s">
        <v>184</v>
      </c>
      <c r="G275" s="8">
        <f>'[1]V, inciso o) (OP)'!Y97</f>
        <v>950216.14</v>
      </c>
      <c r="H275" s="7" t="s">
        <v>436</v>
      </c>
      <c r="I275" s="5" t="str">
        <f>'[1]V, inciso o) (OP)'!M97</f>
        <v xml:space="preserve">RAFAEL </v>
      </c>
      <c r="J275" s="5" t="str">
        <f>'[1]V, inciso o) (OP)'!N97</f>
        <v>OROZCO</v>
      </c>
      <c r="K275" s="5" t="str">
        <f>'[1]V, inciso o) (OP)'!O97</f>
        <v>MARTINEZ</v>
      </c>
      <c r="L275" s="7" t="str">
        <f>'[1]V, inciso o) (OP)'!P97</f>
        <v>CEELE CONSTRUCCIONES, S.A. DE C.V.</v>
      </c>
      <c r="M275" s="5" t="str">
        <f>'[1]V, inciso o) (OP)'!Q97</f>
        <v>CCO020123366</v>
      </c>
      <c r="N275" s="8">
        <f>'[1]V, inciso o) (OP)'!Y97</f>
        <v>950216.14</v>
      </c>
      <c r="O275" s="77" t="s">
        <v>40</v>
      </c>
      <c r="P275" s="9" t="s">
        <v>830</v>
      </c>
      <c r="Q275" s="10">
        <f>N275/115</f>
        <v>8262.7490434782612</v>
      </c>
      <c r="R275" s="9" t="s">
        <v>42</v>
      </c>
      <c r="S275" s="13">
        <v>24800</v>
      </c>
      <c r="T275" s="7" t="s">
        <v>43</v>
      </c>
      <c r="U275" s="5" t="s">
        <v>44</v>
      </c>
      <c r="V275" s="6">
        <f>'[1]V, inciso o) (OP)'!AD97</f>
        <v>42660</v>
      </c>
      <c r="W275" s="6">
        <f>'[1]V, inciso o) (OP)'!AE97</f>
        <v>42714</v>
      </c>
      <c r="X275" s="5" t="s">
        <v>536</v>
      </c>
      <c r="Y275" s="5" t="s">
        <v>383</v>
      </c>
      <c r="Z275" s="5" t="s">
        <v>300</v>
      </c>
      <c r="AA275" s="40" t="s">
        <v>40</v>
      </c>
      <c r="AB275" s="5" t="s">
        <v>40</v>
      </c>
    </row>
    <row r="276" spans="1:28" ht="40.5">
      <c r="A276" s="5">
        <v>2016</v>
      </c>
      <c r="B276" s="5" t="s">
        <v>64</v>
      </c>
      <c r="C276" s="79" t="str">
        <f>'[1]V, inciso o) (OP)'!C98</f>
        <v>DOPI-MUN-RM-PAV-AD-218-2016</v>
      </c>
      <c r="D276" s="12">
        <f>'[1]V, inciso o) (OP)'!V98</f>
        <v>42664</v>
      </c>
      <c r="E276" s="7" t="str">
        <f>'[1]V, inciso o) (OP)'!AA98</f>
        <v>Construcción de pavimento de concreto hidráulico en la calle La Grana  y calle Rastro, en la colonia San Isidro, municipio de Zapopan, Jalisco.</v>
      </c>
      <c r="F276" s="7" t="s">
        <v>184</v>
      </c>
      <c r="G276" s="8">
        <f>'[1]V, inciso o) (OP)'!Y98</f>
        <v>1494567.16</v>
      </c>
      <c r="H276" s="7" t="s">
        <v>820</v>
      </c>
      <c r="I276" s="5" t="str">
        <f>'[1]V, inciso o) (OP)'!M98</f>
        <v>SALVADOR</v>
      </c>
      <c r="J276" s="5" t="str">
        <f>'[1]V, inciso o) (OP)'!N98</f>
        <v>CASTRO</v>
      </c>
      <c r="K276" s="5" t="str">
        <f>'[1]V, inciso o) (OP)'!O98</f>
        <v>GUZMAN</v>
      </c>
      <c r="L276" s="7" t="str">
        <f>'[1]V, inciso o) (OP)'!P98</f>
        <v>GRUPO CONSTRUCTOR GLEOSS, S.A. DE C.V.</v>
      </c>
      <c r="M276" s="5" t="str">
        <f>'[1]V, inciso o) (OP)'!Q98</f>
        <v>GCG041213LZ9</v>
      </c>
      <c r="N276" s="8">
        <f>'[1]V, inciso o) (OP)'!Y98</f>
        <v>1494567.16</v>
      </c>
      <c r="O276" s="77" t="s">
        <v>40</v>
      </c>
      <c r="P276" s="9" t="s">
        <v>831</v>
      </c>
      <c r="Q276" s="10">
        <f>N276/1010</f>
        <v>1479.7694653465346</v>
      </c>
      <c r="R276" s="9" t="s">
        <v>42</v>
      </c>
      <c r="S276" s="13">
        <v>655</v>
      </c>
      <c r="T276" s="7" t="s">
        <v>43</v>
      </c>
      <c r="U276" s="5" t="s">
        <v>44</v>
      </c>
      <c r="V276" s="6">
        <f>'[1]V, inciso o) (OP)'!AD98</f>
        <v>42667</v>
      </c>
      <c r="W276" s="6">
        <f>'[1]V, inciso o) (OP)'!AE98</f>
        <v>42726</v>
      </c>
      <c r="X276" s="5" t="s">
        <v>733</v>
      </c>
      <c r="Y276" s="5" t="s">
        <v>822</v>
      </c>
      <c r="Z276" s="5" t="s">
        <v>735</v>
      </c>
      <c r="AA276" s="40" t="s">
        <v>40</v>
      </c>
      <c r="AB276" s="5" t="s">
        <v>40</v>
      </c>
    </row>
    <row r="277" spans="1:28" ht="54">
      <c r="A277" s="5">
        <v>2016</v>
      </c>
      <c r="B277" s="5" t="s">
        <v>64</v>
      </c>
      <c r="C277" s="79" t="str">
        <f>'[1]V, inciso o) (OP)'!C99</f>
        <v>DOPI-MUN-RM-DP-AD-219-2016</v>
      </c>
      <c r="D277" s="12">
        <f>'[1]V, inciso o) (OP)'!V99</f>
        <v>42653</v>
      </c>
      <c r="E277" s="7" t="str">
        <f>'[1]V, inciso o) (OP)'!AA99</f>
        <v>Solución Pluvial en Tesistán (colector pluvial de 36" y bocas de tormenta) en la calle Jalisco, Hidalgo, Puebla, en la localidad de Tesistán, municipio de Zapopan, Jalisco. Frente 2.</v>
      </c>
      <c r="F277" s="7" t="s">
        <v>184</v>
      </c>
      <c r="G277" s="8">
        <f>'[1]V, inciso o) (OP)'!Y99</f>
        <v>1421736.05</v>
      </c>
      <c r="H277" s="7" t="s">
        <v>786</v>
      </c>
      <c r="I277" s="5" t="str">
        <f>'[1]V, inciso o) (OP)'!M99</f>
        <v xml:space="preserve">RODOLFO </v>
      </c>
      <c r="J277" s="5" t="str">
        <f>'[1]V, inciso o) (OP)'!N99</f>
        <v xml:space="preserve">VELAZQUEZ </v>
      </c>
      <c r="K277" s="5" t="str">
        <f>'[1]V, inciso o) (OP)'!O99</f>
        <v>ORDOÑEZ</v>
      </c>
      <c r="L277" s="7" t="str">
        <f>'[1]V, inciso o) (OP)'!P99</f>
        <v>VELAZQUEZ INGENIERIA ECOLOGICA, S.A. DE C.V.</v>
      </c>
      <c r="M277" s="5" t="str">
        <f>'[1]V, inciso o) (OP)'!Q99</f>
        <v>VIE110125RL4</v>
      </c>
      <c r="N277" s="8">
        <f>'[1]V, inciso o) (OP)'!Y99</f>
        <v>1421736.05</v>
      </c>
      <c r="O277" s="77" t="s">
        <v>40</v>
      </c>
      <c r="P277" s="9" t="s">
        <v>832</v>
      </c>
      <c r="Q277" s="10">
        <f>N277/5752</f>
        <v>247.1724704450626</v>
      </c>
      <c r="R277" s="9" t="s">
        <v>42</v>
      </c>
      <c r="S277" s="13">
        <v>2460</v>
      </c>
      <c r="T277" s="7" t="s">
        <v>43</v>
      </c>
      <c r="U277" s="5" t="s">
        <v>44</v>
      </c>
      <c r="V277" s="6">
        <f>'[1]V, inciso o) (OP)'!AD99</f>
        <v>42654</v>
      </c>
      <c r="W277" s="6">
        <f>'[1]V, inciso o) (OP)'!AE99</f>
        <v>42704</v>
      </c>
      <c r="X277" s="5" t="s">
        <v>544</v>
      </c>
      <c r="Y277" s="5" t="s">
        <v>545</v>
      </c>
      <c r="Z277" s="5" t="s">
        <v>212</v>
      </c>
      <c r="AA277" s="40" t="s">
        <v>40</v>
      </c>
      <c r="AB277" s="5" t="s">
        <v>40</v>
      </c>
    </row>
    <row r="278" spans="1:28" ht="162">
      <c r="A278" s="5">
        <v>2016</v>
      </c>
      <c r="B278" s="5" t="s">
        <v>64</v>
      </c>
      <c r="C278" s="79" t="str">
        <f>'[1]V, inciso o) (OP)'!C100</f>
        <v>DOPI-MUN-RM-IM-AD-220-2016</v>
      </c>
      <c r="D278" s="12">
        <f>'[1]V, inciso o) (OP)'!V100</f>
        <v>42647</v>
      </c>
      <c r="E278" s="7"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78" s="7" t="s">
        <v>184</v>
      </c>
      <c r="G278" s="8">
        <f>'[1]V, inciso o) (OP)'!Y100</f>
        <v>1495360.54</v>
      </c>
      <c r="H278" s="7" t="s">
        <v>833</v>
      </c>
      <c r="I278" s="5" t="str">
        <f>'[1]V, inciso o) (OP)'!M100</f>
        <v>JOSE ANTONIO</v>
      </c>
      <c r="J278" s="5" t="str">
        <f>'[1]V, inciso o) (OP)'!N100</f>
        <v>ALVAREZ</v>
      </c>
      <c r="K278" s="5" t="str">
        <f>'[1]V, inciso o) (OP)'!O100</f>
        <v>ZULOAGA</v>
      </c>
      <c r="L278" s="7" t="str">
        <f>'[1]V, inciso o) (OP)'!P100</f>
        <v>GRUPO DESARROLLADOR ALZU, S.A. DE C.V.</v>
      </c>
      <c r="M278" s="5" t="str">
        <f>'[1]V, inciso o) (OP)'!Q100</f>
        <v>GDA150928286</v>
      </c>
      <c r="N278" s="8">
        <f>'[1]V, inciso o) (OP)'!Y100</f>
        <v>1495360.54</v>
      </c>
      <c r="O278" s="77" t="s">
        <v>40</v>
      </c>
      <c r="P278" s="9" t="s">
        <v>834</v>
      </c>
      <c r="Q278" s="10">
        <f>N278/1035</f>
        <v>1444.7927922705314</v>
      </c>
      <c r="R278" s="9" t="s">
        <v>42</v>
      </c>
      <c r="S278" s="13">
        <v>1560</v>
      </c>
      <c r="T278" s="7" t="s">
        <v>43</v>
      </c>
      <c r="U278" s="5" t="s">
        <v>44</v>
      </c>
      <c r="V278" s="6">
        <f>'[1]V, inciso o) (OP)'!AD100</f>
        <v>42648</v>
      </c>
      <c r="W278" s="6">
        <f>'[1]V, inciso o) (OP)'!AE100</f>
        <v>42704</v>
      </c>
      <c r="X278" s="5" t="s">
        <v>835</v>
      </c>
      <c r="Y278" s="5" t="s">
        <v>62</v>
      </c>
      <c r="Z278" s="5" t="s">
        <v>836</v>
      </c>
      <c r="AA278" s="40" t="s">
        <v>40</v>
      </c>
      <c r="AB278" s="5" t="s">
        <v>40</v>
      </c>
    </row>
    <row r="279" spans="1:28" ht="76.150000000000006" customHeight="1">
      <c r="A279" s="5">
        <v>2016</v>
      </c>
      <c r="B279" s="5" t="s">
        <v>64</v>
      </c>
      <c r="C279" s="79" t="str">
        <f>'[1]V, inciso o) (OP)'!C101</f>
        <v>DOPI-MUN-RM-PAV-AD-221-2016</v>
      </c>
      <c r="D279" s="12">
        <f>'[1]V, inciso o) (OP)'!V101</f>
        <v>42685</v>
      </c>
      <c r="E279" s="7" t="str">
        <f>'[1]V, inciso o) (OP)'!AA101</f>
        <v>Pavimentación con concreto asfáltico en el paso inferior de Periférico Norte Manuel Gomez Morín en su cruce con la Av. Santa Margarita, municipio de Zapopan, Jalisco.</v>
      </c>
      <c r="F279" s="7" t="s">
        <v>184</v>
      </c>
      <c r="G279" s="8">
        <f>'[1]V, inciso o) (OP)'!Y101</f>
        <v>1358863.01</v>
      </c>
      <c r="H279" s="7" t="s">
        <v>837</v>
      </c>
      <c r="I279" s="5" t="str">
        <f>'[1]V, inciso o) (OP)'!M101</f>
        <v>JESUS DAVID</v>
      </c>
      <c r="J279" s="5" t="str">
        <f>'[1]V, inciso o) (OP)'!N101</f>
        <v xml:space="preserve">GARZA </v>
      </c>
      <c r="K279" s="5" t="str">
        <f>'[1]V, inciso o) (OP)'!O101</f>
        <v>GARCIA</v>
      </c>
      <c r="L279" s="7" t="str">
        <f>'[1]V, inciso o) (OP)'!P101</f>
        <v>CONSTRUCCIONES  ELECTRIFICACIONES Y ARRENDAMIENTO DE MAQUINARIA S.A. DE C.V.</v>
      </c>
      <c r="M279" s="5" t="str">
        <f>'[1]V, inciso o) (OP)'!Q101</f>
        <v>CEA010615GT0</v>
      </c>
      <c r="N279" s="8">
        <f>'[1]V, inciso o) (OP)'!Y101</f>
        <v>1358863.01</v>
      </c>
      <c r="O279" s="77" t="s">
        <v>40</v>
      </c>
      <c r="P279" s="9" t="s">
        <v>838</v>
      </c>
      <c r="Q279" s="10">
        <f>N279/3033</f>
        <v>448.02605011539731</v>
      </c>
      <c r="R279" s="9" t="s">
        <v>42</v>
      </c>
      <c r="S279" s="13">
        <v>368954</v>
      </c>
      <c r="T279" s="7" t="s">
        <v>43</v>
      </c>
      <c r="U279" s="5" t="s">
        <v>44</v>
      </c>
      <c r="V279" s="6">
        <f>'[1]V, inciso o) (OP)'!AD101</f>
        <v>42688</v>
      </c>
      <c r="W279" s="6">
        <f>'[1]V, inciso o) (OP)'!AE101</f>
        <v>42726</v>
      </c>
      <c r="X279" s="5" t="s">
        <v>839</v>
      </c>
      <c r="Y279" s="5" t="s">
        <v>840</v>
      </c>
      <c r="Z279" s="5" t="s">
        <v>841</v>
      </c>
      <c r="AA279" s="40" t="s">
        <v>40</v>
      </c>
      <c r="AB279" s="5" t="s">
        <v>40</v>
      </c>
    </row>
    <row r="280" spans="1:28" ht="54">
      <c r="A280" s="5">
        <v>2016</v>
      </c>
      <c r="B280" s="5" t="s">
        <v>64</v>
      </c>
      <c r="C280" s="79" t="str">
        <f>'[1]V, inciso o) (OP)'!C102</f>
        <v>DOPI-MUN-RM-PAV-AD-222-2016</v>
      </c>
      <c r="D280" s="12">
        <f>'[1]V, inciso o) (OP)'!V102</f>
        <v>42650</v>
      </c>
      <c r="E280" s="7" t="str">
        <f>'[1]V, inciso o) (OP)'!AA102</f>
        <v>Construccion y rehabilitación de guarniciones, banquetas, obra complementaria en camellones en diferentes zonas del municipio de Zapopan, Jalisco, frente 1.</v>
      </c>
      <c r="F280" s="7" t="s">
        <v>67</v>
      </c>
      <c r="G280" s="8">
        <f>'[1]V, inciso o) (OP)'!Y102</f>
        <v>1447543.87</v>
      </c>
      <c r="H280" s="7" t="s">
        <v>225</v>
      </c>
      <c r="I280" s="5" t="str">
        <f>'[1]V, inciso o) (OP)'!M102</f>
        <v>ESTEBAN</v>
      </c>
      <c r="J280" s="5" t="str">
        <f>'[1]V, inciso o) (OP)'!N102</f>
        <v>PEREZ</v>
      </c>
      <c r="K280" s="5" t="str">
        <f>'[1]V, inciso o) (OP)'!O102</f>
        <v>MUÑOZ</v>
      </c>
      <c r="L280" s="7" t="str">
        <f>'[1]V, inciso o) (OP)'!P102</f>
        <v>GRUPO PG CONSTRUCTORES Y SUPERVISORES, S.A. DE C.V.</v>
      </c>
      <c r="M280" s="5" t="str">
        <f>'[1]V, inciso o) (OP)'!Q102</f>
        <v>GPC110927671</v>
      </c>
      <c r="N280" s="8">
        <f>'[1]V, inciso o) (OP)'!Y102</f>
        <v>1447543.87</v>
      </c>
      <c r="O280" s="77" t="s">
        <v>40</v>
      </c>
      <c r="P280" s="9" t="s">
        <v>685</v>
      </c>
      <c r="Q280" s="10">
        <f>N280/2130</f>
        <v>679.59806103286394</v>
      </c>
      <c r="R280" s="9" t="s">
        <v>42</v>
      </c>
      <c r="S280" s="13">
        <v>153800</v>
      </c>
      <c r="T280" s="7" t="s">
        <v>43</v>
      </c>
      <c r="U280" s="5" t="s">
        <v>44</v>
      </c>
      <c r="V280" s="6">
        <f>'[1]V, inciso o) (OP)'!AD102</f>
        <v>42651</v>
      </c>
      <c r="W280" s="6">
        <f>'[1]V, inciso o) (OP)'!AE102</f>
        <v>42714</v>
      </c>
      <c r="X280" s="5" t="s">
        <v>556</v>
      </c>
      <c r="Y280" s="5" t="s">
        <v>557</v>
      </c>
      <c r="Z280" s="5" t="s">
        <v>558</v>
      </c>
      <c r="AA280" s="40" t="s">
        <v>40</v>
      </c>
      <c r="AB280" s="5" t="s">
        <v>40</v>
      </c>
    </row>
    <row r="281" spans="1:28" ht="40.5">
      <c r="A281" s="5">
        <v>2016</v>
      </c>
      <c r="B281" s="5" t="s">
        <v>64</v>
      </c>
      <c r="C281" s="79" t="str">
        <f>'[1]V, inciso o) (OP)'!C103</f>
        <v>DOPI-MUN-RM-BAN-AD-223-2016</v>
      </c>
      <c r="D281" s="12">
        <f>'[1]V, inciso o) (OP)'!V103</f>
        <v>42674</v>
      </c>
      <c r="E281" s="7" t="str">
        <f>'[1]V, inciso o) (OP)'!AA103</f>
        <v>Construcción de banquetas y guarniciones en la calle La Grana y calle Rastro, en la colonia San Isidro, municipio de Zapopan, Jalisco.</v>
      </c>
      <c r="F281" s="7" t="s">
        <v>184</v>
      </c>
      <c r="G281" s="8">
        <f>'[1]V, inciso o) (OP)'!Y103</f>
        <v>650250.36</v>
      </c>
      <c r="H281" s="7" t="s">
        <v>820</v>
      </c>
      <c r="I281" s="5" t="str">
        <f>'[1]V, inciso o) (OP)'!M103</f>
        <v>ANGELICA</v>
      </c>
      <c r="J281" s="5" t="str">
        <f>'[1]V, inciso o) (OP)'!N103</f>
        <v>VALDERRAMA</v>
      </c>
      <c r="K281" s="5" t="str">
        <f>'[1]V, inciso o) (OP)'!O103</f>
        <v>CASTRO</v>
      </c>
      <c r="L281" s="7" t="str">
        <f>'[1]V, inciso o) (OP)'!P103</f>
        <v>GRUPO V Y CG, S.A. DE C.V.</v>
      </c>
      <c r="M281" s="5" t="str">
        <f>'[1]V, inciso o) (OP)'!Q103</f>
        <v>GVC1101316W5</v>
      </c>
      <c r="N281" s="8">
        <f>'[1]V, inciso o) (OP)'!Y103</f>
        <v>650250.36</v>
      </c>
      <c r="O281" s="77" t="s">
        <v>40</v>
      </c>
      <c r="P281" s="9" t="s">
        <v>842</v>
      </c>
      <c r="Q281" s="10">
        <f>N281/822</f>
        <v>791.05883211678827</v>
      </c>
      <c r="R281" s="9" t="s">
        <v>42</v>
      </c>
      <c r="S281" s="13">
        <v>564</v>
      </c>
      <c r="T281" s="7" t="s">
        <v>43</v>
      </c>
      <c r="U281" s="5" t="s">
        <v>44</v>
      </c>
      <c r="V281" s="6">
        <f>'[1]V, inciso o) (OP)'!AD103</f>
        <v>42675</v>
      </c>
      <c r="W281" s="6">
        <f>'[1]V, inciso o) (OP)'!AE103</f>
        <v>42719</v>
      </c>
      <c r="X281" s="5" t="s">
        <v>733</v>
      </c>
      <c r="Y281" s="5" t="s">
        <v>172</v>
      </c>
      <c r="Z281" s="5" t="s">
        <v>843</v>
      </c>
      <c r="AA281" s="40" t="s">
        <v>40</v>
      </c>
      <c r="AB281" s="5" t="s">
        <v>40</v>
      </c>
    </row>
    <row r="282" spans="1:28" ht="67.900000000000006" customHeight="1">
      <c r="A282" s="5">
        <v>2016</v>
      </c>
      <c r="B282" s="7" t="s">
        <v>800</v>
      </c>
      <c r="C282" s="79" t="str">
        <f>'[1]V, inciso p) (OP)'!D138</f>
        <v>DOPI-MUN-RM-IM-CI-225-2016</v>
      </c>
      <c r="D282" s="12">
        <f>'[1]V, inciso p) (OP)'!AD138</f>
        <v>42727</v>
      </c>
      <c r="E282" s="7" t="str">
        <f>'[1]V, inciso p) (OP)'!AL138</f>
        <v>Rehabilitación de la Unidad Administrativa Las Águilas (cubierta, pintura, instalaciones eléctricas, instalaciones hidráulicas, nave central, impermeabilización, accesibilidad, baños, puertas de acceso principal) Frente 2</v>
      </c>
      <c r="F282" s="7" t="s">
        <v>184</v>
      </c>
      <c r="G282" s="8">
        <f>'[1]V, inciso p) (OP)'!AG138</f>
        <v>2484449.75</v>
      </c>
      <c r="H282" s="7" t="s">
        <v>194</v>
      </c>
      <c r="I282" s="5" t="str">
        <f>'[1]V, inciso p) (OP)'!T138</f>
        <v>Edgardo</v>
      </c>
      <c r="J282" s="5" t="str">
        <f>'[1]V, inciso p) (OP)'!U138</f>
        <v>Zúñiga</v>
      </c>
      <c r="K282" s="5" t="str">
        <f>'[1]V, inciso p) (OP)'!V138</f>
        <v>Beristaín</v>
      </c>
      <c r="L282" s="7" t="str">
        <f>'[1]V, inciso p) (OP)'!W138</f>
        <v>Proyección Integral Zure, S.A. de C.V.</v>
      </c>
      <c r="M282" s="5" t="str">
        <f>'[1]V, inciso p) (OP)'!X138</f>
        <v>PIZ070717DX6</v>
      </c>
      <c r="N282" s="8">
        <f>'[1]V, inciso p) (OP)'!AG138</f>
        <v>2484449.75</v>
      </c>
      <c r="O282" s="77" t="s">
        <v>40</v>
      </c>
      <c r="P282" s="9" t="s">
        <v>844</v>
      </c>
      <c r="Q282" s="10">
        <f>N282/2982.85</f>
        <v>832.9113934659805</v>
      </c>
      <c r="R282" s="9" t="s">
        <v>42</v>
      </c>
      <c r="S282" s="13">
        <v>985622</v>
      </c>
      <c r="T282" s="7" t="s">
        <v>43</v>
      </c>
      <c r="U282" s="5" t="s">
        <v>565</v>
      </c>
      <c r="V282" s="6">
        <f>'[1]V, inciso p) (OP)'!AM138</f>
        <v>42730</v>
      </c>
      <c r="W282" s="6">
        <f>'[1]V, inciso p) (OP)'!AN138</f>
        <v>42820</v>
      </c>
      <c r="X282" s="5" t="s">
        <v>733</v>
      </c>
      <c r="Y282" s="5" t="s">
        <v>172</v>
      </c>
      <c r="Z282" s="5" t="s">
        <v>843</v>
      </c>
      <c r="AA282" s="40" t="s">
        <v>40</v>
      </c>
      <c r="AB282" s="5" t="s">
        <v>40</v>
      </c>
    </row>
    <row r="283" spans="1:28" ht="40.5">
      <c r="A283" s="5">
        <v>2016</v>
      </c>
      <c r="B283" s="7" t="s">
        <v>800</v>
      </c>
      <c r="C283" s="79" t="str">
        <f>'[1]V, inciso p) (OP)'!D139</f>
        <v>DOPI-MUN-RM-MOV-CI-226-2016</v>
      </c>
      <c r="D283" s="12">
        <f>'[1]V, inciso p) (OP)'!AD139</f>
        <v>42727</v>
      </c>
      <c r="E283" s="7" t="str">
        <f>'[1]V, inciso p) (OP)'!AL139</f>
        <v>Rehabilitación de ciclovía Santa Margarita e iluminación, municipio de Zapopan, Jalisco.</v>
      </c>
      <c r="F283" s="7" t="s">
        <v>184</v>
      </c>
      <c r="G283" s="8">
        <f>'[1]V, inciso p) (OP)'!AG139</f>
        <v>3949999.31</v>
      </c>
      <c r="H283" s="7" t="s">
        <v>845</v>
      </c>
      <c r="I283" s="5" t="str">
        <f>'[1]V, inciso p) (OP)'!T139</f>
        <v>Bernardo</v>
      </c>
      <c r="J283" s="5" t="str">
        <f>'[1]V, inciso p) (OP)'!U139</f>
        <v>Saenz</v>
      </c>
      <c r="K283" s="5" t="str">
        <f>'[1]V, inciso p) (OP)'!V139</f>
        <v>Barba</v>
      </c>
      <c r="L283" s="7" t="str">
        <f>'[1]V, inciso p) (OP)'!W139</f>
        <v>Grupo Edificador Mayab, S.A. de C.V.</v>
      </c>
      <c r="M283" s="5" t="str">
        <f>'[1]V, inciso p) (OP)'!X139</f>
        <v>GEM070112PX8</v>
      </c>
      <c r="N283" s="8">
        <f>'[1]V, inciso p) (OP)'!AG139</f>
        <v>3949999.31</v>
      </c>
      <c r="O283" s="77" t="s">
        <v>40</v>
      </c>
      <c r="P283" s="9" t="s">
        <v>846</v>
      </c>
      <c r="Q283" s="10">
        <f>N283/6380</f>
        <v>619.12214890282132</v>
      </c>
      <c r="R283" s="9" t="s">
        <v>42</v>
      </c>
      <c r="S283" s="13">
        <v>25633</v>
      </c>
      <c r="T283" s="7" t="s">
        <v>43</v>
      </c>
      <c r="U283" s="5" t="s">
        <v>565</v>
      </c>
      <c r="V283" s="6">
        <f>'[1]V, inciso p) (OP)'!AM139</f>
        <v>42730</v>
      </c>
      <c r="W283" s="6">
        <f>'[1]V, inciso p) (OP)'!AN139</f>
        <v>42820</v>
      </c>
      <c r="X283" s="5" t="s">
        <v>572</v>
      </c>
      <c r="Y283" s="5" t="s">
        <v>573</v>
      </c>
      <c r="Z283" s="5" t="s">
        <v>574</v>
      </c>
      <c r="AA283" s="40" t="s">
        <v>40</v>
      </c>
      <c r="AB283" s="5" t="s">
        <v>40</v>
      </c>
    </row>
    <row r="284" spans="1:28" ht="73.150000000000006" customHeight="1">
      <c r="A284" s="5">
        <v>2016</v>
      </c>
      <c r="B284" s="5" t="s">
        <v>64</v>
      </c>
      <c r="C284" s="79" t="str">
        <f>'[1]V, inciso o) (OP)'!C104</f>
        <v>DOPI-MUN-RM-PROY-AD-227-2016</v>
      </c>
      <c r="D284" s="12">
        <f>'[1]V, inciso o) (OP)'!V104</f>
        <v>42706</v>
      </c>
      <c r="E284" s="7" t="str">
        <f>'[1]V, inciso o) (OP)'!AA104</f>
        <v>Estudios y proyecto ejecutivo para estructuras de regulación hidráulica; Diagnóstico, diseño y proyectos hidráulicos 2016, tercera etapa, de diferentes redes de agua potable y alcantarillado, municipio de Zapopan, Jalisco.</v>
      </c>
      <c r="F284" s="7" t="s">
        <v>184</v>
      </c>
      <c r="G284" s="8">
        <f>'[1]V, inciso o) (OP)'!Y104</f>
        <v>1199639.3999999999</v>
      </c>
      <c r="H284" s="7" t="s">
        <v>583</v>
      </c>
      <c r="I284" s="5" t="str">
        <f>'[1]V, inciso o) (OP)'!M104</f>
        <v>VICTOR MARTIN</v>
      </c>
      <c r="J284" s="5" t="str">
        <f>'[1]V, inciso o) (OP)'!N104</f>
        <v>LOPEZ</v>
      </c>
      <c r="K284" s="5" t="str">
        <f>'[1]V, inciso o) (OP)'!O104</f>
        <v>SANTOS</v>
      </c>
      <c r="L284" s="7" t="str">
        <f>'[1]V, inciso o) (OP)'!P104</f>
        <v>CONSTRUCCIONES CITUS, S.A. DE C.V.</v>
      </c>
      <c r="M284" s="5" t="str">
        <f>'[1]V, inciso o) (OP)'!Q104</f>
        <v>CCI020411HS5</v>
      </c>
      <c r="N284" s="8">
        <f>'[1]V, inciso o) (OP)'!Y104</f>
        <v>1199639.3999999999</v>
      </c>
      <c r="O284" s="77" t="s">
        <v>40</v>
      </c>
      <c r="P284" s="9" t="s">
        <v>847</v>
      </c>
      <c r="Q284" s="10">
        <f>N284</f>
        <v>1199639.3999999999</v>
      </c>
      <c r="R284" s="9" t="s">
        <v>232</v>
      </c>
      <c r="S284" s="13" t="s">
        <v>232</v>
      </c>
      <c r="T284" s="7" t="s">
        <v>43</v>
      </c>
      <c r="U284" s="5" t="s">
        <v>565</v>
      </c>
      <c r="V284" s="6">
        <f>'[1]V, inciso o) (OP)'!AD104</f>
        <v>42709</v>
      </c>
      <c r="W284" s="6">
        <f>'[1]V, inciso o) (OP)'!AE104</f>
        <v>42859</v>
      </c>
      <c r="X284" s="5" t="s">
        <v>848</v>
      </c>
      <c r="Y284" s="5" t="s">
        <v>244</v>
      </c>
      <c r="Z284" s="5" t="s">
        <v>245</v>
      </c>
      <c r="AA284" s="40" t="s">
        <v>40</v>
      </c>
      <c r="AB284" s="5" t="s">
        <v>40</v>
      </c>
    </row>
    <row r="285" spans="1:28" ht="40.5">
      <c r="A285" s="5">
        <v>2016</v>
      </c>
      <c r="B285" s="7" t="str">
        <f>'[1]V, inciso p) (OP)'!B140</f>
        <v>Licitación por Invitación Restringida</v>
      </c>
      <c r="C285" s="79" t="str">
        <f>'[1]V, inciso p) (OP)'!D140</f>
        <v>DOPI-MUN-R33-AP-CI-228-2016</v>
      </c>
      <c r="D285" s="12">
        <f>'[1]V, inciso p) (OP)'!AD140</f>
        <v>42727</v>
      </c>
      <c r="E285" s="7" t="str">
        <f>'[1]V, inciso p) (OP)'!AL140</f>
        <v xml:space="preserve">Perforación y equipamiento de pozo en la localidad de Los Patios, en el municipio de Zapopan, Jalisco. </v>
      </c>
      <c r="F285" s="7" t="s">
        <v>739</v>
      </c>
      <c r="G285" s="8">
        <f>'[1]V, inciso p) (OP)'!AG140</f>
        <v>6196741.5800000001</v>
      </c>
      <c r="H285" s="7" t="str">
        <f>'[1]V, inciso p) (OP)'!AS140</f>
        <v>Localidad Los Patios</v>
      </c>
      <c r="I285" s="5" t="str">
        <f>'[1]V, inciso p) (OP)'!T140</f>
        <v>Karla Mariana</v>
      </c>
      <c r="J285" s="5" t="str">
        <f>'[1]V, inciso p) (OP)'!U140</f>
        <v>Méndez</v>
      </c>
      <c r="K285" s="5" t="str">
        <f>'[1]V, inciso p) (OP)'!V140</f>
        <v>Rodríguez</v>
      </c>
      <c r="L285" s="7" t="str">
        <f>'[1]V, inciso p) (OP)'!W140</f>
        <v>Grupo la Fuente, S.A. de C.V.</v>
      </c>
      <c r="M285" s="5" t="str">
        <f>'[1]V, inciso p) (OP)'!X140</f>
        <v>GFU021009BC1</v>
      </c>
      <c r="N285" s="8">
        <f>'[1]V, inciso p) (OP)'!AG140</f>
        <v>6196741.5800000001</v>
      </c>
      <c r="O285" s="77" t="s">
        <v>40</v>
      </c>
      <c r="P285" s="9" t="s">
        <v>51</v>
      </c>
      <c r="Q285" s="10">
        <f>N285</f>
        <v>6196741.5800000001</v>
      </c>
      <c r="R285" s="9" t="s">
        <v>42</v>
      </c>
      <c r="S285" s="13">
        <v>39</v>
      </c>
      <c r="T285" s="7" t="s">
        <v>43</v>
      </c>
      <c r="U285" s="5" t="s">
        <v>565</v>
      </c>
      <c r="V285" s="6">
        <f>'[1]V, inciso p) (OP)'!AM140</f>
        <v>42730</v>
      </c>
      <c r="W285" s="6">
        <f>'[1]V, inciso p) (OP)'!AN140</f>
        <v>42850</v>
      </c>
      <c r="X285" s="5" t="s">
        <v>723</v>
      </c>
      <c r="Y285" s="5" t="s">
        <v>724</v>
      </c>
      <c r="Z285" s="5" t="s">
        <v>145</v>
      </c>
      <c r="AA285" s="40" t="s">
        <v>40</v>
      </c>
      <c r="AB285" s="5" t="s">
        <v>40</v>
      </c>
    </row>
    <row r="286" spans="1:28" ht="54">
      <c r="A286" s="5">
        <v>2016</v>
      </c>
      <c r="B286" s="7" t="str">
        <f>'[1]V, inciso p) (OP)'!B141</f>
        <v>Licitación por Invitación Restringida</v>
      </c>
      <c r="C286" s="79" t="str">
        <f>'[1]V, inciso p) (OP)'!D141</f>
        <v>DOPI-MUN-R33-AP-CI-229-2016</v>
      </c>
      <c r="D286" s="12">
        <f>'[1]V, inciso p) (OP)'!AD141</f>
        <v>42727</v>
      </c>
      <c r="E286" s="7" t="str">
        <f>'[1]V, inciso p) (OP)'!AL141</f>
        <v>Construcción de línea de conducción de agua potable de 3" de tubería galvanizada, en la localidad San José, en el municipio de Zapopan, Jalisco.</v>
      </c>
      <c r="F286" s="7" t="s">
        <v>739</v>
      </c>
      <c r="G286" s="8">
        <f>'[1]V, inciso p) (OP)'!AG141</f>
        <v>3453426.13</v>
      </c>
      <c r="H286" s="7" t="str">
        <f>'[1]V, inciso p) (OP)'!AS141</f>
        <v>Localidad San José</v>
      </c>
      <c r="I286" s="5" t="str">
        <f>'[1]V, inciso p) (OP)'!T141</f>
        <v>José Antonio</v>
      </c>
      <c r="J286" s="5" t="str">
        <f>'[1]V, inciso p) (OP)'!U141</f>
        <v>Álvarez</v>
      </c>
      <c r="K286" s="5" t="str">
        <f>'[1]V, inciso p) (OP)'!V141</f>
        <v>García</v>
      </c>
      <c r="L286" s="7" t="str">
        <f>'[1]V, inciso p) (OP)'!W141</f>
        <v>Urcoma 1970, S.A. de C.V.</v>
      </c>
      <c r="M286" s="5" t="str">
        <f>'[1]V, inciso p) (OP)'!X141</f>
        <v>UMN160125869</v>
      </c>
      <c r="N286" s="8">
        <f>'[1]V, inciso p) (OP)'!AG141</f>
        <v>3453426.13</v>
      </c>
      <c r="O286" s="77" t="s">
        <v>40</v>
      </c>
      <c r="P286" s="9" t="s">
        <v>849</v>
      </c>
      <c r="Q286" s="10">
        <f>N286/3200</f>
        <v>1079.1956656249999</v>
      </c>
      <c r="R286" s="9" t="s">
        <v>42</v>
      </c>
      <c r="S286" s="13">
        <v>71</v>
      </c>
      <c r="T286" s="7" t="s">
        <v>43</v>
      </c>
      <c r="U286" s="5" t="s">
        <v>565</v>
      </c>
      <c r="V286" s="6">
        <f>'[1]V, inciso p) (OP)'!AM141</f>
        <v>42730</v>
      </c>
      <c r="W286" s="6">
        <f>'[1]V, inciso p) (OP)'!AN141</f>
        <v>42850</v>
      </c>
      <c r="X286" s="5" t="s">
        <v>723</v>
      </c>
      <c r="Y286" s="5" t="s">
        <v>724</v>
      </c>
      <c r="Z286" s="5" t="s">
        <v>145</v>
      </c>
      <c r="AA286" s="40" t="s">
        <v>40</v>
      </c>
      <c r="AB286" s="5" t="s">
        <v>40</v>
      </c>
    </row>
    <row r="287" spans="1:28" ht="54">
      <c r="A287" s="5">
        <v>2016</v>
      </c>
      <c r="B287" s="7" t="str">
        <f>'[1]V, inciso p) (OP)'!B142</f>
        <v>Licitación por Invitación Restringida</v>
      </c>
      <c r="C287" s="79" t="str">
        <f>'[1]V, inciso p) (OP)'!D142</f>
        <v>DOPI-MUN-R33-AP-CI-230-2016</v>
      </c>
      <c r="D287" s="12">
        <f>'[1]V, inciso p) (OP)'!AD142</f>
        <v>42727</v>
      </c>
      <c r="E287" s="7" t="str">
        <f>'[1]V, inciso p) (OP)'!AL142</f>
        <v>Construcción de línea de agua potable en la Carretera a San Esteban de Carretera a Saltillo a calle Norte, en la localidad de San Isidro, en el municipio de Zapopan, Jalisco.</v>
      </c>
      <c r="F287" s="7" t="s">
        <v>739</v>
      </c>
      <c r="G287" s="8">
        <f>'[1]V, inciso p) (OP)'!AG142</f>
        <v>1996402.43</v>
      </c>
      <c r="H287" s="7" t="str">
        <f>'[1]V, inciso p) (OP)'!AS142</f>
        <v>Localidad San Isidro</v>
      </c>
      <c r="I287" s="5" t="str">
        <f>'[1]V, inciso p) (OP)'!T142</f>
        <v>Ernesto</v>
      </c>
      <c r="J287" s="5" t="str">
        <f>'[1]V, inciso p) (OP)'!U142</f>
        <v>Zamora</v>
      </c>
      <c r="K287" s="5" t="str">
        <f>'[1]V, inciso p) (OP)'!V142</f>
        <v>Corona</v>
      </c>
      <c r="L287" s="7" t="str">
        <f>'[1]V, inciso p) (OP)'!W142</f>
        <v>Keops Ingenieria y Construccion, S.A. de C.V.</v>
      </c>
      <c r="M287" s="5" t="str">
        <f>'[1]V, inciso p) (OP)'!X142</f>
        <v>KIC040617JIA</v>
      </c>
      <c r="N287" s="8">
        <f>'[1]V, inciso p) (OP)'!AG142</f>
        <v>1996402.43</v>
      </c>
      <c r="O287" s="77" t="s">
        <v>40</v>
      </c>
      <c r="P287" s="9" t="s">
        <v>850</v>
      </c>
      <c r="Q287" s="10">
        <f>N287/733</f>
        <v>2723.604952251023</v>
      </c>
      <c r="R287" s="9" t="s">
        <v>42</v>
      </c>
      <c r="S287" s="13">
        <v>1446</v>
      </c>
      <c r="T287" s="7" t="s">
        <v>43</v>
      </c>
      <c r="U287" s="5" t="s">
        <v>565</v>
      </c>
      <c r="V287" s="6">
        <f>'[1]V, inciso p) (OP)'!AM142</f>
        <v>42730</v>
      </c>
      <c r="W287" s="6">
        <f>'[1]V, inciso p) (OP)'!AN142</f>
        <v>42820</v>
      </c>
      <c r="X287" s="5" t="s">
        <v>699</v>
      </c>
      <c r="Y287" s="5" t="s">
        <v>513</v>
      </c>
      <c r="Z287" s="5" t="s">
        <v>280</v>
      </c>
      <c r="AA287" s="40" t="s">
        <v>40</v>
      </c>
      <c r="AB287" s="5" t="s">
        <v>40</v>
      </c>
    </row>
    <row r="288" spans="1:28" ht="40.5">
      <c r="A288" s="5">
        <v>2016</v>
      </c>
      <c r="B288" s="7" t="str">
        <f>'[1]V, inciso p) (OP)'!B143</f>
        <v>Licitación por Invitación Restringida</v>
      </c>
      <c r="C288" s="79" t="str">
        <f>'[1]V, inciso p) (OP)'!D143</f>
        <v>DOPI-MUN-R33-AP-CI-231-2016</v>
      </c>
      <c r="D288" s="12">
        <f>'[1]V, inciso p) (OP)'!AD143</f>
        <v>42727</v>
      </c>
      <c r="E288" s="7" t="str">
        <f>'[1]V, inciso p) (OP)'!AL143</f>
        <v>Construcción de la primera etapa de línea de agua potable en la colonia Colinas del Rio, en el municipio de Zapopan, Jalisco.</v>
      </c>
      <c r="F288" s="7" t="s">
        <v>739</v>
      </c>
      <c r="G288" s="8">
        <f>'[1]V, inciso p) (OP)'!AG143</f>
        <v>3589467.88</v>
      </c>
      <c r="H288" s="7" t="str">
        <f>'[1]V, inciso p) (OP)'!AS143</f>
        <v>Colonia Colinas del Rio</v>
      </c>
      <c r="I288" s="5" t="str">
        <f>'[1]V, inciso p) (OP)'!T143</f>
        <v>Adalberto</v>
      </c>
      <c r="J288" s="5" t="str">
        <f>'[1]V, inciso p) (OP)'!U143</f>
        <v>Medina</v>
      </c>
      <c r="K288" s="5" t="str">
        <f>'[1]V, inciso p) (OP)'!V143</f>
        <v>Morales</v>
      </c>
      <c r="L288" s="7" t="str">
        <f>'[1]V, inciso p) (OP)'!W143</f>
        <v>Urdem, S.A. de C.V.</v>
      </c>
      <c r="M288" s="5" t="str">
        <f>'[1]V, inciso p) (OP)'!X143</f>
        <v>URD130830U21</v>
      </c>
      <c r="N288" s="8">
        <f>'[1]V, inciso p) (OP)'!AG143</f>
        <v>3589467.88</v>
      </c>
      <c r="O288" s="77" t="s">
        <v>40</v>
      </c>
      <c r="P288" s="9" t="s">
        <v>851</v>
      </c>
      <c r="Q288" s="10">
        <f>N288/2918</f>
        <v>1230.1123646333103</v>
      </c>
      <c r="R288" s="9" t="s">
        <v>42</v>
      </c>
      <c r="S288" s="13">
        <v>125</v>
      </c>
      <c r="T288" s="7" t="s">
        <v>43</v>
      </c>
      <c r="U288" s="5" t="s">
        <v>565</v>
      </c>
      <c r="V288" s="6">
        <f>'[1]V, inciso p) (OP)'!AM143</f>
        <v>42730</v>
      </c>
      <c r="W288" s="6">
        <f>'[1]V, inciso p) (OP)'!AN143</f>
        <v>42850</v>
      </c>
      <c r="X288" s="5" t="s">
        <v>699</v>
      </c>
      <c r="Y288" s="5" t="s">
        <v>513</v>
      </c>
      <c r="Z288" s="5" t="s">
        <v>280</v>
      </c>
      <c r="AA288" s="40" t="s">
        <v>40</v>
      </c>
      <c r="AB288" s="5" t="s">
        <v>40</v>
      </c>
    </row>
    <row r="289" spans="1:28" ht="67.5">
      <c r="A289" s="5">
        <v>2016</v>
      </c>
      <c r="B289" s="7" t="str">
        <f>'[1]V, inciso p) (OP)'!B144</f>
        <v>Licitación por Invitación Restringida</v>
      </c>
      <c r="C289" s="79" t="str">
        <f>'[1]V, inciso p) (OP)'!D144</f>
        <v>DOPI-MUN-R33-PAV-CI-232-2016</v>
      </c>
      <c r="D289" s="12">
        <f>'[1]V, inciso p) (OP)'!AD144</f>
        <v>42727</v>
      </c>
      <c r="E289" s="7" t="str">
        <f>'[1]V, inciso p) (OP)'!AL144</f>
        <v>Pavimentación con concreto hidráulico, línea de agua potable, drenaje sanitario y alumbrado público, en la calle Abel Salgado, de Carretera a Saltillo a calle Ojo de Agua, en la colonia Agua Fría, municipio de Zapopan Jalisco, frente 1.</v>
      </c>
      <c r="F289" s="7" t="s">
        <v>739</v>
      </c>
      <c r="G289" s="8">
        <f>'[1]V, inciso p) (OP)'!AG144</f>
        <v>3867999.72</v>
      </c>
      <c r="H289" s="7" t="str">
        <f>'[1]V, inciso p) (OP)'!AS144</f>
        <v>Colonia Agua Fria</v>
      </c>
      <c r="I289" s="5" t="str">
        <f>'[1]V, inciso p) (OP)'!T144</f>
        <v>Edwin</v>
      </c>
      <c r="J289" s="5" t="str">
        <f>'[1]V, inciso p) (OP)'!U144</f>
        <v>Aguiar</v>
      </c>
      <c r="K289" s="5" t="str">
        <f>'[1]V, inciso p) (OP)'!V144</f>
        <v>Escatel</v>
      </c>
      <c r="L289" s="7" t="str">
        <f>'[1]V, inciso p) (OP)'!W144</f>
        <v>Manjarrez Urbanizaciones, S.A. de C.V.</v>
      </c>
      <c r="M289" s="5" t="str">
        <f>'[1]V, inciso p) (OP)'!X144</f>
        <v>MUR090325P33</v>
      </c>
      <c r="N289" s="8">
        <f>'[1]V, inciso p) (OP)'!AG144</f>
        <v>3867999.72</v>
      </c>
      <c r="O289" s="77" t="s">
        <v>40</v>
      </c>
      <c r="P289" s="9" t="s">
        <v>852</v>
      </c>
      <c r="Q289" s="10">
        <f>N289/1921.33</f>
        <v>2013.1886349559943</v>
      </c>
      <c r="R289" s="9" t="s">
        <v>42</v>
      </c>
      <c r="S289" s="13">
        <v>104</v>
      </c>
      <c r="T289" s="7" t="s">
        <v>43</v>
      </c>
      <c r="U289" s="5" t="s">
        <v>565</v>
      </c>
      <c r="V289" s="6">
        <f>'[1]V, inciso p) (OP)'!AM144</f>
        <v>42730</v>
      </c>
      <c r="W289" s="6">
        <f>'[1]V, inciso p) (OP)'!AN144</f>
        <v>42880</v>
      </c>
      <c r="X289" s="5" t="s">
        <v>699</v>
      </c>
      <c r="Y289" s="5" t="s">
        <v>513</v>
      </c>
      <c r="Z289" s="5" t="s">
        <v>280</v>
      </c>
      <c r="AA289" s="40" t="s">
        <v>40</v>
      </c>
      <c r="AB289" s="5" t="s">
        <v>40</v>
      </c>
    </row>
    <row r="290" spans="1:28" ht="67.5">
      <c r="A290" s="5">
        <v>2016</v>
      </c>
      <c r="B290" s="7" t="str">
        <f>'[1]V, inciso p) (OP)'!B145</f>
        <v>Licitación por Invitación Restringida</v>
      </c>
      <c r="C290" s="79" t="str">
        <f>'[1]V, inciso p) (OP)'!D145</f>
        <v>DOPI-MUN-R33-PAV-CI-233-2016</v>
      </c>
      <c r="D290" s="12">
        <f>'[1]V, inciso p) (OP)'!AD145</f>
        <v>42727</v>
      </c>
      <c r="E290" s="7" t="str">
        <f>'[1]V, inciso p) (OP)'!AL145</f>
        <v>Pavimentación con concreto hidráulico, línea de agua potable, drenaje sanitario y alumbrado público,  en la calle Abel Salgado, de Carretera a Saltillo a calle Ojo de Agua, en la colonia Agua Fría, municipio de Zapopan Jalisco, frente 2.</v>
      </c>
      <c r="F290" s="7" t="s">
        <v>739</v>
      </c>
      <c r="G290" s="8">
        <f>'[1]V, inciso p) (OP)'!AG145</f>
        <v>3638106.52</v>
      </c>
      <c r="H290" s="7" t="str">
        <f>'[1]V, inciso p) (OP)'!AS145</f>
        <v>Colonia Agua Fria</v>
      </c>
      <c r="I290" s="5" t="str">
        <f>'[1]V, inciso p) (OP)'!T145</f>
        <v>Clarissa Gabriela</v>
      </c>
      <c r="J290" s="5" t="str">
        <f>'[1]V, inciso p) (OP)'!U145</f>
        <v>Valdez</v>
      </c>
      <c r="K290" s="5" t="str">
        <f>'[1]V, inciso p) (OP)'!V145</f>
        <v>Manjarrez</v>
      </c>
      <c r="L290" s="7" t="str">
        <f>'[1]V, inciso p) (OP)'!W145</f>
        <v>Tekton Grupo Empresarial, S.A. de C.V.</v>
      </c>
      <c r="M290" s="5" t="str">
        <f>'[1]V, inciso p) (OP)'!X145</f>
        <v>TGE101215JI6</v>
      </c>
      <c r="N290" s="8">
        <f>'[1]V, inciso p) (OP)'!AG145</f>
        <v>3638106.52</v>
      </c>
      <c r="O290" s="77" t="s">
        <v>40</v>
      </c>
      <c r="P290" s="9" t="s">
        <v>853</v>
      </c>
      <c r="Q290" s="10">
        <f>N290/1754.05</f>
        <v>2074.1179099797614</v>
      </c>
      <c r="R290" s="9" t="s">
        <v>42</v>
      </c>
      <c r="S290" s="13">
        <v>104</v>
      </c>
      <c r="T290" s="7" t="s">
        <v>43</v>
      </c>
      <c r="U290" s="5" t="s">
        <v>565</v>
      </c>
      <c r="V290" s="6">
        <f>'[1]V, inciso p) (OP)'!AM145</f>
        <v>42730</v>
      </c>
      <c r="W290" s="6">
        <f>'[1]V, inciso p) (OP)'!AN145</f>
        <v>42880</v>
      </c>
      <c r="X290" s="5" t="s">
        <v>699</v>
      </c>
      <c r="Y290" s="5" t="s">
        <v>513</v>
      </c>
      <c r="Z290" s="5" t="s">
        <v>280</v>
      </c>
      <c r="AA290" s="40" t="s">
        <v>40</v>
      </c>
      <c r="AB290" s="5" t="s">
        <v>40</v>
      </c>
    </row>
    <row r="291" spans="1:28" ht="40.5">
      <c r="A291" s="5">
        <v>2016</v>
      </c>
      <c r="B291" s="5" t="s">
        <v>64</v>
      </c>
      <c r="C291" s="79" t="str">
        <f>'[1]V, inciso o) (OP)'!C105</f>
        <v>DOPI-MUN-RM-MOV-AD-234-2016</v>
      </c>
      <c r="D291" s="12">
        <f>'[1]V, inciso o) (OP)'!V105</f>
        <v>42674</v>
      </c>
      <c r="E291" s="7" t="str">
        <f>'[1]V, inciso o) (OP)'!AA105</f>
        <v>Señalización vertical y horizontal en diferentes obras del municipio de Zapopan, Jalisco, frente 2.</v>
      </c>
      <c r="F291" s="7" t="s">
        <v>184</v>
      </c>
      <c r="G291" s="8">
        <f>'[1]V, inciso o) (OP)'!Y105</f>
        <v>1342102.7</v>
      </c>
      <c r="H291" s="7" t="s">
        <v>225</v>
      </c>
      <c r="I291" s="5" t="str">
        <f>'[1]V, inciso o) (OP)'!M105</f>
        <v xml:space="preserve">HUGO RAFAEL </v>
      </c>
      <c r="J291" s="5" t="str">
        <f>'[1]V, inciso o) (OP)'!N105</f>
        <v>CABRERA</v>
      </c>
      <c r="K291" s="5" t="str">
        <f>'[1]V, inciso o) (OP)'!O105</f>
        <v>ORTINEZ</v>
      </c>
      <c r="L291" s="7" t="str">
        <f>'[1]V, inciso o) (OP)'!P105</f>
        <v>HUGO RAFAEL CABRERA ORTINEZ</v>
      </c>
      <c r="M291" s="5" t="str">
        <f>'[1]V, inciso o) (OP)'!Q105</f>
        <v>CAOH671024T38</v>
      </c>
      <c r="N291" s="8">
        <f>'[1]V, inciso o) (OP)'!Y105</f>
        <v>1342102.7</v>
      </c>
      <c r="O291" s="77" t="s">
        <v>40</v>
      </c>
      <c r="P291" s="9" t="s">
        <v>854</v>
      </c>
      <c r="Q291" s="10">
        <f>N291</f>
        <v>1342102.7</v>
      </c>
      <c r="R291" s="9" t="s">
        <v>42</v>
      </c>
      <c r="S291" s="13">
        <v>265840</v>
      </c>
      <c r="T291" s="7" t="s">
        <v>43</v>
      </c>
      <c r="U291" s="5" t="s">
        <v>44</v>
      </c>
      <c r="V291" s="6">
        <f>'[1]V, inciso o) (OP)'!AD105</f>
        <v>42675</v>
      </c>
      <c r="W291" s="6">
        <f>'[1]V, inciso o) (OP)'!AE105</f>
        <v>42735</v>
      </c>
      <c r="X291" s="5" t="s">
        <v>591</v>
      </c>
      <c r="Y291" s="5" t="s">
        <v>46</v>
      </c>
      <c r="Z291" s="5" t="s">
        <v>47</v>
      </c>
      <c r="AA291" s="40" t="s">
        <v>40</v>
      </c>
      <c r="AB291" s="5" t="s">
        <v>40</v>
      </c>
    </row>
    <row r="292" spans="1:28" ht="40.5">
      <c r="A292" s="5">
        <v>2016</v>
      </c>
      <c r="B292" s="5" t="s">
        <v>64</v>
      </c>
      <c r="C292" s="79" t="str">
        <f>'[1]V, inciso o) (OP)'!C106</f>
        <v>DOPI-MUN-RM-IM-AD-235-2016</v>
      </c>
      <c r="D292" s="12">
        <f>'[1]V, inciso o) (OP)'!V106</f>
        <v>42664</v>
      </c>
      <c r="E292" s="7" t="str">
        <f>'[1]V, inciso o) (OP)'!AA106</f>
        <v>Construcción de caseta de vigilancia en el parque Metropolitano, municipio de Zapopan, Jalisco</v>
      </c>
      <c r="F292" s="7" t="s">
        <v>184</v>
      </c>
      <c r="G292" s="8">
        <f>'[1]V, inciso o) (OP)'!Y106</f>
        <v>915870.14</v>
      </c>
      <c r="H292" s="7" t="s">
        <v>855</v>
      </c>
      <c r="I292" s="5" t="str">
        <f>'[1]V, inciso o) (OP)'!M106</f>
        <v>HIRAM</v>
      </c>
      <c r="J292" s="5" t="str">
        <f>'[1]V, inciso o) (OP)'!N106</f>
        <v>SANCHEZ</v>
      </c>
      <c r="K292" s="5" t="str">
        <f>'[1]V, inciso o) (OP)'!O106</f>
        <v>LUGO</v>
      </c>
      <c r="L292" s="7" t="str">
        <f>'[1]V, inciso o) (OP)'!P106</f>
        <v>CONSTRUSANLU URBANIZADORA, S.A. DE C.V.</v>
      </c>
      <c r="M292" s="5" t="str">
        <f>'[1]V, inciso o) (OP)'!Q106</f>
        <v>CUR130430U59</v>
      </c>
      <c r="N292" s="8">
        <f>'[1]V, inciso o) (OP)'!Y106</f>
        <v>915870.14</v>
      </c>
      <c r="O292" s="77" t="s">
        <v>40</v>
      </c>
      <c r="P292" s="9" t="s">
        <v>856</v>
      </c>
      <c r="Q292" s="10">
        <f>N292/96</f>
        <v>9540.3139583333341</v>
      </c>
      <c r="R292" s="9" t="s">
        <v>42</v>
      </c>
      <c r="S292" s="13">
        <v>25830</v>
      </c>
      <c r="T292" s="7" t="s">
        <v>43</v>
      </c>
      <c r="U292" s="5" t="s">
        <v>44</v>
      </c>
      <c r="V292" s="6">
        <f>'[1]V, inciso o) (OP)'!AD106</f>
        <v>42667</v>
      </c>
      <c r="W292" s="6">
        <f>'[1]V, inciso o) (OP)'!AE106</f>
        <v>42704</v>
      </c>
      <c r="X292" s="5" t="s">
        <v>701</v>
      </c>
      <c r="Y292" s="5" t="s">
        <v>524</v>
      </c>
      <c r="Z292" s="5" t="s">
        <v>254</v>
      </c>
      <c r="AA292" s="40" t="s">
        <v>40</v>
      </c>
      <c r="AB292" s="5" t="s">
        <v>40</v>
      </c>
    </row>
    <row r="293" spans="1:28" ht="40.5">
      <c r="A293" s="5">
        <v>2016</v>
      </c>
      <c r="B293" s="5" t="s">
        <v>64</v>
      </c>
      <c r="C293" s="79" t="str">
        <f>'[1]V, inciso o) (OP)'!C107</f>
        <v>DOPI-MUN-RM-PROY-AD-236-2016</v>
      </c>
      <c r="D293" s="12">
        <f>'[1]V, inciso o) (OP)'!V107</f>
        <v>42664</v>
      </c>
      <c r="E293" s="7" t="str">
        <f>'[1]V, inciso o) (OP)'!AA107</f>
        <v>Estudios de impacto ambiental, diagnostico de impacto vial y estudio de impacto urbano, frente 1, municipio de Zapopan, Jalisco</v>
      </c>
      <c r="F293" s="7" t="s">
        <v>184</v>
      </c>
      <c r="G293" s="8">
        <f>'[1]V, inciso o) (OP)'!Y107</f>
        <v>556069.19999999995</v>
      </c>
      <c r="H293" s="7" t="s">
        <v>225</v>
      </c>
      <c r="I293" s="5" t="str">
        <f>'[1]V, inciso o) (OP)'!M107</f>
        <v>JUAN RAMON</v>
      </c>
      <c r="J293" s="5" t="str">
        <f>'[1]V, inciso o) (OP)'!N107</f>
        <v>RAMIREZ</v>
      </c>
      <c r="K293" s="5" t="str">
        <f>'[1]V, inciso o) (OP)'!O107</f>
        <v>ALATORRE</v>
      </c>
      <c r="L293" s="7" t="str">
        <f>'[1]V, inciso o) (OP)'!P107</f>
        <v>QUERCUS GEOSOLUCIONES, S.A. DE C.V.</v>
      </c>
      <c r="M293" s="5" t="str">
        <f>'[1]V, inciso o) (OP)'!Q107</f>
        <v>QGE080213988</v>
      </c>
      <c r="N293" s="8">
        <f>'[1]V, inciso o) (OP)'!Y107</f>
        <v>556069.19999999995</v>
      </c>
      <c r="O293" s="77" t="s">
        <v>40</v>
      </c>
      <c r="P293" s="9" t="s">
        <v>847</v>
      </c>
      <c r="Q293" s="10">
        <f>N293</f>
        <v>556069.19999999995</v>
      </c>
      <c r="R293" s="9" t="s">
        <v>42</v>
      </c>
      <c r="S293" s="13" t="s">
        <v>232</v>
      </c>
      <c r="T293" s="7" t="s">
        <v>231</v>
      </c>
      <c r="U293" s="5" t="s">
        <v>44</v>
      </c>
      <c r="V293" s="6">
        <f>'[1]V, inciso o) (OP)'!AD107</f>
        <v>42667</v>
      </c>
      <c r="W293" s="6">
        <f>'[1]V, inciso o) (OP)'!AE107</f>
        <v>42735</v>
      </c>
      <c r="X293" s="5" t="s">
        <v>857</v>
      </c>
      <c r="Y293" s="5" t="s">
        <v>840</v>
      </c>
      <c r="Z293" s="5" t="s">
        <v>235</v>
      </c>
      <c r="AA293" s="40" t="s">
        <v>40</v>
      </c>
      <c r="AB293" s="5" t="s">
        <v>40</v>
      </c>
    </row>
    <row r="294" spans="1:28" ht="54">
      <c r="A294" s="5">
        <v>2016</v>
      </c>
      <c r="B294" s="5" t="s">
        <v>64</v>
      </c>
      <c r="C294" s="79" t="str">
        <f>'[1]V, inciso o) (OP)'!C108</f>
        <v>DOPI-MUN-RM-PAV-AD-237-2016</v>
      </c>
      <c r="D294" s="12">
        <f>'[1]V, inciso o) (OP)'!V108</f>
        <v>42664</v>
      </c>
      <c r="E294" s="7" t="str">
        <f>'[1]V, inciso o) (OP)'!AA108</f>
        <v>Construcción de pavimento de concreto hidráulico, banquetas, adecuaciones de la red sanitaria e hidráulica en la Av. D, colonia El Tigre II, municipio de Zapopan, Jalisco, tramo 1.</v>
      </c>
      <c r="F294" s="7" t="s">
        <v>184</v>
      </c>
      <c r="G294" s="8">
        <f>'[1]V, inciso o) (OP)'!Y108</f>
        <v>1480216.87</v>
      </c>
      <c r="H294" s="7" t="s">
        <v>858</v>
      </c>
      <c r="I294" s="5" t="str">
        <f>'[1]V, inciso o) (OP)'!M108</f>
        <v>JOSE SERGIO</v>
      </c>
      <c r="J294" s="5" t="str">
        <f>'[1]V, inciso o) (OP)'!N108</f>
        <v>CARMONA</v>
      </c>
      <c r="K294" s="5" t="str">
        <f>'[1]V, inciso o) (OP)'!O108</f>
        <v>RUVALCABA</v>
      </c>
      <c r="L294" s="7" t="str">
        <f>'[1]V, inciso o) (OP)'!P108</f>
        <v>QUANTUM CONSTRUCTORES Y PROYECTOS, S.A. DE C.V.</v>
      </c>
      <c r="M294" s="5" t="str">
        <f>'[1]V, inciso o) (OP)'!Q108</f>
        <v>QCP1307172S6</v>
      </c>
      <c r="N294" s="8">
        <f>'[1]V, inciso o) (OP)'!Y108</f>
        <v>1480216.87</v>
      </c>
      <c r="O294" s="77" t="s">
        <v>40</v>
      </c>
      <c r="P294" s="9" t="s">
        <v>859</v>
      </c>
      <c r="Q294" s="10">
        <f>N294/796</f>
        <v>1859.5689321608043</v>
      </c>
      <c r="R294" s="9" t="s">
        <v>42</v>
      </c>
      <c r="S294" s="13">
        <v>365</v>
      </c>
      <c r="T294" s="7" t="s">
        <v>43</v>
      </c>
      <c r="U294" s="5" t="s">
        <v>44</v>
      </c>
      <c r="V294" s="6">
        <f>'[1]V, inciso o) (OP)'!AD108</f>
        <v>42667</v>
      </c>
      <c r="W294" s="6">
        <f>'[1]V, inciso o) (OP)'!AE108</f>
        <v>42719</v>
      </c>
      <c r="X294" s="5" t="s">
        <v>591</v>
      </c>
      <c r="Y294" s="5" t="s">
        <v>46</v>
      </c>
      <c r="Z294" s="5" t="s">
        <v>47</v>
      </c>
      <c r="AA294" s="40" t="s">
        <v>40</v>
      </c>
      <c r="AB294" s="5" t="s">
        <v>40</v>
      </c>
    </row>
    <row r="295" spans="1:28" ht="67.5">
      <c r="A295" s="5">
        <v>2016</v>
      </c>
      <c r="B295" s="7" t="str">
        <f>'[1]V, inciso p) (OP)'!B146</f>
        <v>Licitación por Invitación Restringida</v>
      </c>
      <c r="C295" s="79" t="str">
        <f>'[1]V, inciso p) (OP)'!D146</f>
        <v>DOPI-MUN-R33-PAV-CI-238-2016</v>
      </c>
      <c r="D295" s="12">
        <f>'[1]V, inciso p) (OP)'!AD146</f>
        <v>42727</v>
      </c>
      <c r="E295" s="7" t="str">
        <f>'[1]V, inciso p) (OP)'!AL146</f>
        <v>Pavimentación con empedrado zampeado en la calle Mármol, de calle Cantera al arroyo y calle Obsidiana, de calle Opalo a calle Coral, en la colonia Pedregal de Zapopan (Loma el Pedregal), en Zapopan, Jalisco</v>
      </c>
      <c r="F295" s="7" t="s">
        <v>739</v>
      </c>
      <c r="G295" s="8">
        <f>'[1]V, inciso p) (OP)'!AG146</f>
        <v>2216780.09</v>
      </c>
      <c r="H295" s="7" t="str">
        <f>'[1]V, inciso p) (OP)'!AS146</f>
        <v>Colonia Loma el Pedregal</v>
      </c>
      <c r="I295" s="5" t="str">
        <f>'[1]V, inciso p) (OP)'!T146</f>
        <v>Hugo Armando</v>
      </c>
      <c r="J295" s="5" t="str">
        <f>'[1]V, inciso p) (OP)'!U146</f>
        <v>Prieto</v>
      </c>
      <c r="K295" s="5" t="str">
        <f>'[1]V, inciso p) (OP)'!V146</f>
        <v>Jiménez</v>
      </c>
      <c r="L295" s="7" t="str">
        <f>'[1]V, inciso p) (OP)'!W146</f>
        <v>Constructora Rural del Pais, S.A. de C.V.</v>
      </c>
      <c r="M295" s="5" t="str">
        <f>'[1]V, inciso p) (OP)'!X146</f>
        <v>CRP870708I62</v>
      </c>
      <c r="N295" s="8">
        <f>'[1]V, inciso p) (OP)'!AG146</f>
        <v>2216780.09</v>
      </c>
      <c r="O295" s="77" t="s">
        <v>40</v>
      </c>
      <c r="P295" s="9" t="s">
        <v>860</v>
      </c>
      <c r="Q295" s="10">
        <f>N295/1502.75</f>
        <v>1475.148953585094</v>
      </c>
      <c r="R295" s="9" t="s">
        <v>42</v>
      </c>
      <c r="S295" s="13">
        <v>202</v>
      </c>
      <c r="T295" s="7" t="s">
        <v>43</v>
      </c>
      <c r="U295" s="5" t="s">
        <v>565</v>
      </c>
      <c r="V295" s="6">
        <f>'[1]V, inciso p) (OP)'!AM146</f>
        <v>42730</v>
      </c>
      <c r="W295" s="6">
        <f>'[1]V, inciso p) (OP)'!AN146</f>
        <v>42880</v>
      </c>
      <c r="X295" s="5" t="s">
        <v>591</v>
      </c>
      <c r="Y295" s="5" t="s">
        <v>861</v>
      </c>
      <c r="Z295" s="5" t="s">
        <v>47</v>
      </c>
      <c r="AA295" s="40" t="s">
        <v>40</v>
      </c>
      <c r="AB295" s="5" t="s">
        <v>40</v>
      </c>
    </row>
    <row r="296" spans="1:28" s="18" customFormat="1" ht="67.5">
      <c r="A296" s="48">
        <v>2016</v>
      </c>
      <c r="B296" s="48" t="s">
        <v>64</v>
      </c>
      <c r="C296" s="79" t="str">
        <f>'[1]V, inciso o) (OP)'!C109</f>
        <v>DOPI-MUN-RM-IE-AD-239-2016</v>
      </c>
      <c r="D296" s="50">
        <f>'[1]V, inciso o) (OP)'!V109</f>
        <v>42657</v>
      </c>
      <c r="E296" s="51" t="str">
        <f>'[1]V, inciso o) (OP)'!AA109</f>
        <v>Suministro y colocación de estructuras de protección de rayos ultravioleta en el Jardín de Niños Maria Trinidad Martínez Yañez, clave CT14DJN1601J, colonia Villas Perisur, municipio de Zapopan, Jalisco</v>
      </c>
      <c r="F296" s="51" t="s">
        <v>184</v>
      </c>
      <c r="G296" s="49">
        <f>'[1]V, inciso o) (OP)'!Y109</f>
        <v>315620.47999999998</v>
      </c>
      <c r="H296" s="51" t="s">
        <v>862</v>
      </c>
      <c r="I296" s="48" t="str">
        <f>'[1]V, inciso o) (OP)'!G109</f>
        <v xml:space="preserve">GUILLERMO ALBERTO </v>
      </c>
      <c r="J296" s="48" t="str">
        <f>'[1]V, inciso o) (OP)'!H109</f>
        <v>RODRIGUEZ</v>
      </c>
      <c r="K296" s="48" t="str">
        <f>'[1]V, inciso o) (OP)'!I109</f>
        <v>ALLENDE</v>
      </c>
      <c r="L296" s="51" t="str">
        <f>'[1]V, inciso o) (OP)'!J109</f>
        <v>GRUPO CONSTRUCTOR MR DE JALISCO S.A. DE C.V.</v>
      </c>
      <c r="M296" s="48" t="str">
        <f>'[1]V, inciso o) (OP)'!K109</f>
        <v>GCM121112J86</v>
      </c>
      <c r="N296" s="49">
        <f>G296</f>
        <v>315620.47999999998</v>
      </c>
      <c r="O296" s="77" t="s">
        <v>40</v>
      </c>
      <c r="P296" s="48" t="s">
        <v>863</v>
      </c>
      <c r="Q296" s="49">
        <f>N296/263</f>
        <v>1200.0778707224333</v>
      </c>
      <c r="R296" s="48" t="s">
        <v>42</v>
      </c>
      <c r="S296" s="52">
        <v>386</v>
      </c>
      <c r="T296" s="51" t="s">
        <v>43</v>
      </c>
      <c r="U296" s="48" t="s">
        <v>565</v>
      </c>
      <c r="V296" s="50">
        <f>'[1]V, inciso o) (OP)'!AD109</f>
        <v>42660</v>
      </c>
      <c r="W296" s="50">
        <f>'[1]V, inciso o) (OP)'!AE109</f>
        <v>42704</v>
      </c>
      <c r="X296" s="48" t="s">
        <v>671</v>
      </c>
      <c r="Y296" s="48" t="s">
        <v>132</v>
      </c>
      <c r="Z296" s="48" t="s">
        <v>864</v>
      </c>
      <c r="AA296" s="51" t="s">
        <v>40</v>
      </c>
      <c r="AB296" s="48" t="s">
        <v>40</v>
      </c>
    </row>
    <row r="297" spans="1:28" s="18" customFormat="1" ht="40.5">
      <c r="A297" s="48">
        <v>2016</v>
      </c>
      <c r="B297" s="48" t="s">
        <v>64</v>
      </c>
      <c r="C297" s="79" t="str">
        <f>'[1]V, inciso o) (OP)'!C110</f>
        <v>DOPI-MUN-RM-IU-AD-240-2016</v>
      </c>
      <c r="D297" s="50">
        <f>'[1]V, inciso o) (OP)'!V110</f>
        <v>42692</v>
      </c>
      <c r="E297" s="51" t="str">
        <f>'[1]V, inciso o) (OP)'!AA110</f>
        <v>Primera etapa de la renovación de imagen urbana en la localidad de Tesistan, municipio de Zapopan, Jalisco</v>
      </c>
      <c r="F297" s="51" t="s">
        <v>67</v>
      </c>
      <c r="G297" s="49">
        <f>'[1]V, inciso o) (OP)'!Y110</f>
        <v>1495635.47</v>
      </c>
      <c r="H297" s="51" t="s">
        <v>786</v>
      </c>
      <c r="I297" s="48" t="str">
        <f>'[1]V, inciso o) (OP)'!G110</f>
        <v xml:space="preserve">ALEJANDRO LUIS </v>
      </c>
      <c r="J297" s="48" t="str">
        <f>'[1]V, inciso o) (OP)'!H110</f>
        <v xml:space="preserve">VAIDOVITS </v>
      </c>
      <c r="K297" s="48" t="str">
        <f>'[1]V, inciso o) (OP)'!I110</f>
        <v xml:space="preserve"> SCHNURER</v>
      </c>
      <c r="L297" s="51" t="str">
        <f>'[1]V, inciso o) (OP)'!J110</f>
        <v>PROMACO DE MEXICO, S.A. DE C.V.</v>
      </c>
      <c r="M297" s="48" t="str">
        <f>'[1]V, inciso o) (OP)'!K110</f>
        <v>PME930817EV7</v>
      </c>
      <c r="N297" s="49">
        <f t="shared" ref="N297:N303" si="5">G297</f>
        <v>1495635.47</v>
      </c>
      <c r="O297" s="77" t="s">
        <v>40</v>
      </c>
      <c r="P297" s="48" t="s">
        <v>865</v>
      </c>
      <c r="Q297" s="49">
        <f>N297/3000</f>
        <v>498.54515666666668</v>
      </c>
      <c r="R297" s="48" t="s">
        <v>42</v>
      </c>
      <c r="S297" s="52">
        <v>62891</v>
      </c>
      <c r="T297" s="51" t="s">
        <v>43</v>
      </c>
      <c r="U297" s="48" t="s">
        <v>565</v>
      </c>
      <c r="V297" s="50">
        <f>'[1]V, inciso o) (OP)'!AD110</f>
        <v>42696</v>
      </c>
      <c r="W297" s="50">
        <f>'[1]V, inciso o) (OP)'!AE110</f>
        <v>42766</v>
      </c>
      <c r="X297" s="48" t="s">
        <v>544</v>
      </c>
      <c r="Y297" s="48" t="s">
        <v>545</v>
      </c>
      <c r="Z297" s="48" t="s">
        <v>212</v>
      </c>
      <c r="AA297" s="51" t="s">
        <v>40</v>
      </c>
      <c r="AB297" s="48" t="s">
        <v>40</v>
      </c>
    </row>
    <row r="298" spans="1:28" s="18" customFormat="1" ht="81">
      <c r="A298" s="48">
        <v>2016</v>
      </c>
      <c r="B298" s="48" t="s">
        <v>64</v>
      </c>
      <c r="C298" s="79" t="str">
        <f>'[1]V, inciso o) (OP)'!C111</f>
        <v>DOPI-MUN-RM-IM-AD-241-2016</v>
      </c>
      <c r="D298" s="50">
        <f>'[1]V, inciso o) (OP)'!V111</f>
        <v>42671</v>
      </c>
      <c r="E298" s="51"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98" s="51" t="s">
        <v>184</v>
      </c>
      <c r="G298" s="49">
        <f>'[1]V, inciso o) (OP)'!Y111</f>
        <v>1276850.24</v>
      </c>
      <c r="H298" s="51" t="s">
        <v>866</v>
      </c>
      <c r="I298" s="48" t="str">
        <f>'[1]V, inciso o) (OP)'!G111</f>
        <v>OSCAR LUIS</v>
      </c>
      <c r="J298" s="48" t="str">
        <f>'[1]V, inciso o) (OP)'!H111</f>
        <v>CHAVEZ</v>
      </c>
      <c r="K298" s="48" t="str">
        <f>'[1]V, inciso o) (OP)'!I111</f>
        <v>GONZALEZ</v>
      </c>
      <c r="L298" s="51" t="str">
        <f>'[1]V, inciso o) (OP)'!J111</f>
        <v>EURO TRADE, S.A. DE C.V.</v>
      </c>
      <c r="M298" s="48" t="str">
        <f>'[1]V, inciso o) (OP)'!K111</f>
        <v>ETR070417NS8</v>
      </c>
      <c r="N298" s="49">
        <f t="shared" si="5"/>
        <v>1276850.24</v>
      </c>
      <c r="O298" s="77" t="s">
        <v>40</v>
      </c>
      <c r="P298" s="48" t="s">
        <v>867</v>
      </c>
      <c r="Q298" s="49">
        <f>N298/343</f>
        <v>3722.5954518950439</v>
      </c>
      <c r="R298" s="48" t="s">
        <v>42</v>
      </c>
      <c r="S298" s="52">
        <v>338</v>
      </c>
      <c r="T298" s="51" t="s">
        <v>43</v>
      </c>
      <c r="U298" s="48" t="s">
        <v>565</v>
      </c>
      <c r="V298" s="50">
        <f>'[1]V, inciso o) (OP)'!AD111</f>
        <v>42674</v>
      </c>
      <c r="W298" s="50">
        <f>'[1]V, inciso o) (OP)'!AE111</f>
        <v>42735</v>
      </c>
      <c r="X298" s="48" t="s">
        <v>835</v>
      </c>
      <c r="Y298" s="48" t="s">
        <v>519</v>
      </c>
      <c r="Z298" s="48" t="s">
        <v>63</v>
      </c>
      <c r="AA298" s="51" t="s">
        <v>40</v>
      </c>
      <c r="AB298" s="48" t="s">
        <v>40</v>
      </c>
    </row>
    <row r="299" spans="1:28" s="18" customFormat="1" ht="135">
      <c r="A299" s="48">
        <v>2016</v>
      </c>
      <c r="B299" s="48" t="s">
        <v>64</v>
      </c>
      <c r="C299" s="79" t="str">
        <f>'[1]V, inciso o) (OP)'!C112</f>
        <v>DOPI-MUN-RM-IM-AD-242-2016</v>
      </c>
      <c r="D299" s="50">
        <f>'[1]V, inciso o) (OP)'!V112</f>
        <v>42671</v>
      </c>
      <c r="E299" s="51"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99" s="51" t="s">
        <v>184</v>
      </c>
      <c r="G299" s="49">
        <f>'[1]V, inciso o) (OP)'!Y112</f>
        <v>1510250.48</v>
      </c>
      <c r="H299" s="51" t="s">
        <v>868</v>
      </c>
      <c r="I299" s="48" t="str">
        <f>'[1]V, inciso o) (OP)'!G112</f>
        <v>ORLANDO</v>
      </c>
      <c r="J299" s="48" t="str">
        <f>'[1]V, inciso o) (OP)'!H112</f>
        <v>HIJAR</v>
      </c>
      <c r="K299" s="48" t="str">
        <f>'[1]V, inciso o) (OP)'!I112</f>
        <v>CASILLAS</v>
      </c>
      <c r="L299" s="51" t="str">
        <f>'[1]V, inciso o) (OP)'!J112</f>
        <v>CONSTRUCTORA Y URBANIZADORA CEDA, S.A. DE C.V.</v>
      </c>
      <c r="M299" s="48" t="str">
        <f>'[1]V, inciso o) (OP)'!K112</f>
        <v>CUC121107NV2</v>
      </c>
      <c r="N299" s="49">
        <f t="shared" si="5"/>
        <v>1510250.48</v>
      </c>
      <c r="O299" s="77" t="s">
        <v>40</v>
      </c>
      <c r="P299" s="48" t="s">
        <v>869</v>
      </c>
      <c r="Q299" s="49">
        <f>N299/4053</f>
        <v>372.62533432025657</v>
      </c>
      <c r="R299" s="48" t="s">
        <v>42</v>
      </c>
      <c r="S299" s="52">
        <v>676</v>
      </c>
      <c r="T299" s="51" t="s">
        <v>43</v>
      </c>
      <c r="U299" s="48" t="s">
        <v>565</v>
      </c>
      <c r="V299" s="50">
        <f>'[1]V, inciso o) (OP)'!AD112</f>
        <v>42674</v>
      </c>
      <c r="W299" s="50">
        <f>'[1]V, inciso o) (OP)'!AE112</f>
        <v>42735</v>
      </c>
      <c r="X299" s="48" t="s">
        <v>835</v>
      </c>
      <c r="Y299" s="48" t="s">
        <v>519</v>
      </c>
      <c r="Z299" s="48" t="s">
        <v>63</v>
      </c>
      <c r="AA299" s="51" t="s">
        <v>40</v>
      </c>
      <c r="AB299" s="48" t="s">
        <v>40</v>
      </c>
    </row>
    <row r="300" spans="1:28" s="18" customFormat="1" ht="108">
      <c r="A300" s="48">
        <v>2016</v>
      </c>
      <c r="B300" s="48" t="s">
        <v>64</v>
      </c>
      <c r="C300" s="79" t="str">
        <f>'[1]V, inciso o) (OP)'!C113</f>
        <v>DOPI-MUN-RM-IM-AD-243-2016</v>
      </c>
      <c r="D300" s="50">
        <f>'[1]V, inciso o) (OP)'!V113</f>
        <v>42671</v>
      </c>
      <c r="E300" s="51"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300" s="51" t="s">
        <v>184</v>
      </c>
      <c r="G300" s="49">
        <f>'[1]V, inciso o) (OP)'!Y113</f>
        <v>1368256.1</v>
      </c>
      <c r="H300" s="51" t="s">
        <v>870</v>
      </c>
      <c r="I300" s="48" t="str">
        <f>'[1]V, inciso o) (OP)'!G113</f>
        <v xml:space="preserve">EDUARDO </v>
      </c>
      <c r="J300" s="48" t="str">
        <f>'[1]V, inciso o) (OP)'!H113</f>
        <v>PLASCENCIA</v>
      </c>
      <c r="K300" s="48" t="str">
        <f>'[1]V, inciso o) (OP)'!I113</f>
        <v>MACIAS</v>
      </c>
      <c r="L300" s="51" t="str">
        <f>'[1]V, inciso o) (OP)'!J113</f>
        <v>CONSTRUCTORA Y EDIFICADORA PLASMA, S.A. DE C.V.</v>
      </c>
      <c r="M300" s="48" t="str">
        <f>'[1]V, inciso o) (OP)'!K113</f>
        <v>CEP080129EK6</v>
      </c>
      <c r="N300" s="49">
        <f t="shared" si="5"/>
        <v>1368256.1</v>
      </c>
      <c r="O300" s="78">
        <v>1365596.04</v>
      </c>
      <c r="P300" s="48" t="s">
        <v>871</v>
      </c>
      <c r="Q300" s="49">
        <f>N300/1519</f>
        <v>900.76109282422658</v>
      </c>
      <c r="R300" s="48" t="s">
        <v>42</v>
      </c>
      <c r="S300" s="52">
        <v>687</v>
      </c>
      <c r="T300" s="51" t="s">
        <v>43</v>
      </c>
      <c r="U300" s="48" t="s">
        <v>565</v>
      </c>
      <c r="V300" s="50">
        <f>'[1]V, inciso o) (OP)'!AD113</f>
        <v>42674</v>
      </c>
      <c r="W300" s="50">
        <f>'[1]V, inciso o) (OP)'!AE113</f>
        <v>42735</v>
      </c>
      <c r="X300" s="48" t="s">
        <v>835</v>
      </c>
      <c r="Y300" s="48" t="s">
        <v>519</v>
      </c>
      <c r="Z300" s="48" t="s">
        <v>63</v>
      </c>
      <c r="AA300" s="51" t="s">
        <v>40</v>
      </c>
      <c r="AB300" s="48" t="s">
        <v>40</v>
      </c>
    </row>
    <row r="301" spans="1:28" s="18" customFormat="1" ht="94.5">
      <c r="A301" s="48">
        <v>2016</v>
      </c>
      <c r="B301" s="48" t="s">
        <v>64</v>
      </c>
      <c r="C301" s="79" t="str">
        <f>'[1]V, inciso o) (OP)'!C114</f>
        <v>DOPI-MUN-RM-IM-AD-244-2016</v>
      </c>
      <c r="D301" s="50">
        <f>'[1]V, inciso o) (OP)'!V114</f>
        <v>42671</v>
      </c>
      <c r="E301" s="51"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301" s="51" t="s">
        <v>184</v>
      </c>
      <c r="G301" s="49">
        <f>'[1]V, inciso o) (OP)'!Y114</f>
        <v>1495678.36</v>
      </c>
      <c r="H301" s="51" t="s">
        <v>872</v>
      </c>
      <c r="I301" s="48" t="str">
        <f>'[1]V, inciso o) (OP)'!G114</f>
        <v xml:space="preserve">EDUARDO </v>
      </c>
      <c r="J301" s="48" t="str">
        <f>'[1]V, inciso o) (OP)'!H114</f>
        <v>MORA</v>
      </c>
      <c r="K301" s="48" t="str">
        <f>'[1]V, inciso o) (OP)'!I114</f>
        <v>BLACKALLER</v>
      </c>
      <c r="L301" s="51" t="str">
        <f>'[1]V, inciso o) (OP)'!J114</f>
        <v>GRUPO CONSTRUCTOR INNOBLACK, S.A. DE C.V.</v>
      </c>
      <c r="M301" s="48" t="str">
        <f>'[1]V, inciso o) (OP)'!K114</f>
        <v>GCI070523CW4</v>
      </c>
      <c r="N301" s="49">
        <f t="shared" si="5"/>
        <v>1495678.36</v>
      </c>
      <c r="O301" s="77" t="s">
        <v>40</v>
      </c>
      <c r="P301" s="48" t="s">
        <v>873</v>
      </c>
      <c r="Q301" s="49">
        <f>N301/148</f>
        <v>10105.934864864865</v>
      </c>
      <c r="R301" s="48" t="s">
        <v>42</v>
      </c>
      <c r="S301" s="52">
        <v>714</v>
      </c>
      <c r="T301" s="51" t="s">
        <v>43</v>
      </c>
      <c r="U301" s="48" t="s">
        <v>565</v>
      </c>
      <c r="V301" s="50">
        <f>'[1]V, inciso o) (OP)'!AD114</f>
        <v>42674</v>
      </c>
      <c r="W301" s="50">
        <f>'[1]V, inciso o) (OP)'!AE114</f>
        <v>42735</v>
      </c>
      <c r="X301" s="48" t="s">
        <v>835</v>
      </c>
      <c r="Y301" s="48" t="s">
        <v>519</v>
      </c>
      <c r="Z301" s="48" t="s">
        <v>63</v>
      </c>
      <c r="AA301" s="51" t="s">
        <v>40</v>
      </c>
      <c r="AB301" s="48" t="s">
        <v>40</v>
      </c>
    </row>
    <row r="302" spans="1:28" s="18" customFormat="1" ht="121.5">
      <c r="A302" s="48">
        <v>2016</v>
      </c>
      <c r="B302" s="48" t="s">
        <v>64</v>
      </c>
      <c r="C302" s="79" t="str">
        <f>'[1]V, inciso o) (OP)'!C115</f>
        <v>DOPI-MUN-RM-PAV-AD-245-2016</v>
      </c>
      <c r="D302" s="50">
        <f>'[1]V, inciso o) (OP)'!V115</f>
        <v>42692</v>
      </c>
      <c r="E302" s="51"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302" s="51" t="s">
        <v>184</v>
      </c>
      <c r="G302" s="49">
        <f>'[1]V, inciso o) (OP)'!Y115</f>
        <v>1538300.1</v>
      </c>
      <c r="H302" s="51" t="s">
        <v>874</v>
      </c>
      <c r="I302" s="48" t="str">
        <f>'[1]V, inciso o) (OP)'!G115</f>
        <v>JOEL</v>
      </c>
      <c r="J302" s="48" t="str">
        <f>'[1]V, inciso o) (OP)'!H115</f>
        <v>ZULOAGA</v>
      </c>
      <c r="K302" s="48" t="str">
        <f>'[1]V, inciso o) (OP)'!I115</f>
        <v>ACEVES</v>
      </c>
      <c r="L302" s="51" t="str">
        <f>'[1]V, inciso o) (OP)'!J115</f>
        <v>TASUM SOLUCIONES EN CONSTRUCCION, S.A. DE C.V.</v>
      </c>
      <c r="M302" s="48" t="str">
        <f>'[1]V, inciso o) (OP)'!K115</f>
        <v>TSC100210E48</v>
      </c>
      <c r="N302" s="49">
        <f t="shared" si="5"/>
        <v>1538300.1</v>
      </c>
      <c r="O302" s="77" t="s">
        <v>40</v>
      </c>
      <c r="P302" s="48" t="s">
        <v>875</v>
      </c>
      <c r="Q302" s="49">
        <f>N302/3244</f>
        <v>474.19855117139338</v>
      </c>
      <c r="R302" s="48" t="s">
        <v>42</v>
      </c>
      <c r="S302" s="52">
        <v>6453</v>
      </c>
      <c r="T302" s="51" t="s">
        <v>43</v>
      </c>
      <c r="U302" s="48" t="s">
        <v>565</v>
      </c>
      <c r="V302" s="50">
        <f>'[1]V, inciso o) (OP)'!AD115</f>
        <v>42695</v>
      </c>
      <c r="W302" s="50">
        <f>'[1]V, inciso o) (OP)'!AE115</f>
        <v>42729</v>
      </c>
      <c r="X302" s="48" t="s">
        <v>530</v>
      </c>
      <c r="Y302" s="48" t="s">
        <v>343</v>
      </c>
      <c r="Z302" s="48" t="s">
        <v>344</v>
      </c>
      <c r="AA302" s="51" t="s">
        <v>40</v>
      </c>
      <c r="AB302" s="48" t="s">
        <v>40</v>
      </c>
    </row>
    <row r="303" spans="1:28" s="18" customFormat="1" ht="54">
      <c r="A303" s="48">
        <v>2016</v>
      </c>
      <c r="B303" s="48" t="s">
        <v>64</v>
      </c>
      <c r="C303" s="79" t="str">
        <f>'[1]V, inciso o) (OP)'!C116</f>
        <v>DOPI-MUN-RM-EM-AD-246-2016</v>
      </c>
      <c r="D303" s="50">
        <f>'[1]V, inciso o) (OP)'!V116</f>
        <v>42674</v>
      </c>
      <c r="E303" s="51" t="str">
        <f>'[1]V, inciso o) (OP)'!AA116</f>
        <v>Reconstrucción de habitación, baño y cubierta en vivienda ubicada en la calle López Mateos #61, en la colonia Santa Lucia, municipio de Zapopan, Jalisco</v>
      </c>
      <c r="F303" s="51" t="s">
        <v>67</v>
      </c>
      <c r="G303" s="49">
        <f>'[1]V, inciso o) (OP)'!Y116</f>
        <v>275935.40000000002</v>
      </c>
      <c r="H303" s="51" t="s">
        <v>876</v>
      </c>
      <c r="I303" s="48" t="str">
        <f>'[1]V, inciso o) (OP)'!G116</f>
        <v>CLAUDIA PATRICIA</v>
      </c>
      <c r="J303" s="48" t="str">
        <f>'[1]V, inciso o) (OP)'!H116</f>
        <v xml:space="preserve">SANCHEZ </v>
      </c>
      <c r="K303" s="48" t="str">
        <f>'[1]V, inciso o) (OP)'!I116</f>
        <v>VALLES</v>
      </c>
      <c r="L303" s="51" t="str">
        <f>'[1]V, inciso o) (OP)'!J116</f>
        <v>CONSTRUCTORA JMA, S.A. DE C.V.</v>
      </c>
      <c r="M303" s="48" t="str">
        <f>'[1]V, inciso o) (OP)'!K116</f>
        <v>CJM121221Q73</v>
      </c>
      <c r="N303" s="49">
        <f t="shared" si="5"/>
        <v>275935.40000000002</v>
      </c>
      <c r="O303" s="78">
        <v>273039.63</v>
      </c>
      <c r="P303" s="48" t="s">
        <v>877</v>
      </c>
      <c r="Q303" s="49">
        <f>N303/50</f>
        <v>5518.7080000000005</v>
      </c>
      <c r="R303" s="48" t="s">
        <v>42</v>
      </c>
      <c r="S303" s="52">
        <v>5</v>
      </c>
      <c r="T303" s="51" t="s">
        <v>43</v>
      </c>
      <c r="U303" s="48" t="s">
        <v>565</v>
      </c>
      <c r="V303" s="50">
        <f>'[1]V, inciso o) (OP)'!AD116</f>
        <v>42675</v>
      </c>
      <c r="W303" s="50">
        <f>'[1]V, inciso o) (OP)'!AE116</f>
        <v>42719</v>
      </c>
      <c r="X303" s="48" t="s">
        <v>544</v>
      </c>
      <c r="Y303" s="48" t="s">
        <v>545</v>
      </c>
      <c r="Z303" s="48" t="s">
        <v>212</v>
      </c>
      <c r="AA303" s="51" t="s">
        <v>40</v>
      </c>
      <c r="AB303" s="48" t="s">
        <v>40</v>
      </c>
    </row>
    <row r="304" spans="1:28" s="18" customFormat="1" ht="40.5">
      <c r="A304" s="48">
        <v>2016</v>
      </c>
      <c r="B304" s="48" t="s">
        <v>64</v>
      </c>
      <c r="C304" s="79" t="str">
        <f>'[1]V, inciso o) (OP)'!C117</f>
        <v>DOPI-MUN-RM-ELE-AD-248-2016</v>
      </c>
      <c r="D304" s="50">
        <f>'[1]V, inciso o) (OP)'!V117</f>
        <v>42706</v>
      </c>
      <c r="E304" s="51" t="str">
        <f>'[1]V, inciso o) (OP)'!AA117</f>
        <v>Eléctrificación de pozo en el Ejido Copalita y pozo en la localidad de Cerca Morada, municipio de Zapopan, Jalisco</v>
      </c>
      <c r="F304" s="51" t="s">
        <v>184</v>
      </c>
      <c r="G304" s="49">
        <f>'[1]V, inciso o) (OP)'!Y117</f>
        <v>969037.98</v>
      </c>
      <c r="H304" s="51" t="s">
        <v>878</v>
      </c>
      <c r="I304" s="48" t="str">
        <f>'[1]V, inciso o) (OP)'!M117</f>
        <v>PIA LORENA</v>
      </c>
      <c r="J304" s="48" t="str">
        <f>'[1]V, inciso o) (OP)'!N117</f>
        <v>BUENROSTRO</v>
      </c>
      <c r="K304" s="48" t="str">
        <f>'[1]V, inciso o) (OP)'!O117</f>
        <v>AHUED</v>
      </c>
      <c r="L304" s="51" t="str">
        <f>'[1]V, inciso o) (OP)'!P117</f>
        <v>BIRMEK CONSTRUCCIONES, S.A. DE C.V.</v>
      </c>
      <c r="M304" s="48" t="str">
        <f>'[1]V, inciso o) (OP)'!Q117</f>
        <v>BCO070129512</v>
      </c>
      <c r="N304" s="49">
        <f>'[1]V, inciso o) (OP)'!Y117</f>
        <v>969037.98</v>
      </c>
      <c r="O304" s="77" t="s">
        <v>40</v>
      </c>
      <c r="P304" s="48" t="s">
        <v>51</v>
      </c>
      <c r="Q304" s="49">
        <f>N304</f>
        <v>969037.98</v>
      </c>
      <c r="R304" s="48" t="s">
        <v>42</v>
      </c>
      <c r="S304" s="52">
        <v>339</v>
      </c>
      <c r="T304" s="51" t="s">
        <v>43</v>
      </c>
      <c r="U304" s="48" t="s">
        <v>565</v>
      </c>
      <c r="V304" s="50">
        <f>'[1]V, inciso o) (OP)'!AD117</f>
        <v>42709</v>
      </c>
      <c r="W304" s="50">
        <f>'[1]V, inciso o) (OP)'!AE117</f>
        <v>42799</v>
      </c>
      <c r="X304" s="48" t="s">
        <v>544</v>
      </c>
      <c r="Y304" s="48" t="s">
        <v>545</v>
      </c>
      <c r="Z304" s="48" t="s">
        <v>212</v>
      </c>
      <c r="AA304" s="51" t="s">
        <v>40</v>
      </c>
      <c r="AB304" s="48" t="s">
        <v>40</v>
      </c>
    </row>
    <row r="305" spans="1:28" s="18" customFormat="1" ht="54">
      <c r="A305" s="48">
        <v>2016</v>
      </c>
      <c r="B305" s="48" t="s">
        <v>64</v>
      </c>
      <c r="C305" s="79" t="str">
        <f>'[1]V, inciso o) (OP)'!C118</f>
        <v>DOPI-MUN-R33-IS-AD-249-2016</v>
      </c>
      <c r="D305" s="50">
        <f>'[1]V, inciso o) (OP)'!V118</f>
        <v>42699</v>
      </c>
      <c r="E305" s="51" t="str">
        <f>'[1]V, inciso o) (OP)'!AA118</f>
        <v>Construcción de línea de drenaje sanitario de 16" en calle Central, de calle del Bosque al Arroyo, en la colonia el Tizate, en el municipio de Zapopan, Jalisco.</v>
      </c>
      <c r="F305" s="51" t="s">
        <v>739</v>
      </c>
      <c r="G305" s="49">
        <f>'[1]V, inciso o) (OP)'!Y118</f>
        <v>1405850.23</v>
      </c>
      <c r="H305" s="51" t="s">
        <v>879</v>
      </c>
      <c r="I305" s="48" t="str">
        <f>'[1]V, inciso o) (OP)'!M118</f>
        <v>JOSE DE JESUS</v>
      </c>
      <c r="J305" s="48" t="str">
        <f>'[1]V, inciso o) (OP)'!N118</f>
        <v>PALAFOX</v>
      </c>
      <c r="K305" s="48" t="str">
        <f>'[1]V, inciso o) (OP)'!O118</f>
        <v>VILLEGAS</v>
      </c>
      <c r="L305" s="51" t="str">
        <f>'[1]V, inciso o) (OP)'!P118</f>
        <v>MEGAENLACE CONSTRUCCIONES S.A. DE C.V.</v>
      </c>
      <c r="M305" s="48" t="str">
        <f>'[1]V, inciso o) (OP)'!Q118</f>
        <v>MCO1510113H8</v>
      </c>
      <c r="N305" s="49">
        <f>'[1]V, inciso o) (OP)'!Y118</f>
        <v>1405850.23</v>
      </c>
      <c r="O305" s="77" t="s">
        <v>40</v>
      </c>
      <c r="P305" s="48" t="s">
        <v>880</v>
      </c>
      <c r="Q305" s="49">
        <f>N305/515.8</f>
        <v>2725.5723730127957</v>
      </c>
      <c r="R305" s="48" t="s">
        <v>42</v>
      </c>
      <c r="S305" s="52">
        <v>122</v>
      </c>
      <c r="T305" s="51" t="s">
        <v>43</v>
      </c>
      <c r="U305" s="48" t="s">
        <v>565</v>
      </c>
      <c r="V305" s="50">
        <f>'[1]V, inciso o) (OP)'!AD118</f>
        <v>42702</v>
      </c>
      <c r="W305" s="50">
        <f>'[1]V, inciso o) (OP)'!AE118</f>
        <v>42762</v>
      </c>
      <c r="X305" s="48" t="s">
        <v>536</v>
      </c>
      <c r="Y305" s="48" t="s">
        <v>383</v>
      </c>
      <c r="Z305" s="48" t="s">
        <v>300</v>
      </c>
      <c r="AA305" s="51" t="s">
        <v>40</v>
      </c>
      <c r="AB305" s="48" t="s">
        <v>40</v>
      </c>
    </row>
    <row r="306" spans="1:28" s="18" customFormat="1" ht="40.5">
      <c r="A306" s="48">
        <v>2016</v>
      </c>
      <c r="B306" s="48" t="s">
        <v>64</v>
      </c>
      <c r="C306" s="79" t="str">
        <f>'[1]V, inciso o) (OP)'!C119</f>
        <v>DOPI-MUN-RM-PROY-AD-250-2016</v>
      </c>
      <c r="D306" s="50">
        <f>'[1]V, inciso o) (OP)'!V119</f>
        <v>42699</v>
      </c>
      <c r="E306" s="51" t="str">
        <f>'[1]V, inciso o) (OP)'!AA119</f>
        <v>Estudios básicos topográficos para diferentes obras 2016, tercera etapa, del municipio de Zapopan, Jalisco.</v>
      </c>
      <c r="F306" s="51" t="s">
        <v>184</v>
      </c>
      <c r="G306" s="49">
        <f>'[1]V, inciso o) (OP)'!Y119</f>
        <v>1365001</v>
      </c>
      <c r="H306" s="51" t="s">
        <v>583</v>
      </c>
      <c r="I306" s="48" t="str">
        <f>'[1]V, inciso o) (OP)'!M119</f>
        <v>GABRIEL</v>
      </c>
      <c r="J306" s="48" t="str">
        <f>'[1]V, inciso o) (OP)'!N119</f>
        <v xml:space="preserve">FRANCO </v>
      </c>
      <c r="K306" s="48" t="str">
        <f>'[1]V, inciso o) (OP)'!O119</f>
        <v>ALATORRE</v>
      </c>
      <c r="L306" s="51" t="str">
        <f>'[1]V, inciso o) (OP)'!P119</f>
        <v>CONSTRUCTORA DE OCCIDENTE MS, S.A. DE C.V.</v>
      </c>
      <c r="M306" s="48" t="str">
        <f>'[1]V, inciso o) (OP)'!Q119</f>
        <v>COM141015F48</v>
      </c>
      <c r="N306" s="49">
        <f>'[1]V, inciso o) (OP)'!Y119</f>
        <v>1365001</v>
      </c>
      <c r="O306" s="77" t="s">
        <v>40</v>
      </c>
      <c r="P306" s="48" t="s">
        <v>847</v>
      </c>
      <c r="Q306" s="49">
        <f>N306</f>
        <v>1365001</v>
      </c>
      <c r="R306" s="48" t="s">
        <v>232</v>
      </c>
      <c r="S306" s="52" t="s">
        <v>232</v>
      </c>
      <c r="T306" s="51" t="s">
        <v>43</v>
      </c>
      <c r="U306" s="48" t="s">
        <v>565</v>
      </c>
      <c r="V306" s="50">
        <f>'[1]V, inciso o) (OP)'!AD119</f>
        <v>42702</v>
      </c>
      <c r="W306" s="50">
        <f>'[1]V, inciso o) (OP)'!AE119</f>
        <v>42855</v>
      </c>
      <c r="X306" s="48" t="s">
        <v>570</v>
      </c>
      <c r="Y306" s="48" t="s">
        <v>828</v>
      </c>
      <c r="Z306" s="48" t="s">
        <v>286</v>
      </c>
      <c r="AA306" s="51" t="s">
        <v>40</v>
      </c>
      <c r="AB306" s="48" t="s">
        <v>40</v>
      </c>
    </row>
    <row r="307" spans="1:28" s="18" customFormat="1" ht="54">
      <c r="A307" s="48">
        <v>2016</v>
      </c>
      <c r="B307" s="48" t="s">
        <v>64</v>
      </c>
      <c r="C307" s="79" t="str">
        <f>'[1]V, inciso o) (OP)'!C120</f>
        <v>DOPI-MUN-R33-IH-AD-251-2016</v>
      </c>
      <c r="D307" s="50">
        <f>'[1]V, inciso o) (OP)'!V120</f>
        <v>42699</v>
      </c>
      <c r="E307" s="51" t="str">
        <f>'[1]V, inciso o) (OP)'!AA120</f>
        <v>Construcción de línea de conducción de agua potable, en la localidad Los Patios, de pozo Los Patios A Conexión Existente, en el municipio de Zapopan, Jalisco.</v>
      </c>
      <c r="F307" s="51" t="s">
        <v>739</v>
      </c>
      <c r="G307" s="49">
        <f>'[1]V, inciso o) (OP)'!Y120</f>
        <v>1475636.47</v>
      </c>
      <c r="H307" s="51" t="s">
        <v>881</v>
      </c>
      <c r="I307" s="48" t="str">
        <f>'[1]V, inciso o) (OP)'!M120</f>
        <v>JOSE SERGIO</v>
      </c>
      <c r="J307" s="48" t="str">
        <f>'[1]V, inciso o) (OP)'!N120</f>
        <v>CARMONA</v>
      </c>
      <c r="K307" s="48" t="str">
        <f>'[1]V, inciso o) (OP)'!O120</f>
        <v>RUVALCABA</v>
      </c>
      <c r="L307" s="51" t="str">
        <f>'[1]V, inciso o) (OP)'!P120</f>
        <v>QUANTUM CONSTRUCTORES Y PROYECTOS, S.A. DE C.V.</v>
      </c>
      <c r="M307" s="48" t="str">
        <f>'[1]V, inciso o) (OP)'!Q120</f>
        <v>QCP1307172S6</v>
      </c>
      <c r="N307" s="49">
        <f>'[1]V, inciso o) (OP)'!Y120</f>
        <v>1475636.47</v>
      </c>
      <c r="O307" s="77" t="s">
        <v>40</v>
      </c>
      <c r="P307" s="48" t="s">
        <v>882</v>
      </c>
      <c r="Q307" s="49">
        <f>N307/3240</f>
        <v>455.44335493827157</v>
      </c>
      <c r="R307" s="48" t="s">
        <v>42</v>
      </c>
      <c r="S307" s="52">
        <v>39</v>
      </c>
      <c r="T307" s="51" t="s">
        <v>43</v>
      </c>
      <c r="U307" s="48" t="s">
        <v>565</v>
      </c>
      <c r="V307" s="50">
        <f>'[1]V, inciso o) (OP)'!AD120</f>
        <v>42702</v>
      </c>
      <c r="W307" s="50">
        <f>'[1]V, inciso o) (OP)'!AE120</f>
        <v>42852</v>
      </c>
      <c r="X307" s="48" t="s">
        <v>723</v>
      </c>
      <c r="Y307" s="48" t="s">
        <v>724</v>
      </c>
      <c r="Z307" s="48" t="s">
        <v>145</v>
      </c>
      <c r="AA307" s="51" t="s">
        <v>40</v>
      </c>
      <c r="AB307" s="48" t="s">
        <v>40</v>
      </c>
    </row>
    <row r="308" spans="1:28" s="18" customFormat="1" ht="40.5">
      <c r="A308" s="48">
        <v>2016</v>
      </c>
      <c r="B308" s="48" t="s">
        <v>64</v>
      </c>
      <c r="C308" s="79" t="str">
        <f>'[1]V, inciso o) (OP)'!C121</f>
        <v>DOPI-MUN-R33-IH-AD-252-2016</v>
      </c>
      <c r="D308" s="50">
        <f>'[1]V, inciso o) (OP)'!V121</f>
        <v>42699</v>
      </c>
      <c r="E308" s="51" t="str">
        <f>'[1]V, inciso o) (OP)'!AA121</f>
        <v>Construcción de línea de agua potable y drenaje sanitario en la calle Panorama, tramo 1, municipio de Zapopan, Jalisco.</v>
      </c>
      <c r="F308" s="51" t="s">
        <v>739</v>
      </c>
      <c r="G308" s="49">
        <f>'[1]V, inciso o) (OP)'!Y121</f>
        <v>1298415.18</v>
      </c>
      <c r="H308" s="51" t="s">
        <v>124</v>
      </c>
      <c r="I308" s="48" t="str">
        <f>'[1]V, inciso o) (OP)'!M121</f>
        <v>JUAN PABLO</v>
      </c>
      <c r="J308" s="48" t="str">
        <f>'[1]V, inciso o) (OP)'!N121</f>
        <v>VERA</v>
      </c>
      <c r="K308" s="48" t="str">
        <f>'[1]V, inciso o) (OP)'!O121</f>
        <v>TAVARES</v>
      </c>
      <c r="L308" s="51" t="str">
        <f>'[1]V, inciso o) (OP)'!P121</f>
        <v>LIZETTE CONSTRUCCIONES, S.A. DE C.V.</v>
      </c>
      <c r="M308" s="48" t="str">
        <f>'[1]V, inciso o) (OP)'!Q121</f>
        <v>LCO080228DN2</v>
      </c>
      <c r="N308" s="49">
        <f>'[1]V, inciso o) (OP)'!Y121</f>
        <v>1298415.18</v>
      </c>
      <c r="O308" s="77" t="s">
        <v>40</v>
      </c>
      <c r="P308" s="48" t="s">
        <v>883</v>
      </c>
      <c r="Q308" s="49">
        <f>N308/362.52</f>
        <v>3581.6373717312149</v>
      </c>
      <c r="R308" s="48" t="s">
        <v>42</v>
      </c>
      <c r="S308" s="52">
        <v>98</v>
      </c>
      <c r="T308" s="51" t="s">
        <v>43</v>
      </c>
      <c r="U308" s="48" t="s">
        <v>565</v>
      </c>
      <c r="V308" s="50">
        <f>'[1]V, inciso o) (OP)'!AD121</f>
        <v>42702</v>
      </c>
      <c r="W308" s="50">
        <f>'[1]V, inciso o) (OP)'!AE121</f>
        <v>42792</v>
      </c>
      <c r="X308" s="48" t="s">
        <v>671</v>
      </c>
      <c r="Y308" s="48" t="s">
        <v>334</v>
      </c>
      <c r="Z308" s="48" t="s">
        <v>133</v>
      </c>
      <c r="AA308" s="51" t="s">
        <v>40</v>
      </c>
      <c r="AB308" s="48" t="s">
        <v>40</v>
      </c>
    </row>
    <row r="309" spans="1:28" s="18" customFormat="1" ht="94.5">
      <c r="A309" s="48">
        <v>2016</v>
      </c>
      <c r="B309" s="48" t="s">
        <v>64</v>
      </c>
      <c r="C309" s="79" t="str">
        <f>'[1]V, inciso o) (OP)'!C122</f>
        <v>DOPI-MUN-R33-IH-AD-253-2016</v>
      </c>
      <c r="D309" s="50">
        <f>'[1]V, inciso o) (OP)'!V122</f>
        <v>42699</v>
      </c>
      <c r="E309" s="51"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309" s="51" t="s">
        <v>739</v>
      </c>
      <c r="G309" s="49">
        <f>'[1]V, inciso o) (OP)'!Y122</f>
        <v>1140318.97</v>
      </c>
      <c r="H309" s="51" t="s">
        <v>884</v>
      </c>
      <c r="I309" s="48" t="str">
        <f>'[1]V, inciso o) (OP)'!M122</f>
        <v xml:space="preserve">RICARDO </v>
      </c>
      <c r="J309" s="48" t="str">
        <f>'[1]V, inciso o) (OP)'!N122</f>
        <v>RIZO</v>
      </c>
      <c r="K309" s="48" t="str">
        <f>'[1]V, inciso o) (OP)'!O122</f>
        <v>SOSA</v>
      </c>
      <c r="L309" s="51" t="str">
        <f>'[1]V, inciso o) (OP)'!P122</f>
        <v>NEOINGENIERIA, S.A. DE C.V.</v>
      </c>
      <c r="M309" s="48" t="str">
        <f>'[1]V, inciso o) (OP)'!Q122</f>
        <v>NEO080722M53</v>
      </c>
      <c r="N309" s="49">
        <f>'[1]V, inciso o) (OP)'!Y122</f>
        <v>1140318.97</v>
      </c>
      <c r="O309" s="77" t="s">
        <v>40</v>
      </c>
      <c r="P309" s="48" t="s">
        <v>885</v>
      </c>
      <c r="Q309" s="49">
        <f>N309/318.38</f>
        <v>3581.6287769332243</v>
      </c>
      <c r="R309" s="48" t="s">
        <v>42</v>
      </c>
      <c r="S309" s="52">
        <v>215</v>
      </c>
      <c r="T309" s="51" t="s">
        <v>43</v>
      </c>
      <c r="U309" s="48" t="s">
        <v>565</v>
      </c>
      <c r="V309" s="50">
        <f>'[1]V, inciso o) (OP)'!AD122</f>
        <v>42702</v>
      </c>
      <c r="W309" s="50">
        <f>'[1]V, inciso o) (OP)'!AE122</f>
        <v>42822</v>
      </c>
      <c r="X309" s="48" t="s">
        <v>556</v>
      </c>
      <c r="Y309" s="48" t="s">
        <v>557</v>
      </c>
      <c r="Z309" s="48" t="s">
        <v>558</v>
      </c>
      <c r="AA309" s="51" t="s">
        <v>40</v>
      </c>
      <c r="AB309" s="48" t="s">
        <v>40</v>
      </c>
    </row>
    <row r="310" spans="1:28" s="18" customFormat="1" ht="54">
      <c r="A310" s="48">
        <v>2016</v>
      </c>
      <c r="B310" s="48" t="s">
        <v>64</v>
      </c>
      <c r="C310" s="79" t="str">
        <f>'[1]V, inciso o) (OP)'!C123</f>
        <v>DOPI-MUN-R33-IH-AD-254-2016</v>
      </c>
      <c r="D310" s="50">
        <f>'[1]V, inciso o) (OP)'!V123</f>
        <v>42699</v>
      </c>
      <c r="E310" s="51" t="str">
        <f>'[1]V, inciso o) (OP)'!AA123</f>
        <v>Construcción de línea agua potable en la calle Miguel Hidalgo, de calle Josefa Ortíz De Domínguez a Cerrada, en la colonia Indígena De Mezquitan I Sección, en el municipio de Zapopan, Jalisco.</v>
      </c>
      <c r="F310" s="51" t="s">
        <v>739</v>
      </c>
      <c r="G310" s="49">
        <f>'[1]V, inciso o) (OP)'!Y123</f>
        <v>1010226.87</v>
      </c>
      <c r="H310" s="51" t="s">
        <v>884</v>
      </c>
      <c r="I310" s="48" t="str">
        <f>'[1]V, inciso o) (OP)'!M123</f>
        <v>GABINO</v>
      </c>
      <c r="J310" s="48" t="str">
        <f>'[1]V, inciso o) (OP)'!N123</f>
        <v>MONTUFAR</v>
      </c>
      <c r="K310" s="48" t="str">
        <f>'[1]V, inciso o) (OP)'!O123</f>
        <v>NUÑEZ</v>
      </c>
      <c r="L310" s="51" t="str">
        <f>'[1]V, inciso o) (OP)'!P123</f>
        <v>DI.COB, S.A. DE C.V.</v>
      </c>
      <c r="M310" s="48" t="str">
        <f>'[1]V, inciso o) (OP)'!Q123</f>
        <v>DCO021029737</v>
      </c>
      <c r="N310" s="49">
        <f>'[1]V, inciso o) (OP)'!Y123</f>
        <v>1010226.87</v>
      </c>
      <c r="O310" s="77" t="s">
        <v>40</v>
      </c>
      <c r="P310" s="48" t="s">
        <v>886</v>
      </c>
      <c r="Q310" s="49">
        <f>N310/841.71</f>
        <v>1200.2077556403035</v>
      </c>
      <c r="R310" s="48" t="s">
        <v>42</v>
      </c>
      <c r="S310" s="52">
        <v>176</v>
      </c>
      <c r="T310" s="51" t="s">
        <v>43</v>
      </c>
      <c r="U310" s="48" t="s">
        <v>565</v>
      </c>
      <c r="V310" s="50">
        <f>'[1]V, inciso o) (OP)'!AD123</f>
        <v>42702</v>
      </c>
      <c r="W310" s="50">
        <f>'[1]V, inciso o) (OP)'!AE123</f>
        <v>42822</v>
      </c>
      <c r="X310" s="48" t="s">
        <v>556</v>
      </c>
      <c r="Y310" s="48" t="s">
        <v>557</v>
      </c>
      <c r="Z310" s="48" t="s">
        <v>558</v>
      </c>
      <c r="AA310" s="51" t="s">
        <v>40</v>
      </c>
      <c r="AB310" s="48" t="s">
        <v>40</v>
      </c>
    </row>
    <row r="311" spans="1:28" s="18" customFormat="1" ht="67.5">
      <c r="A311" s="48">
        <v>2016</v>
      </c>
      <c r="B311" s="48" t="s">
        <v>64</v>
      </c>
      <c r="C311" s="79" t="str">
        <f>'[1]V, inciso o) (OP)'!C124</f>
        <v>DOPI-MUN-R33-PAV-AD-255-2016</v>
      </c>
      <c r="D311" s="50">
        <f>'[1]V, inciso o) (OP)'!V124</f>
        <v>42699</v>
      </c>
      <c r="E311" s="51" t="str">
        <f>'[1]V, inciso o) (OP)'!AA124</f>
        <v>Construcción de pavimento zamepado en la calle Laureles, de calle Paseo de los Manzanos a calle Palmeras, en la colonia Lomas de Tabachines  I sección, en el municipio de Zapopan, Jalisco. Frente 1</v>
      </c>
      <c r="F311" s="51" t="s">
        <v>739</v>
      </c>
      <c r="G311" s="49">
        <f>'[1]V, inciso o) (OP)'!Y124</f>
        <v>1494784.36</v>
      </c>
      <c r="H311" s="51" t="s">
        <v>136</v>
      </c>
      <c r="I311" s="48" t="str">
        <f>'[1]V, inciso o) (OP)'!M124</f>
        <v>JOSE GILBERTO</v>
      </c>
      <c r="J311" s="48" t="str">
        <f>'[1]V, inciso o) (OP)'!N124</f>
        <v>LUJAN</v>
      </c>
      <c r="K311" s="48" t="str">
        <f>'[1]V, inciso o) (OP)'!O124</f>
        <v>BARAJAS</v>
      </c>
      <c r="L311" s="51" t="str">
        <f>'[1]V, inciso o) (OP)'!P124</f>
        <v>GILCO INGENIERIA, S.A. DE C.V.</v>
      </c>
      <c r="M311" s="48" t="str">
        <f>'[1]V, inciso o) (OP)'!Q124</f>
        <v>GIN1202272F9</v>
      </c>
      <c r="N311" s="49">
        <f>'[1]V, inciso o) (OP)'!Y124</f>
        <v>1494784.36</v>
      </c>
      <c r="O311" s="77" t="s">
        <v>40</v>
      </c>
      <c r="P311" s="48" t="s">
        <v>887</v>
      </c>
      <c r="Q311" s="49">
        <f>N311/1013.31</f>
        <v>1475.1501120091582</v>
      </c>
      <c r="R311" s="48" t="s">
        <v>42</v>
      </c>
      <c r="S311" s="52">
        <v>356</v>
      </c>
      <c r="T311" s="51" t="s">
        <v>43</v>
      </c>
      <c r="U311" s="48" t="s">
        <v>565</v>
      </c>
      <c r="V311" s="50">
        <f>'[1]V, inciso o) (OP)'!AD124</f>
        <v>42702</v>
      </c>
      <c r="W311" s="50">
        <f>'[1]V, inciso o) (OP)'!AE124</f>
        <v>42822</v>
      </c>
      <c r="X311" s="48" t="s">
        <v>681</v>
      </c>
      <c r="Y311" s="48" t="s">
        <v>682</v>
      </c>
      <c r="Z311" s="48" t="s">
        <v>683</v>
      </c>
      <c r="AA311" s="51" t="s">
        <v>40</v>
      </c>
      <c r="AB311" s="48" t="s">
        <v>40</v>
      </c>
    </row>
    <row r="312" spans="1:28" s="18" customFormat="1" ht="81">
      <c r="A312" s="48">
        <v>2016</v>
      </c>
      <c r="B312" s="48" t="s">
        <v>64</v>
      </c>
      <c r="C312" s="79" t="str">
        <f>'[1]V, inciso o) (OP)'!C125</f>
        <v>DOPI-MUN-R33-PAV-AD-256-2016</v>
      </c>
      <c r="D312" s="50">
        <f>'[1]V, inciso o) (OP)'!V125</f>
        <v>42699</v>
      </c>
      <c r="E312" s="51"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312" s="51" t="s">
        <v>739</v>
      </c>
      <c r="G312" s="49">
        <f>'[1]V, inciso o) (OP)'!Y125</f>
        <v>1208435.74</v>
      </c>
      <c r="H312" s="51" t="s">
        <v>299</v>
      </c>
      <c r="I312" s="48" t="str">
        <f>'[1]V, inciso o) (OP)'!M125</f>
        <v>AMALIA</v>
      </c>
      <c r="J312" s="48" t="str">
        <f>'[1]V, inciso o) (OP)'!N125</f>
        <v>MORENO</v>
      </c>
      <c r="K312" s="48" t="str">
        <f>'[1]V, inciso o) (OP)'!O125</f>
        <v>MALDONADO</v>
      </c>
      <c r="L312" s="51" t="str">
        <f>'[1]V, inciso o) (OP)'!P125</f>
        <v>GRUPO CONSTRUCTOR LOS MUROS, S.A. DE C.V.</v>
      </c>
      <c r="M312" s="48" t="str">
        <f>'[1]V, inciso o) (OP)'!Q125</f>
        <v>GCM020226F28</v>
      </c>
      <c r="N312" s="49">
        <f>'[1]V, inciso o) (OP)'!Y125</f>
        <v>1208435.74</v>
      </c>
      <c r="O312" s="77" t="s">
        <v>40</v>
      </c>
      <c r="P312" s="48" t="s">
        <v>888</v>
      </c>
      <c r="Q312" s="49">
        <f>N312/819.2</f>
        <v>1475.1412841796873</v>
      </c>
      <c r="R312" s="48" t="s">
        <v>42</v>
      </c>
      <c r="S312" s="52">
        <v>341</v>
      </c>
      <c r="T312" s="51" t="s">
        <v>43</v>
      </c>
      <c r="U312" s="48" t="s">
        <v>565</v>
      </c>
      <c r="V312" s="50">
        <f>'[1]V, inciso o) (OP)'!AD125</f>
        <v>42702</v>
      </c>
      <c r="W312" s="50">
        <f>'[1]V, inciso o) (OP)'!AE125</f>
        <v>42822</v>
      </c>
      <c r="X312" s="48" t="s">
        <v>681</v>
      </c>
      <c r="Y312" s="48" t="s">
        <v>682</v>
      </c>
      <c r="Z312" s="48" t="s">
        <v>683</v>
      </c>
      <c r="AA312" s="51" t="s">
        <v>40</v>
      </c>
      <c r="AB312" s="48" t="s">
        <v>40</v>
      </c>
    </row>
    <row r="313" spans="1:28" s="18" customFormat="1" ht="67.5">
      <c r="A313" s="48">
        <v>2016</v>
      </c>
      <c r="B313" s="48" t="s">
        <v>64</v>
      </c>
      <c r="C313" s="79" t="str">
        <f>'[1]V, inciso o) (OP)'!C126</f>
        <v>DOPI-MUN-R33-PAV-AD-257-2016</v>
      </c>
      <c r="D313" s="50">
        <f>'[1]V, inciso o) (OP)'!V126</f>
        <v>42699</v>
      </c>
      <c r="E313" s="51" t="str">
        <f>'[1]V, inciso o) (OP)'!AA126</f>
        <v>Construcción de pavimento zamepado en la calle Laureles, de calle Paseo de los Manzanos a calle Palmeras, en la colonia Lomas de Tabachines  I sección, en el municipio de Zapopan, Jalisco. Frente 2</v>
      </c>
      <c r="F313" s="51" t="s">
        <v>739</v>
      </c>
      <c r="G313" s="49">
        <f>'[1]V, inciso o) (OP)'!Y126</f>
        <v>1524750.48</v>
      </c>
      <c r="H313" s="51" t="s">
        <v>136</v>
      </c>
      <c r="I313" s="48" t="str">
        <f>'[1]V, inciso o) (OP)'!M126</f>
        <v>JOAQUIN</v>
      </c>
      <c r="J313" s="48" t="str">
        <f>'[1]V, inciso o) (OP)'!N126</f>
        <v>RAMIREZ</v>
      </c>
      <c r="K313" s="48" t="str">
        <f>'[1]V, inciso o) (OP)'!O126</f>
        <v>GALLARDO</v>
      </c>
      <c r="L313" s="51" t="str">
        <f>'[1]V, inciso o) (OP)'!P126</f>
        <v>A. &amp; G. URBANIZADORA, S.A. DE C.V.</v>
      </c>
      <c r="M313" s="48" t="str">
        <f>'[1]V, inciso o) (OP)'!Q126</f>
        <v>AUR100826KX0</v>
      </c>
      <c r="N313" s="49">
        <f>'[1]V, inciso o) (OP)'!Y126</f>
        <v>1524750.48</v>
      </c>
      <c r="O313" s="77" t="s">
        <v>40</v>
      </c>
      <c r="P313" s="48" t="s">
        <v>889</v>
      </c>
      <c r="Q313" s="49">
        <f>N313/1033.62</f>
        <v>1475.1557438904047</v>
      </c>
      <c r="R313" s="48" t="s">
        <v>42</v>
      </c>
      <c r="S313" s="52">
        <v>336</v>
      </c>
      <c r="T313" s="51" t="s">
        <v>43</v>
      </c>
      <c r="U313" s="48" t="s">
        <v>565</v>
      </c>
      <c r="V313" s="50">
        <f>'[1]V, inciso o) (OP)'!AD126</f>
        <v>42702</v>
      </c>
      <c r="W313" s="50">
        <f>'[1]V, inciso o) (OP)'!AE126</f>
        <v>42822</v>
      </c>
      <c r="X313" s="48" t="s">
        <v>681</v>
      </c>
      <c r="Y313" s="48" t="s">
        <v>682</v>
      </c>
      <c r="Z313" s="48" t="s">
        <v>683</v>
      </c>
      <c r="AA313" s="51" t="s">
        <v>40</v>
      </c>
      <c r="AB313" s="48" t="s">
        <v>40</v>
      </c>
    </row>
    <row r="314" spans="1:28" ht="108">
      <c r="A314" s="5">
        <v>2016</v>
      </c>
      <c r="B314" s="5" t="s">
        <v>64</v>
      </c>
      <c r="C314" s="79" t="str">
        <f>'[1]V, inciso o) (OP)'!C127</f>
        <v>DOPI-MUN-R33-ELE-AD-258-2016</v>
      </c>
      <c r="D314" s="12">
        <f>'[1]V, inciso o) (OP)'!V127</f>
        <v>42699</v>
      </c>
      <c r="E314" s="7"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314" s="7" t="s">
        <v>739</v>
      </c>
      <c r="G314" s="8">
        <f>'[1]V, inciso o) (OP)'!Y127</f>
        <v>1393254.78</v>
      </c>
      <c r="H314" s="7" t="s">
        <v>508</v>
      </c>
      <c r="I314" s="5" t="str">
        <f>'[1]V, inciso o) (OP)'!M127</f>
        <v>JOSE DE JESUS</v>
      </c>
      <c r="J314" s="5" t="str">
        <f>'[1]V, inciso o) (OP)'!N127</f>
        <v>MARQUEZ</v>
      </c>
      <c r="K314" s="5" t="str">
        <f>'[1]V, inciso o) (OP)'!O127</f>
        <v>AVILA</v>
      </c>
      <c r="L314" s="7" t="str">
        <f>'[1]V, inciso o) (OP)'!P127</f>
        <v>FUTUROBRAS, S.A. DE C.V.</v>
      </c>
      <c r="M314" s="5" t="str">
        <f>'[1]V, inciso o) (OP)'!Q127</f>
        <v>FUT1110275V9</v>
      </c>
      <c r="N314" s="8">
        <f>'[1]V, inciso o) (OP)'!Y127</f>
        <v>1393254.78</v>
      </c>
      <c r="O314" s="77" t="s">
        <v>40</v>
      </c>
      <c r="P314" s="9" t="s">
        <v>890</v>
      </c>
      <c r="Q314" s="10">
        <f>N314/1210</f>
        <v>1151.4502314049587</v>
      </c>
      <c r="R314" s="9" t="s">
        <v>42</v>
      </c>
      <c r="S314" s="13">
        <v>298</v>
      </c>
      <c r="T314" s="7" t="s">
        <v>43</v>
      </c>
      <c r="U314" s="5" t="s">
        <v>565</v>
      </c>
      <c r="V314" s="6">
        <f>'[1]V, inciso o) (OP)'!AD127</f>
        <v>42702</v>
      </c>
      <c r="W314" s="6">
        <f>'[1]V, inciso o) (OP)'!AE127</f>
        <v>42852</v>
      </c>
      <c r="X314" s="9" t="s">
        <v>640</v>
      </c>
      <c r="Y314" s="9" t="s">
        <v>496</v>
      </c>
      <c r="Z314" s="9" t="s">
        <v>741</v>
      </c>
      <c r="AA314" s="40" t="s">
        <v>40</v>
      </c>
      <c r="AB314" s="5" t="s">
        <v>40</v>
      </c>
    </row>
    <row r="315" spans="1:28" ht="67.5">
      <c r="A315" s="5">
        <v>2016</v>
      </c>
      <c r="B315" s="5" t="s">
        <v>64</v>
      </c>
      <c r="C315" s="79" t="str">
        <f>'[1]V, inciso o) (OP)'!C128</f>
        <v>DOPI-MUN-R33-ELE-AD-259-2016</v>
      </c>
      <c r="D315" s="12">
        <f>'[1]V, inciso o) (OP)'!V128</f>
        <v>42710</v>
      </c>
      <c r="E315" s="7"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315" s="7" t="s">
        <v>739</v>
      </c>
      <c r="G315" s="8">
        <f>'[1]V, inciso o) (OP)'!Y128</f>
        <v>992115.87</v>
      </c>
      <c r="H315" s="7" t="s">
        <v>891</v>
      </c>
      <c r="I315" s="5" t="str">
        <f>'[1]V, inciso o) (OP)'!M128</f>
        <v>RODRIGO</v>
      </c>
      <c r="J315" s="5" t="str">
        <f>'[1]V, inciso o) (OP)'!N128</f>
        <v>SOLIS</v>
      </c>
      <c r="K315" s="5" t="str">
        <f>'[1]V, inciso o) (OP)'!O128</f>
        <v>RUIZ</v>
      </c>
      <c r="L315" s="7" t="str">
        <f>'[1]V, inciso o) (OP)'!P128</f>
        <v>EQUIPO MANTENIMIENTO Y PLANEACION ELECTRICA, S.A. DE C.V.</v>
      </c>
      <c r="M315" s="5" t="str">
        <f>'[1]V, inciso o) (OP)'!Q128</f>
        <v>EMP080630FL0</v>
      </c>
      <c r="N315" s="8">
        <f>'[1]V, inciso o) (OP)'!Y128</f>
        <v>992115.87</v>
      </c>
      <c r="O315" s="77" t="s">
        <v>40</v>
      </c>
      <c r="P315" s="9" t="s">
        <v>892</v>
      </c>
      <c r="Q315" s="10">
        <f>N315/870</f>
        <v>1140.3630689655172</v>
      </c>
      <c r="R315" s="9" t="s">
        <v>42</v>
      </c>
      <c r="S315" s="13">
        <v>586</v>
      </c>
      <c r="T315" s="7" t="s">
        <v>43</v>
      </c>
      <c r="U315" s="5" t="s">
        <v>565</v>
      </c>
      <c r="V315" s="6">
        <f>'[1]V, inciso o) (OP)'!AD128</f>
        <v>42711</v>
      </c>
      <c r="W315" s="6">
        <f>'[1]V, inciso o) (OP)'!AE128</f>
        <v>42794</v>
      </c>
      <c r="X315" s="9" t="s">
        <v>640</v>
      </c>
      <c r="Y315" s="9" t="s">
        <v>496</v>
      </c>
      <c r="Z315" s="9" t="s">
        <v>741</v>
      </c>
      <c r="AA315" s="40" t="s">
        <v>40</v>
      </c>
      <c r="AB315" s="5" t="s">
        <v>40</v>
      </c>
    </row>
    <row r="316" spans="1:28" ht="40.5">
      <c r="A316" s="5">
        <v>2016</v>
      </c>
      <c r="B316" s="5" t="s">
        <v>64</v>
      </c>
      <c r="C316" s="79" t="str">
        <f>'[1]V, inciso o) (OP)'!C129</f>
        <v>DOPI-MUN-R33-ELE-AD-260-2016</v>
      </c>
      <c r="D316" s="12">
        <f>'[1]V, inciso o) (OP)'!V129</f>
        <v>42710</v>
      </c>
      <c r="E316" s="7" t="str">
        <f>'[1]V, inciso o) (OP)'!AA129</f>
        <v xml:space="preserve">Electrificación de pozo, en la localidad Los Patios, en el municipio de Zapopan, Jalisco. </v>
      </c>
      <c r="F316" s="7" t="s">
        <v>739</v>
      </c>
      <c r="G316" s="8">
        <f>'[1]V, inciso o) (OP)'!Y129</f>
        <v>1502368.1</v>
      </c>
      <c r="H316" s="7" t="s">
        <v>881</v>
      </c>
      <c r="I316" s="5" t="str">
        <f>'[1]V, inciso o) (OP)'!M129</f>
        <v>FAUSTO</v>
      </c>
      <c r="J316" s="5" t="str">
        <f>'[1]V, inciso o) (OP)'!N129</f>
        <v>GARNICA</v>
      </c>
      <c r="K316" s="5" t="str">
        <f>'[1]V, inciso o) (OP)'!O129</f>
        <v>PADILLA</v>
      </c>
      <c r="L316" s="7" t="str">
        <f>'[1]V, inciso o) (OP)'!P129</f>
        <v>FAUSTO GARNICA PADILLA</v>
      </c>
      <c r="M316" s="5" t="str">
        <f>'[1]V, inciso o) (OP)'!Q129</f>
        <v>GAPF5912193V9</v>
      </c>
      <c r="N316" s="8">
        <f>'[1]V, inciso o) (OP)'!Y129</f>
        <v>1502368.1</v>
      </c>
      <c r="O316" s="77" t="s">
        <v>40</v>
      </c>
      <c r="P316" s="9" t="s">
        <v>51</v>
      </c>
      <c r="Q316" s="10">
        <f>N316</f>
        <v>1502368.1</v>
      </c>
      <c r="R316" s="9" t="s">
        <v>42</v>
      </c>
      <c r="S316" s="13">
        <v>39</v>
      </c>
      <c r="T316" s="7" t="s">
        <v>43</v>
      </c>
      <c r="U316" s="5" t="s">
        <v>565</v>
      </c>
      <c r="V316" s="6">
        <f>'[1]V, inciso o) (OP)'!AD129</f>
        <v>42711</v>
      </c>
      <c r="W316" s="6">
        <f>'[1]V, inciso o) (OP)'!AE129</f>
        <v>42861</v>
      </c>
      <c r="X316" s="9" t="s">
        <v>640</v>
      </c>
      <c r="Y316" s="9" t="s">
        <v>496</v>
      </c>
      <c r="Z316" s="9" t="s">
        <v>741</v>
      </c>
      <c r="AA316" s="40" t="s">
        <v>40</v>
      </c>
      <c r="AB316" s="5" t="s">
        <v>40</v>
      </c>
    </row>
    <row r="317" spans="1:28" ht="81">
      <c r="A317" s="5">
        <v>2016</v>
      </c>
      <c r="B317" s="5" t="s">
        <v>64</v>
      </c>
      <c r="C317" s="79" t="str">
        <f>'[1]V, inciso o) (OP)'!C130</f>
        <v>DOPI-MUN-R33-IH-AD-261-2016</v>
      </c>
      <c r="D317" s="12">
        <f>'[1]V, inciso o) (OP)'!V130</f>
        <v>42710</v>
      </c>
      <c r="E317" s="7"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317" s="7" t="s">
        <v>739</v>
      </c>
      <c r="G317" s="8">
        <f>'[1]V, inciso o) (OP)'!Y130</f>
        <v>560225.48</v>
      </c>
      <c r="H317" s="7" t="s">
        <v>893</v>
      </c>
      <c r="I317" s="5" t="str">
        <f>'[1]V, inciso o) (OP)'!M130</f>
        <v>MADELEINE</v>
      </c>
      <c r="J317" s="5" t="str">
        <f>'[1]V, inciso o) (OP)'!N130</f>
        <v xml:space="preserve">GARZA </v>
      </c>
      <c r="K317" s="5" t="str">
        <f>'[1]V, inciso o) (OP)'!O130</f>
        <v>ESTRADA</v>
      </c>
      <c r="L317" s="7" t="str">
        <f>'[1]V, inciso o) (OP)'!P130</f>
        <v>SINERGIA URBANA, S.A. DE C.V.</v>
      </c>
      <c r="M317" s="5" t="str">
        <f>'[1]V, inciso o) (OP)'!Q130</f>
        <v>SUR091203ERA</v>
      </c>
      <c r="N317" s="8">
        <f>'[1]V, inciso o) (OP)'!Y130</f>
        <v>560225.48</v>
      </c>
      <c r="O317" s="77" t="s">
        <v>40</v>
      </c>
      <c r="P317" s="9" t="s">
        <v>894</v>
      </c>
      <c r="Q317" s="10">
        <f>N317/112</f>
        <v>5002.0132142857137</v>
      </c>
      <c r="R317" s="9" t="s">
        <v>42</v>
      </c>
      <c r="S317" s="13">
        <v>125</v>
      </c>
      <c r="T317" s="7" t="s">
        <v>43</v>
      </c>
      <c r="U317" s="5" t="s">
        <v>565</v>
      </c>
      <c r="V317" s="6">
        <f>'[1]V, inciso o) (OP)'!AD130</f>
        <v>42711</v>
      </c>
      <c r="W317" s="6">
        <f>'[1]V, inciso o) (OP)'!AE130</f>
        <v>42771</v>
      </c>
      <c r="X317" s="9" t="s">
        <v>536</v>
      </c>
      <c r="Y317" s="9" t="s">
        <v>383</v>
      </c>
      <c r="Z317" s="9" t="s">
        <v>300</v>
      </c>
      <c r="AA317" s="40" t="s">
        <v>40</v>
      </c>
      <c r="AB317" s="5" t="s">
        <v>40</v>
      </c>
    </row>
    <row r="318" spans="1:28" ht="108">
      <c r="A318" s="5">
        <v>2016</v>
      </c>
      <c r="B318" s="5" t="s">
        <v>64</v>
      </c>
      <c r="C318" s="79" t="str">
        <f>'[1]V, inciso o) (OP)'!C131</f>
        <v>DOPI-MUN-R33-IH-AD-262-2016</v>
      </c>
      <c r="D318" s="12">
        <f>'[1]V, inciso o) (OP)'!V131</f>
        <v>42713</v>
      </c>
      <c r="E318" s="7"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318" s="7" t="s">
        <v>739</v>
      </c>
      <c r="G318" s="8">
        <f>'[1]V, inciso o) (OP)'!Y131</f>
        <v>1337560.18</v>
      </c>
      <c r="H318" s="7" t="s">
        <v>124</v>
      </c>
      <c r="I318" s="5" t="str">
        <f>'[1]V, inciso o) (OP)'!M131</f>
        <v>JUAN</v>
      </c>
      <c r="J318" s="5" t="str">
        <f>'[1]V, inciso o) (OP)'!N131</f>
        <v>PADILLA</v>
      </c>
      <c r="K318" s="5" t="str">
        <f>'[1]V, inciso o) (OP)'!O131</f>
        <v>AILHAUD</v>
      </c>
      <c r="L318" s="7" t="str">
        <f>'[1]V, inciso o) (OP)'!P131</f>
        <v>TRAMA CONSTRUCTORA Y MAQUINARIA, S.A. DE C.V.</v>
      </c>
      <c r="M318" s="5" t="str">
        <f>'[1]V, inciso o) (OP)'!Q131</f>
        <v>TCM0111148H5</v>
      </c>
      <c r="N318" s="8">
        <f>'[1]V, inciso o) (OP)'!Y131</f>
        <v>1337560.18</v>
      </c>
      <c r="O318" s="77" t="s">
        <v>40</v>
      </c>
      <c r="P318" s="9" t="s">
        <v>895</v>
      </c>
      <c r="Q318" s="10">
        <f>N318/1114.44</f>
        <v>1200.2083378198915</v>
      </c>
      <c r="R318" s="9" t="s">
        <v>42</v>
      </c>
      <c r="S318" s="13">
        <v>221</v>
      </c>
      <c r="T318" s="7" t="s">
        <v>43</v>
      </c>
      <c r="U318" s="5" t="s">
        <v>565</v>
      </c>
      <c r="V318" s="6">
        <f>'[1]V, inciso o) (OP)'!AD131</f>
        <v>42716</v>
      </c>
      <c r="W318" s="6">
        <f>'[1]V, inciso o) (OP)'!AE131</f>
        <v>42806</v>
      </c>
      <c r="X318" s="9" t="s">
        <v>671</v>
      </c>
      <c r="Y318" s="9" t="s">
        <v>334</v>
      </c>
      <c r="Z318" s="9" t="s">
        <v>133</v>
      </c>
      <c r="AA318" s="40" t="s">
        <v>40</v>
      </c>
      <c r="AB318" s="5" t="s">
        <v>40</v>
      </c>
    </row>
    <row r="319" spans="1:28" ht="81">
      <c r="A319" s="5">
        <v>2016</v>
      </c>
      <c r="B319" s="5" t="s">
        <v>64</v>
      </c>
      <c r="C319" s="79" t="str">
        <f>'[1]V, inciso o) (OP)'!C132</f>
        <v>DOPI-MUN-R33-PAV-AD-263-2016</v>
      </c>
      <c r="D319" s="12">
        <f>'[1]V, inciso o) (OP)'!V132</f>
        <v>42713</v>
      </c>
      <c r="E319" s="7"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319" s="7" t="s">
        <v>739</v>
      </c>
      <c r="G319" s="8">
        <f>'[1]V, inciso o) (OP)'!Y132</f>
        <v>1510487.16</v>
      </c>
      <c r="H319" s="7" t="s">
        <v>884</v>
      </c>
      <c r="I319" s="5" t="str">
        <f>'[1]V, inciso o) (OP)'!M132</f>
        <v>ROBERTO</v>
      </c>
      <c r="J319" s="5" t="str">
        <f>'[1]V, inciso o) (OP)'!N132</f>
        <v>FLORES</v>
      </c>
      <c r="K319" s="5" t="str">
        <f>'[1]V, inciso o) (OP)'!O132</f>
        <v>ARREOLA</v>
      </c>
      <c r="L319" s="7" t="str">
        <f>'[1]V, inciso o) (OP)'!P132</f>
        <v>ESTUDIOS SISTEMAS Y CONSTRUCCIONES, S.A. DE C.V.</v>
      </c>
      <c r="M319" s="5" t="str">
        <f>'[1]V, inciso o) (OP)'!Q132</f>
        <v>ESC930617KW9</v>
      </c>
      <c r="N319" s="8">
        <f>'[1]V, inciso o) (OP)'!Y132</f>
        <v>1510487.16</v>
      </c>
      <c r="O319" s="77" t="s">
        <v>40</v>
      </c>
      <c r="P319" s="9" t="s">
        <v>896</v>
      </c>
      <c r="Q319" s="10">
        <f>N319/727.89</f>
        <v>2075.1585541771419</v>
      </c>
      <c r="R319" s="9" t="s">
        <v>42</v>
      </c>
      <c r="S319" s="13">
        <v>352</v>
      </c>
      <c r="T319" s="7" t="s">
        <v>43</v>
      </c>
      <c r="U319" s="5" t="s">
        <v>565</v>
      </c>
      <c r="V319" s="6">
        <f>'[1]V, inciso o) (OP)'!AD132</f>
        <v>42716</v>
      </c>
      <c r="W319" s="6">
        <f>'[1]V, inciso o) (OP)'!AE132</f>
        <v>42836</v>
      </c>
      <c r="X319" s="9" t="s">
        <v>681</v>
      </c>
      <c r="Y319" s="9" t="s">
        <v>682</v>
      </c>
      <c r="Z319" s="9" t="s">
        <v>683</v>
      </c>
      <c r="AA319" s="40" t="s">
        <v>40</v>
      </c>
      <c r="AB319" s="5" t="s">
        <v>40</v>
      </c>
    </row>
    <row r="320" spans="1:28" ht="40.5">
      <c r="A320" s="5">
        <v>2016</v>
      </c>
      <c r="B320" s="5" t="s">
        <v>64</v>
      </c>
      <c r="C320" s="79" t="str">
        <f>'[1]V, inciso o) (OP)'!C133</f>
        <v>DOPI-MUN-R33 BAN-AD-264-2016</v>
      </c>
      <c r="D320" s="12">
        <f>'[1]V, inciso o) (OP)'!V133</f>
        <v>42713</v>
      </c>
      <c r="E320" s="7" t="str">
        <f>'[1]V, inciso o) (OP)'!AA133</f>
        <v>Construcción de puente peatonal en el cruce de la calle Albañiles y calle Mirador, en la colonia Cabañitas, municipio de Zapopan, Jalisco.</v>
      </c>
      <c r="F320" s="7" t="s">
        <v>739</v>
      </c>
      <c r="G320" s="8">
        <f>'[1]V, inciso o) (OP)'!Y133</f>
        <v>1495874.33</v>
      </c>
      <c r="H320" s="7" t="s">
        <v>897</v>
      </c>
      <c r="I320" s="5" t="str">
        <f>'[1]V, inciso o) (OP)'!M133</f>
        <v>BRUNO</v>
      </c>
      <c r="J320" s="5" t="str">
        <f>'[1]V, inciso o) (OP)'!N133</f>
        <v>RUIZ</v>
      </c>
      <c r="K320" s="5" t="str">
        <f>'[1]V, inciso o) (OP)'!O133</f>
        <v>CASTAÑEDA</v>
      </c>
      <c r="L320" s="7" t="str">
        <f>'[1]V, inciso o) (OP)'!P133</f>
        <v>SERVICIOS DE INGENIERIA APLICADA, S.A. DE C.V.</v>
      </c>
      <c r="M320" s="5" t="str">
        <f>'[1]V, inciso o) (OP)'!Q133</f>
        <v>SIA011224UN1</v>
      </c>
      <c r="N320" s="8">
        <f>'[1]V, inciso o) (OP)'!Y133</f>
        <v>1495874.33</v>
      </c>
      <c r="O320" s="77"/>
      <c r="P320" s="9" t="s">
        <v>898</v>
      </c>
      <c r="Q320" s="10">
        <f>N320/20</f>
        <v>74793.71650000001</v>
      </c>
      <c r="R320" s="9" t="s">
        <v>42</v>
      </c>
      <c r="S320" s="13">
        <v>600</v>
      </c>
      <c r="T320" s="7" t="s">
        <v>43</v>
      </c>
      <c r="U320" s="5" t="s">
        <v>565</v>
      </c>
      <c r="V320" s="6">
        <f>'[1]V, inciso o) (OP)'!AD133</f>
        <v>42716</v>
      </c>
      <c r="W320" s="6">
        <f>'[1]V, inciso o) (OP)'!AE133</f>
        <v>42836</v>
      </c>
      <c r="X320" s="9" t="s">
        <v>681</v>
      </c>
      <c r="Y320" s="9" t="s">
        <v>682</v>
      </c>
      <c r="Z320" s="9" t="s">
        <v>683</v>
      </c>
      <c r="AA320" s="40" t="s">
        <v>40</v>
      </c>
      <c r="AB320" s="5" t="s">
        <v>40</v>
      </c>
    </row>
    <row r="321" spans="1:28" ht="40.5">
      <c r="A321" s="5">
        <v>2016</v>
      </c>
      <c r="B321" s="5" t="s">
        <v>64</v>
      </c>
      <c r="C321" s="79" t="str">
        <f>'[1]V, inciso o) (OP)'!C134</f>
        <v>DOPI-MUN-R33-ELE-AD-265-2016</v>
      </c>
      <c r="D321" s="12">
        <f>'[1]V, inciso o) (OP)'!V134</f>
        <v>42713</v>
      </c>
      <c r="E321" s="7" t="str">
        <f>'[1]V, inciso o) (OP)'!AA134</f>
        <v>Electrificación en la calle La Sidra, de calle Naranjo a 700 m,  en la localidad San Esteban,  en el municipio de Zapopan, Jalisco.</v>
      </c>
      <c r="F321" s="7" t="s">
        <v>739</v>
      </c>
      <c r="G321" s="8">
        <f>'[1]V, inciso o) (OP)'!Y134</f>
        <v>1475654.13</v>
      </c>
      <c r="H321" s="7" t="s">
        <v>899</v>
      </c>
      <c r="I321" s="5" t="str">
        <f>'[1]V, inciso o) (OP)'!M134</f>
        <v xml:space="preserve">HÉCTOR ALEJANDRO </v>
      </c>
      <c r="J321" s="5" t="str">
        <f>'[1]V, inciso o) (OP)'!N134</f>
        <v xml:space="preserve">ORTEGA </v>
      </c>
      <c r="K321" s="5" t="str">
        <f>'[1]V, inciso o) (OP)'!O134</f>
        <v>ROSALES</v>
      </c>
      <c r="L321" s="7" t="str">
        <f>'[1]V, inciso o) (OP)'!P134</f>
        <v>IME SERVICIOS Y SUMINISTROS, S.A. DE C.V.</v>
      </c>
      <c r="M321" s="5" t="str">
        <f>'[1]V, inciso o) (OP)'!Q134</f>
        <v>ISS920330811</v>
      </c>
      <c r="N321" s="8">
        <f>'[1]V, inciso o) (OP)'!Y134</f>
        <v>1475654.13</v>
      </c>
      <c r="O321" s="77" t="s">
        <v>40</v>
      </c>
      <c r="P321" s="9" t="s">
        <v>900</v>
      </c>
      <c r="Q321" s="10">
        <f>N321/1285</f>
        <v>1148.3689727626459</v>
      </c>
      <c r="R321" s="9" t="s">
        <v>42</v>
      </c>
      <c r="S321" s="13">
        <v>3726</v>
      </c>
      <c r="T321" s="7" t="s">
        <v>43</v>
      </c>
      <c r="U321" s="5" t="s">
        <v>565</v>
      </c>
      <c r="V321" s="6">
        <f>'[1]V, inciso o) (OP)'!AD134</f>
        <v>42716</v>
      </c>
      <c r="W321" s="6">
        <f>'[1]V, inciso o) (OP)'!AE134</f>
        <v>42866</v>
      </c>
      <c r="X321" s="9" t="s">
        <v>640</v>
      </c>
      <c r="Y321" s="9" t="s">
        <v>496</v>
      </c>
      <c r="Z321" s="9" t="s">
        <v>741</v>
      </c>
      <c r="AA321" s="40" t="s">
        <v>40</v>
      </c>
      <c r="AB321" s="5" t="s">
        <v>40</v>
      </c>
    </row>
    <row r="322" spans="1:28" ht="40.5">
      <c r="A322" s="5">
        <v>2016</v>
      </c>
      <c r="B322" s="5" t="s">
        <v>64</v>
      </c>
      <c r="C322" s="79" t="str">
        <f>'[1]V, inciso o) (OP)'!C135</f>
        <v>DOPI-MUN-R33-ELE-AD-266-2016</v>
      </c>
      <c r="D322" s="12">
        <f>'[1]V, inciso o) (OP)'!V135</f>
        <v>42713</v>
      </c>
      <c r="E322" s="7" t="str">
        <f>'[1]V, inciso o) (OP)'!AA135</f>
        <v xml:space="preserve">Línea de electrificación de pozo, en la localidad Milpillas Mesa De San Juan, en el municipio de Zapopan, Jalisco. </v>
      </c>
      <c r="F322" s="7" t="s">
        <v>739</v>
      </c>
      <c r="G322" s="8">
        <f>'[1]V, inciso o) (OP)'!Y135</f>
        <v>1497365.47</v>
      </c>
      <c r="H322" s="7" t="s">
        <v>901</v>
      </c>
      <c r="I322" s="5" t="str">
        <f>'[1]V, inciso o) (OP)'!M135</f>
        <v>JOSUE FERNANDO RAFAEL</v>
      </c>
      <c r="J322" s="5" t="str">
        <f>'[1]V, inciso o) (OP)'!N135</f>
        <v>ESCANES</v>
      </c>
      <c r="K322" s="5" t="str">
        <f>'[1]V, inciso o) (OP)'!O135</f>
        <v>TAMES</v>
      </c>
      <c r="L322" s="7" t="str">
        <f>'[1]V, inciso o) (OP)'!P135</f>
        <v>JALCO ILUMINACION, S.A. DE C.V.</v>
      </c>
      <c r="M322" s="5" t="str">
        <f>'[1]V, inciso o) (OP)'!Q135</f>
        <v>JIL9410139F9</v>
      </c>
      <c r="N322" s="8">
        <f>'[1]V, inciso o) (OP)'!Y135</f>
        <v>1497365.47</v>
      </c>
      <c r="O322" s="77" t="s">
        <v>40</v>
      </c>
      <c r="P322" s="9" t="s">
        <v>51</v>
      </c>
      <c r="Q322" s="10">
        <f>N322</f>
        <v>1497365.47</v>
      </c>
      <c r="R322" s="9" t="s">
        <v>42</v>
      </c>
      <c r="S322" s="13">
        <v>86</v>
      </c>
      <c r="T322" s="7" t="s">
        <v>43</v>
      </c>
      <c r="U322" s="5" t="s">
        <v>565</v>
      </c>
      <c r="V322" s="6">
        <f>'[1]V, inciso o) (OP)'!AD135</f>
        <v>42716</v>
      </c>
      <c r="W322" s="6">
        <f>'[1]V, inciso o) (OP)'!AE135</f>
        <v>42866</v>
      </c>
      <c r="X322" s="9" t="s">
        <v>640</v>
      </c>
      <c r="Y322" s="9" t="s">
        <v>496</v>
      </c>
      <c r="Z322" s="9" t="s">
        <v>741</v>
      </c>
      <c r="AA322" s="40" t="s">
        <v>40</v>
      </c>
      <c r="AB322" s="5" t="s">
        <v>40</v>
      </c>
    </row>
    <row r="323" spans="1:28" ht="81">
      <c r="A323" s="5">
        <v>2016</v>
      </c>
      <c r="B323" s="5" t="s">
        <v>64</v>
      </c>
      <c r="C323" s="79" t="str">
        <f>'[1]V, inciso o) (OP)'!C136</f>
        <v>DOPI-MUN-RM-IM-AD-267-2016</v>
      </c>
      <c r="D323" s="12">
        <f>'[1]V, inciso o) (OP)'!V136</f>
        <v>42713</v>
      </c>
      <c r="E323" s="7"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323" s="7" t="s">
        <v>184</v>
      </c>
      <c r="G323" s="8">
        <f>'[1]V, inciso o) (OP)'!Y136</f>
        <v>1390897.36</v>
      </c>
      <c r="H323" s="7" t="s">
        <v>902</v>
      </c>
      <c r="I323" s="5" t="str">
        <f>'[1]V, inciso o) (OP)'!M136</f>
        <v xml:space="preserve">RAFAEL </v>
      </c>
      <c r="J323" s="5" t="str">
        <f>'[1]V, inciso o) (OP)'!N136</f>
        <v>ARREGUIN</v>
      </c>
      <c r="K323" s="5" t="str">
        <f>'[1]V, inciso o) (OP)'!O136</f>
        <v>RENTERIA</v>
      </c>
      <c r="L323" s="7" t="str">
        <f>'[1]V, inciso o) (OP)'!P136</f>
        <v xml:space="preserve">ARH DESARROLLOS INMOBILIARIOS, S.A. DE C.V. </v>
      </c>
      <c r="M323" s="5" t="str">
        <f>'[1]V, inciso o) (OP)'!Q136</f>
        <v>ADI130522MB7</v>
      </c>
      <c r="N323" s="8">
        <f>'[1]V, inciso o) (OP)'!Y136</f>
        <v>1390897.36</v>
      </c>
      <c r="O323" s="77" t="s">
        <v>40</v>
      </c>
      <c r="P323" s="9" t="s">
        <v>903</v>
      </c>
      <c r="Q323" s="10">
        <f>N323/1380</f>
        <v>1007.8966376811595</v>
      </c>
      <c r="R323" s="9" t="s">
        <v>42</v>
      </c>
      <c r="S323" s="13">
        <v>1263</v>
      </c>
      <c r="T323" s="7" t="s">
        <v>43</v>
      </c>
      <c r="U323" s="5" t="s">
        <v>565</v>
      </c>
      <c r="V323" s="6">
        <f>'[1]V, inciso o) (OP)'!AD136</f>
        <v>42716</v>
      </c>
      <c r="W323" s="6">
        <f>'[1]V, inciso o) (OP)'!AE136</f>
        <v>42746</v>
      </c>
      <c r="X323" s="9" t="s">
        <v>835</v>
      </c>
      <c r="Y323" s="9" t="s">
        <v>519</v>
      </c>
      <c r="Z323" s="9" t="s">
        <v>63</v>
      </c>
      <c r="AA323" s="40" t="s">
        <v>40</v>
      </c>
      <c r="AB323" s="5" t="s">
        <v>40</v>
      </c>
    </row>
    <row r="324" spans="1:28" ht="81">
      <c r="A324" s="5">
        <v>2016</v>
      </c>
      <c r="B324" s="5" t="s">
        <v>64</v>
      </c>
      <c r="C324" s="79" t="str">
        <f>'[1]V, inciso o) (OP)'!C137</f>
        <v>DOPI-MUN-RM-IM-AD-268-2016</v>
      </c>
      <c r="D324" s="12">
        <f>'[1]V, inciso o) (OP)'!V137</f>
        <v>42713</v>
      </c>
      <c r="E324" s="7"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324" s="7" t="s">
        <v>184</v>
      </c>
      <c r="G324" s="8">
        <f>'[1]V, inciso o) (OP)'!Y137</f>
        <v>1472678.88</v>
      </c>
      <c r="H324" s="7" t="s">
        <v>904</v>
      </c>
      <c r="I324" s="5" t="str">
        <f>'[1]V, inciso o) (OP)'!M137</f>
        <v xml:space="preserve">GUILLERMO </v>
      </c>
      <c r="J324" s="5" t="str">
        <f>'[1]V, inciso o) (OP)'!N137</f>
        <v>RODRIGUEZ</v>
      </c>
      <c r="K324" s="5" t="str">
        <f>'[1]V, inciso o) (OP)'!O137</f>
        <v>MEZA</v>
      </c>
      <c r="L324" s="7" t="str">
        <f>'[1]V, inciso o) (OP)'!P137</f>
        <v>CORPORATIVO ALMIRA DE JALISCO, S.A. DE C.V.</v>
      </c>
      <c r="M324" s="5" t="str">
        <f>'[1]V, inciso o) (OP)'!Q137</f>
        <v>CAJ1208151M8</v>
      </c>
      <c r="N324" s="8">
        <f>'[1]V, inciso o) (OP)'!Y137</f>
        <v>1472678.88</v>
      </c>
      <c r="O324" s="77" t="s">
        <v>40</v>
      </c>
      <c r="P324" s="9" t="s">
        <v>905</v>
      </c>
      <c r="Q324" s="10">
        <f>N324/1461.14</f>
        <v>1007.8971761775051</v>
      </c>
      <c r="R324" s="9" t="s">
        <v>42</v>
      </c>
      <c r="S324" s="13">
        <v>1158</v>
      </c>
      <c r="T324" s="7" t="s">
        <v>43</v>
      </c>
      <c r="U324" s="5" t="s">
        <v>565</v>
      </c>
      <c r="V324" s="6">
        <f>'[1]V, inciso o) (OP)'!AD137</f>
        <v>42716</v>
      </c>
      <c r="W324" s="6">
        <f>'[1]V, inciso o) (OP)'!AE137</f>
        <v>42776</v>
      </c>
      <c r="X324" s="9" t="s">
        <v>835</v>
      </c>
      <c r="Y324" s="9" t="s">
        <v>519</v>
      </c>
      <c r="Z324" s="9" t="s">
        <v>63</v>
      </c>
      <c r="AA324" s="40" t="s">
        <v>40</v>
      </c>
      <c r="AB324" s="5" t="s">
        <v>40</v>
      </c>
    </row>
    <row r="325" spans="1:28" ht="54">
      <c r="A325" s="5">
        <v>2016</v>
      </c>
      <c r="B325" s="5" t="s">
        <v>64</v>
      </c>
      <c r="C325" s="79" t="str">
        <f>'[1]V, inciso o) (OP)'!C138</f>
        <v>DOPI-MUN-RM-PROY-AD-269-2016</v>
      </c>
      <c r="D325" s="12">
        <f>'[1]V, inciso o) (OP)'!V138</f>
        <v>42713</v>
      </c>
      <c r="E325" s="7" t="str">
        <f>'[1]V, inciso o) (OP)'!AA138</f>
        <v>Diagnóstico, diseño y proyectos hidráulicos 2016, segunda etapa, de diferentes redes de agua potable y alcantarillado, municipio de Zapopan Jalisco.</v>
      </c>
      <c r="F325" s="7" t="s">
        <v>184</v>
      </c>
      <c r="G325" s="8">
        <f>'[1]V, inciso o) (OP)'!Y138</f>
        <v>1095388.1499999999</v>
      </c>
      <c r="H325" s="7" t="s">
        <v>583</v>
      </c>
      <c r="I325" s="5" t="str">
        <f>'[1]V, inciso o) (OP)'!M138</f>
        <v xml:space="preserve">RODOLFO </v>
      </c>
      <c r="J325" s="5" t="str">
        <f>'[1]V, inciso o) (OP)'!N138</f>
        <v xml:space="preserve">VELAZQUEZ </v>
      </c>
      <c r="K325" s="5" t="str">
        <f>'[1]V, inciso o) (OP)'!O138</f>
        <v>ORDOÑEZ</v>
      </c>
      <c r="L325" s="7" t="str">
        <f>'[1]V, inciso o) (OP)'!P138</f>
        <v>VELAZQUEZ INGENIERIA ECOLOGICA, S.A. DE C.V.</v>
      </c>
      <c r="M325" s="5" t="str">
        <f>'[1]V, inciso o) (OP)'!Q138</f>
        <v>VIE110125RL4</v>
      </c>
      <c r="N325" s="8">
        <f>'[1]V, inciso o) (OP)'!Y138</f>
        <v>1095388.1499999999</v>
      </c>
      <c r="O325" s="77" t="s">
        <v>40</v>
      </c>
      <c r="P325" s="5" t="s">
        <v>847</v>
      </c>
      <c r="Q325" s="8">
        <f>N325</f>
        <v>1095388.1499999999</v>
      </c>
      <c r="R325" s="5" t="s">
        <v>232</v>
      </c>
      <c r="S325" s="11" t="s">
        <v>232</v>
      </c>
      <c r="T325" s="7" t="s">
        <v>43</v>
      </c>
      <c r="U325" s="5" t="s">
        <v>565</v>
      </c>
      <c r="V325" s="6">
        <f>'[1]V, inciso o) (OP)'!AD138</f>
        <v>42716</v>
      </c>
      <c r="W325" s="6">
        <f>'[1]V, inciso o) (OP)'!AE138</f>
        <v>42866</v>
      </c>
      <c r="X325" s="9" t="s">
        <v>906</v>
      </c>
      <c r="Y325" s="9" t="s">
        <v>907</v>
      </c>
      <c r="Z325" s="9" t="s">
        <v>245</v>
      </c>
      <c r="AA325" s="40" t="s">
        <v>40</v>
      </c>
      <c r="AB325" s="5" t="s">
        <v>40</v>
      </c>
    </row>
    <row r="326" spans="1:28" ht="54">
      <c r="A326" s="5">
        <v>2016</v>
      </c>
      <c r="B326" s="5" t="s">
        <v>64</v>
      </c>
      <c r="C326" s="79" t="str">
        <f>'[1]V, inciso o) (OP)'!C139</f>
        <v>DOPI-MUN-RM-IM-AD-270-2016</v>
      </c>
      <c r="D326" s="12">
        <f>'[1]V, inciso o) (OP)'!V139</f>
        <v>42713</v>
      </c>
      <c r="E326" s="7" t="str">
        <f>'[1]V, inciso o) (OP)'!AA139</f>
        <v>Rehabilitación de baños públicos en el Centro Acuatico Zapopan, Unidad Deportiva Francisco Villa y en la Unidad Deportiva Base Aérea, Municipio de Zapopan, Jalisco.</v>
      </c>
      <c r="F326" s="7" t="s">
        <v>184</v>
      </c>
      <c r="G326" s="8">
        <f>'[1]V, inciso o) (OP)'!Y139</f>
        <v>1485215.47</v>
      </c>
      <c r="H326" s="7" t="s">
        <v>583</v>
      </c>
      <c r="I326" s="5" t="str">
        <f>'[1]V, inciso o) (OP)'!M139</f>
        <v xml:space="preserve">JUAN RAUL </v>
      </c>
      <c r="J326" s="5" t="str">
        <f>'[1]V, inciso o) (OP)'!N139</f>
        <v>RODRIGUEZ</v>
      </c>
      <c r="K326" s="5" t="str">
        <f>'[1]V, inciso o) (OP)'!O139</f>
        <v>GUERRERO</v>
      </c>
      <c r="L326" s="7" t="str">
        <f>'[1]V, inciso o) (OP)'!P139</f>
        <v xml:space="preserve">SUMA TERRA OBRAS Y PROYECTOS, S.A. DE C.V. </v>
      </c>
      <c r="M326" s="5" t="str">
        <f>'[1]V, inciso o) (OP)'!Q139</f>
        <v>STO0707062J9</v>
      </c>
      <c r="N326" s="8">
        <f>'[1]V, inciso o) (OP)'!Y139</f>
        <v>1485215.47</v>
      </c>
      <c r="O326" s="77" t="s">
        <v>40</v>
      </c>
      <c r="P326" s="9">
        <v>115.21</v>
      </c>
      <c r="Q326" s="10">
        <f>N326/115.21</f>
        <v>12891.376356219078</v>
      </c>
      <c r="R326" s="9" t="s">
        <v>42</v>
      </c>
      <c r="S326" s="13">
        <v>1865</v>
      </c>
      <c r="T326" s="7" t="s">
        <v>43</v>
      </c>
      <c r="U326" s="5" t="s">
        <v>565</v>
      </c>
      <c r="V326" s="6">
        <f>'[1]V, inciso o) (OP)'!AD139</f>
        <v>42716</v>
      </c>
      <c r="W326" s="6">
        <f>'[1]V, inciso o) (OP)'!AE139</f>
        <v>42806</v>
      </c>
      <c r="X326" s="9" t="s">
        <v>686</v>
      </c>
      <c r="Y326" s="9" t="s">
        <v>687</v>
      </c>
      <c r="Z326" s="9" t="s">
        <v>268</v>
      </c>
      <c r="AA326" s="40" t="s">
        <v>40</v>
      </c>
      <c r="AB326" s="5" t="s">
        <v>40</v>
      </c>
    </row>
    <row r="327" spans="1:28" ht="67.5">
      <c r="A327" s="5">
        <v>2016</v>
      </c>
      <c r="B327" s="5" t="s">
        <v>64</v>
      </c>
      <c r="C327" s="79" t="str">
        <f>'[1]V, inciso o) (OP)'!C140</f>
        <v>DOPI-MUN-RM-IM-AD-272-2016</v>
      </c>
      <c r="D327" s="12">
        <f>'[1]V, inciso o) (OP)'!V140</f>
        <v>42713</v>
      </c>
      <c r="E327" s="7" t="str">
        <f>'[1]V, inciso o) (OP)'!AA140</f>
        <v>Rehabilitación de baños públicos en la Unidad Deportiva El Vergel, Unidad Deportiva Santa Margarita "Las Margaritas" y en la Unidad Deportiva Santa Ana Tepetitlán, municipio de Zapopan, Jalisco</v>
      </c>
      <c r="F327" s="7" t="s">
        <v>184</v>
      </c>
      <c r="G327" s="8">
        <f>'[1]V, inciso o) (OP)'!Y140</f>
        <v>1450236.87</v>
      </c>
      <c r="H327" s="7" t="s">
        <v>908</v>
      </c>
      <c r="I327" s="5" t="str">
        <f>'[1]V, inciso o) (OP)'!M140</f>
        <v xml:space="preserve">ARTURO </v>
      </c>
      <c r="J327" s="5" t="str">
        <f>'[1]V, inciso o) (OP)'!N140</f>
        <v>DISTANCIA</v>
      </c>
      <c r="K327" s="5" t="str">
        <f>'[1]V, inciso o) (OP)'!O140</f>
        <v>SANCHEZ</v>
      </c>
      <c r="L327" s="7" t="str">
        <f>'[1]V, inciso o) (OP)'!P140</f>
        <v>JAVAX CONSULTORES, S.A. DE C.V.</v>
      </c>
      <c r="M327" s="5" t="str">
        <f>'[1]V, inciso o) (OP)'!Q140</f>
        <v>JCO160413SK4</v>
      </c>
      <c r="N327" s="8">
        <f>'[1]V, inciso o) (OP)'!Y140</f>
        <v>1450236.87</v>
      </c>
      <c r="O327" s="77" t="s">
        <v>40</v>
      </c>
      <c r="P327" s="9">
        <v>89.68</v>
      </c>
      <c r="Q327" s="10">
        <f>N327/89.68</f>
        <v>16171.240744870651</v>
      </c>
      <c r="R327" s="9" t="s">
        <v>42</v>
      </c>
      <c r="S327" s="13">
        <v>6522</v>
      </c>
      <c r="T327" s="7" t="s">
        <v>43</v>
      </c>
      <c r="U327" s="5" t="s">
        <v>565</v>
      </c>
      <c r="V327" s="6">
        <f>'[1]V, inciso o) (OP)'!AD140</f>
        <v>42716</v>
      </c>
      <c r="W327" s="6">
        <f>'[1]V, inciso o) (OP)'!AE140</f>
        <v>42806</v>
      </c>
      <c r="X327" s="9" t="s">
        <v>686</v>
      </c>
      <c r="Y327" s="9" t="s">
        <v>687</v>
      </c>
      <c r="Z327" s="9" t="s">
        <v>268</v>
      </c>
      <c r="AA327" s="40" t="s">
        <v>40</v>
      </c>
      <c r="AB327" s="5" t="s">
        <v>40</v>
      </c>
    </row>
    <row r="328" spans="1:28" ht="40.5">
      <c r="A328" s="5">
        <v>2016</v>
      </c>
      <c r="B328" s="5" t="s">
        <v>64</v>
      </c>
      <c r="C328" s="79" t="str">
        <f>'[1]V, inciso o) (OP)'!C141</f>
        <v>DOPI-MUN-RM-ELE-AD-274-2016</v>
      </c>
      <c r="D328" s="12">
        <f>'[1]V, inciso o) (OP)'!V141</f>
        <v>42713</v>
      </c>
      <c r="E328" s="7" t="str">
        <f>'[1]V, inciso o) (OP)'!AA141</f>
        <v>Suministro e instalación de sistema de pararrayos en el Centro Cultural Constitución, municipio de Zapopan, Jalisco</v>
      </c>
      <c r="F328" s="7" t="s">
        <v>184</v>
      </c>
      <c r="G328" s="8">
        <f>'[1]V, inciso o) (OP)'!Y141</f>
        <v>569255.19400000002</v>
      </c>
      <c r="H328" s="7" t="s">
        <v>707</v>
      </c>
      <c r="I328" s="5" t="str">
        <f>'[1]V, inciso o) (OP)'!M141</f>
        <v>PIA LORENA</v>
      </c>
      <c r="J328" s="5" t="str">
        <f>'[1]V, inciso o) (OP)'!N141</f>
        <v>BUENROSTRO</v>
      </c>
      <c r="K328" s="5" t="str">
        <f>'[1]V, inciso o) (OP)'!O141</f>
        <v>AHUED</v>
      </c>
      <c r="L328" s="7" t="str">
        <f>'[1]V, inciso o) (OP)'!P141</f>
        <v>BIRMEK CONSTRUCCIONES, S.A. DE C.V.</v>
      </c>
      <c r="M328" s="5" t="str">
        <f>'[1]V, inciso o) (OP)'!Q141</f>
        <v>BCO070129512</v>
      </c>
      <c r="N328" s="8">
        <f>'[1]V, inciso o) (OP)'!Y141</f>
        <v>569255.19400000002</v>
      </c>
      <c r="O328" s="77" t="s">
        <v>40</v>
      </c>
      <c r="P328" s="9" t="s">
        <v>51</v>
      </c>
      <c r="Q328" s="10">
        <f>N328</f>
        <v>569255.19400000002</v>
      </c>
      <c r="R328" s="9" t="s">
        <v>42</v>
      </c>
      <c r="S328" s="13">
        <v>25652</v>
      </c>
      <c r="T328" s="7" t="s">
        <v>43</v>
      </c>
      <c r="U328" s="5" t="s">
        <v>565</v>
      </c>
      <c r="V328" s="6">
        <f>'[1]V, inciso o) (OP)'!AD141</f>
        <v>42716</v>
      </c>
      <c r="W328" s="6">
        <f>'[1]V, inciso o) (OP)'!AE141</f>
        <v>42766</v>
      </c>
      <c r="X328" s="9" t="s">
        <v>650</v>
      </c>
      <c r="Y328" s="9" t="s">
        <v>651</v>
      </c>
      <c r="Z328" s="9" t="s">
        <v>652</v>
      </c>
      <c r="AA328" s="40" t="s">
        <v>40</v>
      </c>
      <c r="AB328" s="5" t="s">
        <v>40</v>
      </c>
    </row>
    <row r="329" spans="1:28" ht="54">
      <c r="A329" s="5">
        <v>2016</v>
      </c>
      <c r="B329" s="5" t="s">
        <v>64</v>
      </c>
      <c r="C329" s="79" t="str">
        <f>'[1]V, inciso o) (OP)'!C142</f>
        <v>DOPI-MUN-RM-PAV-AD-275-2016</v>
      </c>
      <c r="D329" s="12">
        <f>'[1]V, inciso o) (OP)'!V142</f>
        <v>42713</v>
      </c>
      <c r="E329" s="7" t="str">
        <f>'[1]V, inciso o) (OP)'!AA142</f>
        <v>Pavimentación con concreto asfáltico en el retorno Periférico Sur hacía Av, Santa Esther y en el retorno Periférico Norte hacía Av. Juan Pablo II, municipio de Zapopan, Jalisco</v>
      </c>
      <c r="F329" s="7" t="s">
        <v>184</v>
      </c>
      <c r="G329" s="8">
        <f>'[1]V, inciso o) (OP)'!Y142</f>
        <v>876527.94</v>
      </c>
      <c r="H329" s="7" t="s">
        <v>837</v>
      </c>
      <c r="I329" s="5" t="str">
        <f>'[1]V, inciso o) (OP)'!M142</f>
        <v>JESUS DAVID</v>
      </c>
      <c r="J329" s="5" t="str">
        <f>'[1]V, inciso o) (OP)'!N142</f>
        <v xml:space="preserve">GARZA </v>
      </c>
      <c r="K329" s="5" t="str">
        <f>'[1]V, inciso o) (OP)'!O142</f>
        <v>GARCIA</v>
      </c>
      <c r="L329" s="7" t="str">
        <f>'[1]V, inciso o) (OP)'!P142</f>
        <v>CONSTRUCCION GG, S.A. DE C.V.</v>
      </c>
      <c r="M329" s="5" t="str">
        <f>'[1]V, inciso o) (OP)'!Q142</f>
        <v>CGG040518F81</v>
      </c>
      <c r="N329" s="8">
        <f>'[1]V, inciso o) (OP)'!Y142</f>
        <v>876527.94</v>
      </c>
      <c r="O329" s="77" t="s">
        <v>40</v>
      </c>
      <c r="P329" s="9" t="s">
        <v>909</v>
      </c>
      <c r="Q329" s="10">
        <f>N329/1270</f>
        <v>690.17948031496064</v>
      </c>
      <c r="R329" s="9" t="s">
        <v>42</v>
      </c>
      <c r="S329" s="13">
        <v>258974</v>
      </c>
      <c r="T329" s="7" t="s">
        <v>43</v>
      </c>
      <c r="U329" s="5" t="s">
        <v>565</v>
      </c>
      <c r="V329" s="6">
        <f>'[1]V, inciso o) (OP)'!AD142</f>
        <v>42716</v>
      </c>
      <c r="W329" s="6">
        <f>'[1]V, inciso o) (OP)'!AE142</f>
        <v>42766</v>
      </c>
      <c r="X329" s="9" t="s">
        <v>839</v>
      </c>
      <c r="Y329" s="9" t="s">
        <v>840</v>
      </c>
      <c r="Z329" s="9" t="s">
        <v>841</v>
      </c>
      <c r="AA329" s="40" t="s">
        <v>40</v>
      </c>
      <c r="AB329" s="5" t="s">
        <v>40</v>
      </c>
    </row>
    <row r="330" spans="1:28" ht="54">
      <c r="A330" s="5">
        <v>2016</v>
      </c>
      <c r="B330" s="5" t="s">
        <v>64</v>
      </c>
      <c r="C330" s="79" t="str">
        <f>'[1]V, inciso o) (OP)'!C143</f>
        <v>DOPI-MUN-RM-IH-AD-277-2016</v>
      </c>
      <c r="D330" s="12">
        <f>'[1]V, inciso o) (OP)'!V143</f>
        <v>42699</v>
      </c>
      <c r="E330" s="7" t="str">
        <f>'[1]V, inciso o) (OP)'!AA143</f>
        <v xml:space="preserve">Construcción de red de drenaje sanitario en la calle Malinalli, de la calle Cholollan a la calle Delli, colonia Mesa Colorada, municipio de Zapopan, Jalisco </v>
      </c>
      <c r="F330" s="7" t="s">
        <v>184</v>
      </c>
      <c r="G330" s="8">
        <f>'[1]V, inciso o) (OP)'!Y143</f>
        <v>924106.84</v>
      </c>
      <c r="H330" s="7" t="s">
        <v>910</v>
      </c>
      <c r="I330" s="5" t="str">
        <f>'[1]V, inciso o) (OP)'!M143</f>
        <v>JOSE ANTONIO</v>
      </c>
      <c r="J330" s="5" t="str">
        <f>'[1]V, inciso o) (OP)'!N143</f>
        <v>ALVAREZ</v>
      </c>
      <c r="K330" s="5" t="str">
        <f>'[1]V, inciso o) (OP)'!O143</f>
        <v>ZULOAGA</v>
      </c>
      <c r="L330" s="7" t="str">
        <f>'[1]V, inciso o) (OP)'!P143</f>
        <v>GRUPO DESARROLLADOR ALZU, S.A. DE C.V.</v>
      </c>
      <c r="M330" s="5" t="str">
        <f>'[1]V, inciso o) (OP)'!Q143</f>
        <v>GDA150928286</v>
      </c>
      <c r="N330" s="8">
        <f>'[1]V, inciso o) (OP)'!Y143</f>
        <v>924106.84</v>
      </c>
      <c r="O330" s="77" t="s">
        <v>40</v>
      </c>
      <c r="P330" s="9" t="s">
        <v>911</v>
      </c>
      <c r="Q330" s="10">
        <f>N330/660</f>
        <v>1400.1618787878788</v>
      </c>
      <c r="R330" s="9" t="s">
        <v>42</v>
      </c>
      <c r="S330" s="13">
        <v>342</v>
      </c>
      <c r="T330" s="7" t="s">
        <v>43</v>
      </c>
      <c r="U330" s="5" t="s">
        <v>565</v>
      </c>
      <c r="V330" s="6">
        <f>'[1]V, inciso o) (OP)'!AD143</f>
        <v>42702</v>
      </c>
      <c r="W330" s="6">
        <f>'[1]V, inciso o) (OP)'!AE143</f>
        <v>42750</v>
      </c>
      <c r="X330" s="9" t="s">
        <v>556</v>
      </c>
      <c r="Y330" s="9" t="s">
        <v>557</v>
      </c>
      <c r="Z330" s="9" t="s">
        <v>558</v>
      </c>
      <c r="AA330" s="40" t="s">
        <v>40</v>
      </c>
      <c r="AB330" s="5" t="s">
        <v>40</v>
      </c>
    </row>
    <row r="331" spans="1:28" ht="40.5">
      <c r="A331" s="5">
        <v>2016</v>
      </c>
      <c r="B331" s="5" t="s">
        <v>64</v>
      </c>
      <c r="C331" s="79" t="str">
        <f>'[1]V, inciso o) (OP)'!C144</f>
        <v>DOPI-MUN-RM-IH-AD-278-2016</v>
      </c>
      <c r="D331" s="12">
        <f>'[1]V, inciso o) (OP)'!V144</f>
        <v>42706</v>
      </c>
      <c r="E331" s="7" t="str">
        <f>'[1]V, inciso o) (OP)'!AA144</f>
        <v>Instalación de tomas domiciliarias en la colonia Marcelino García Barragán, municipio de Zapopan, Jalisco</v>
      </c>
      <c r="F331" s="7" t="s">
        <v>184</v>
      </c>
      <c r="G331" s="8">
        <f>'[1]V, inciso o) (OP)'!Y144</f>
        <v>626297.09</v>
      </c>
      <c r="H331" s="7" t="s">
        <v>912</v>
      </c>
      <c r="I331" s="5" t="str">
        <f>'[1]V, inciso o) (OP)'!M144</f>
        <v>JAVIER</v>
      </c>
      <c r="J331" s="5" t="str">
        <f>'[1]V, inciso o) (OP)'!N144</f>
        <v xml:space="preserve">ÁVILA </v>
      </c>
      <c r="K331" s="5" t="str">
        <f>'[1]V, inciso o) (OP)'!O144</f>
        <v>FLORES</v>
      </c>
      <c r="L331" s="7" t="str">
        <f>'[1]V, inciso o) (OP)'!P144</f>
        <v>SAVHO CONSULTORÍA Y CONSTRUCCIÓN, S.A. DE C.V.</v>
      </c>
      <c r="M331" s="5" t="str">
        <f>'[1]V, inciso o) (OP)'!Q144</f>
        <v>SCC060622HZ3</v>
      </c>
      <c r="N331" s="8">
        <f>'[1]V, inciso o) (OP)'!Y144</f>
        <v>626297.09</v>
      </c>
      <c r="O331" s="77" t="s">
        <v>40</v>
      </c>
      <c r="P331" s="9" t="s">
        <v>913</v>
      </c>
      <c r="Q331" s="10">
        <f>N331/447</f>
        <v>1401.112058165548</v>
      </c>
      <c r="R331" s="9" t="s">
        <v>42</v>
      </c>
      <c r="S331" s="13">
        <v>185</v>
      </c>
      <c r="T331" s="7" t="s">
        <v>43</v>
      </c>
      <c r="U331" s="5" t="s">
        <v>565</v>
      </c>
      <c r="V331" s="6">
        <f>'[1]V, inciso o) (OP)'!AD144</f>
        <v>42709</v>
      </c>
      <c r="W331" s="6">
        <f>'[1]V, inciso o) (OP)'!AE144</f>
        <v>42754</v>
      </c>
      <c r="X331" s="9" t="s">
        <v>544</v>
      </c>
      <c r="Y331" s="9" t="s">
        <v>545</v>
      </c>
      <c r="Z331" s="9" t="s">
        <v>212</v>
      </c>
      <c r="AA331" s="40" t="s">
        <v>40</v>
      </c>
      <c r="AB331" s="5" t="s">
        <v>40</v>
      </c>
    </row>
    <row r="332" spans="1:28" ht="67.5">
      <c r="A332" s="5">
        <v>2016</v>
      </c>
      <c r="B332" s="5" t="s">
        <v>64</v>
      </c>
      <c r="C332" s="79" t="str">
        <f>'[1]V, inciso o) (OP)'!C145</f>
        <v>DOPI-MUN-RM-SERV-AD-279-2016</v>
      </c>
      <c r="D332" s="12">
        <f>'[1]V, inciso o) (OP)'!V145</f>
        <v>42720</v>
      </c>
      <c r="E332" s="7" t="str">
        <f>'[1]V, inciso o) (OP)'!AA145</f>
        <v>Servicios de consultoría para la elaboración de bases, coordinación técnica del proceso de licitación, contratación y supervisión técnica de la ejecución del complejo C4 Zapopan, municipio de Zapopan, Jalisco</v>
      </c>
      <c r="F332" s="7" t="s">
        <v>67</v>
      </c>
      <c r="G332" s="8">
        <f>'[1]V, inciso o) (OP)'!Y145</f>
        <v>1214979.8</v>
      </c>
      <c r="H332" s="7" t="s">
        <v>231</v>
      </c>
      <c r="I332" s="5" t="str">
        <f>'[1]V, inciso o) (OP)'!M145</f>
        <v>DANIEL</v>
      </c>
      <c r="J332" s="5" t="str">
        <f>'[1]V, inciso o) (OP)'!N145</f>
        <v>SEGURA</v>
      </c>
      <c r="K332" s="5" t="str">
        <f>'[1]V, inciso o) (OP)'!O145</f>
        <v>URBANO</v>
      </c>
      <c r="L332" s="7" t="str">
        <f>'[1]V, inciso o) (OP)'!P145</f>
        <v>SEGURA URBANO  DANIEL</v>
      </c>
      <c r="M332" s="5" t="str">
        <f>'[1]V, inciso o) (OP)'!Q145</f>
        <v>SEUD690208177</v>
      </c>
      <c r="N332" s="8">
        <f>'[1]V, inciso o) (OP)'!Y145</f>
        <v>1214979.8</v>
      </c>
      <c r="O332" s="77" t="s">
        <v>40</v>
      </c>
      <c r="P332" s="5" t="s">
        <v>914</v>
      </c>
      <c r="Q332" s="8">
        <f>N332</f>
        <v>1214979.8</v>
      </c>
      <c r="R332" s="5" t="s">
        <v>232</v>
      </c>
      <c r="S332" s="11" t="s">
        <v>232</v>
      </c>
      <c r="T332" s="7" t="s">
        <v>43</v>
      </c>
      <c r="U332" s="5" t="s">
        <v>565</v>
      </c>
      <c r="V332" s="6">
        <f>'[1]V, inciso o) (OP)'!AD145</f>
        <v>42723</v>
      </c>
      <c r="W332" s="6">
        <f>'[1]V, inciso o) (OP)'!AE145</f>
        <v>42886</v>
      </c>
      <c r="X332" s="9" t="s">
        <v>915</v>
      </c>
      <c r="Y332" s="9" t="s">
        <v>916</v>
      </c>
      <c r="Z332" s="9" t="s">
        <v>263</v>
      </c>
      <c r="AA332" s="40" t="s">
        <v>40</v>
      </c>
      <c r="AB332" s="5" t="s">
        <v>40</v>
      </c>
    </row>
    <row r="333" spans="1:28" ht="54">
      <c r="A333" s="5">
        <v>2016</v>
      </c>
      <c r="B333" s="5" t="s">
        <v>30</v>
      </c>
      <c r="C333" s="77" t="s">
        <v>31</v>
      </c>
      <c r="D333" s="6">
        <v>42366</v>
      </c>
      <c r="E333" s="7" t="s">
        <v>32</v>
      </c>
      <c r="F333" s="7" t="s">
        <v>33</v>
      </c>
      <c r="G333" s="8">
        <v>4343074.72</v>
      </c>
      <c r="H333" s="7" t="s">
        <v>34</v>
      </c>
      <c r="I333" s="5" t="s">
        <v>35</v>
      </c>
      <c r="J333" s="5" t="s">
        <v>36</v>
      </c>
      <c r="K333" s="5" t="s">
        <v>37</v>
      </c>
      <c r="L333" s="7" t="s">
        <v>38</v>
      </c>
      <c r="M333" s="5" t="s">
        <v>39</v>
      </c>
      <c r="N333" s="8">
        <v>4343074.72</v>
      </c>
      <c r="O333" s="77" t="s">
        <v>40</v>
      </c>
      <c r="P333" s="5" t="s">
        <v>41</v>
      </c>
      <c r="Q333" s="8">
        <f>N333/180</f>
        <v>24128.192888888887</v>
      </c>
      <c r="R333" s="5" t="s">
        <v>42</v>
      </c>
      <c r="S333" s="5">
        <v>3990</v>
      </c>
      <c r="T333" s="7" t="s">
        <v>43</v>
      </c>
      <c r="U333" s="5" t="s">
        <v>44</v>
      </c>
      <c r="V333" s="6">
        <v>42367</v>
      </c>
      <c r="W333" s="6">
        <v>42415</v>
      </c>
      <c r="X333" s="5" t="s">
        <v>45</v>
      </c>
      <c r="Y333" s="5" t="s">
        <v>46</v>
      </c>
      <c r="Z333" s="5" t="s">
        <v>47</v>
      </c>
      <c r="AA333" s="53" t="s">
        <v>1390</v>
      </c>
      <c r="AB333" s="5" t="s">
        <v>40</v>
      </c>
    </row>
    <row r="334" spans="1:28" ht="54">
      <c r="A334" s="4">
        <v>2015</v>
      </c>
      <c r="B334" s="5" t="s">
        <v>30</v>
      </c>
      <c r="C334" s="77" t="s">
        <v>48</v>
      </c>
      <c r="D334" s="6">
        <v>42366</v>
      </c>
      <c r="E334" s="7" t="s">
        <v>49</v>
      </c>
      <c r="F334" s="7" t="s">
        <v>33</v>
      </c>
      <c r="G334" s="8">
        <v>3769025.04</v>
      </c>
      <c r="H334" s="7" t="s">
        <v>50</v>
      </c>
      <c r="I334" s="5" t="s">
        <v>35</v>
      </c>
      <c r="J334" s="5" t="s">
        <v>36</v>
      </c>
      <c r="K334" s="5" t="s">
        <v>37</v>
      </c>
      <c r="L334" s="7" t="s">
        <v>38</v>
      </c>
      <c r="M334" s="5" t="s">
        <v>39</v>
      </c>
      <c r="N334" s="8">
        <v>3769025.04</v>
      </c>
      <c r="O334" s="77" t="s">
        <v>40</v>
      </c>
      <c r="P334" s="5" t="s">
        <v>51</v>
      </c>
      <c r="Q334" s="8">
        <f>N334</f>
        <v>3769025.04</v>
      </c>
      <c r="R334" s="5" t="s">
        <v>42</v>
      </c>
      <c r="S334" s="5">
        <v>700</v>
      </c>
      <c r="T334" s="7" t="s">
        <v>43</v>
      </c>
      <c r="U334" s="5" t="s">
        <v>44</v>
      </c>
      <c r="V334" s="6">
        <v>42367</v>
      </c>
      <c r="W334" s="6">
        <v>42415</v>
      </c>
      <c r="X334" s="5" t="s">
        <v>45</v>
      </c>
      <c r="Y334" s="5" t="s">
        <v>46</v>
      </c>
      <c r="Z334" s="5" t="s">
        <v>47</v>
      </c>
      <c r="AA334" s="53" t="s">
        <v>1391</v>
      </c>
      <c r="AB334" s="5" t="s">
        <v>40</v>
      </c>
    </row>
    <row r="335" spans="1:28" ht="54">
      <c r="A335" s="5">
        <v>2015</v>
      </c>
      <c r="B335" s="5" t="s">
        <v>30</v>
      </c>
      <c r="C335" s="77" t="s">
        <v>52</v>
      </c>
      <c r="D335" s="6">
        <v>42366</v>
      </c>
      <c r="E335" s="7" t="s">
        <v>53</v>
      </c>
      <c r="F335" s="7" t="s">
        <v>33</v>
      </c>
      <c r="G335" s="8">
        <v>1945590.49</v>
      </c>
      <c r="H335" s="7" t="s">
        <v>54</v>
      </c>
      <c r="I335" s="5" t="s">
        <v>55</v>
      </c>
      <c r="J335" s="5" t="s">
        <v>56</v>
      </c>
      <c r="K335" s="5" t="s">
        <v>57</v>
      </c>
      <c r="L335" s="7" t="s">
        <v>58</v>
      </c>
      <c r="M335" s="5" t="s">
        <v>59</v>
      </c>
      <c r="N335" s="8">
        <v>1945590.49</v>
      </c>
      <c r="O335" s="78">
        <v>1542798.11</v>
      </c>
      <c r="P335" s="5" t="s">
        <v>60</v>
      </c>
      <c r="Q335" s="8">
        <f>N335/1410</f>
        <v>1379.8514113475178</v>
      </c>
      <c r="R335" s="5" t="s">
        <v>42</v>
      </c>
      <c r="S335" s="5">
        <v>1262</v>
      </c>
      <c r="T335" s="7" t="s">
        <v>43</v>
      </c>
      <c r="U335" s="5" t="s">
        <v>44</v>
      </c>
      <c r="V335" s="6">
        <v>42367</v>
      </c>
      <c r="W335" s="6">
        <v>42400</v>
      </c>
      <c r="X335" s="5" t="s">
        <v>61</v>
      </c>
      <c r="Y335" s="5" t="s">
        <v>62</v>
      </c>
      <c r="Z335" s="5" t="s">
        <v>63</v>
      </c>
      <c r="AA335" s="53" t="s">
        <v>1392</v>
      </c>
      <c r="AB335" s="5" t="s">
        <v>40</v>
      </c>
    </row>
    <row r="336" spans="1:28" ht="54">
      <c r="A336" s="4">
        <v>2015</v>
      </c>
      <c r="B336" s="5" t="s">
        <v>64</v>
      </c>
      <c r="C336" s="79" t="s">
        <v>65</v>
      </c>
      <c r="D336" s="6">
        <v>42356</v>
      </c>
      <c r="E336" s="7" t="s">
        <v>66</v>
      </c>
      <c r="F336" s="7" t="s">
        <v>67</v>
      </c>
      <c r="G336" s="8">
        <v>732176.24</v>
      </c>
      <c r="H336" s="7" t="s">
        <v>68</v>
      </c>
      <c r="I336" s="5" t="s">
        <v>69</v>
      </c>
      <c r="J336" s="5" t="s">
        <v>70</v>
      </c>
      <c r="K336" s="5" t="s">
        <v>71</v>
      </c>
      <c r="L336" s="7" t="s">
        <v>72</v>
      </c>
      <c r="M336" s="5" t="s">
        <v>73</v>
      </c>
      <c r="N336" s="8">
        <v>732176.24</v>
      </c>
      <c r="O336" s="78">
        <v>620948.86</v>
      </c>
      <c r="P336" s="5" t="s">
        <v>74</v>
      </c>
      <c r="Q336" s="8">
        <f>N336/31</f>
        <v>23618.588387096774</v>
      </c>
      <c r="R336" s="5" t="s">
        <v>42</v>
      </c>
      <c r="S336" s="5">
        <v>437</v>
      </c>
      <c r="T336" s="7" t="s">
        <v>43</v>
      </c>
      <c r="U336" s="5" t="s">
        <v>44</v>
      </c>
      <c r="V336" s="6">
        <v>42360</v>
      </c>
      <c r="W336" s="6">
        <v>42400</v>
      </c>
      <c r="X336" s="5" t="s">
        <v>75</v>
      </c>
      <c r="Y336" s="5" t="s">
        <v>76</v>
      </c>
      <c r="Z336" s="5" t="s">
        <v>77</v>
      </c>
      <c r="AA336" s="53" t="s">
        <v>1393</v>
      </c>
      <c r="AB336" s="5" t="s">
        <v>40</v>
      </c>
    </row>
    <row r="337" spans="1:28" ht="54">
      <c r="A337" s="5">
        <v>2015</v>
      </c>
      <c r="B337" s="5" t="s">
        <v>64</v>
      </c>
      <c r="C337" s="79" t="s">
        <v>78</v>
      </c>
      <c r="D337" s="6">
        <v>42356</v>
      </c>
      <c r="E337" s="7" t="s">
        <v>79</v>
      </c>
      <c r="F337" s="7" t="s">
        <v>67</v>
      </c>
      <c r="G337" s="8">
        <v>1479664.22</v>
      </c>
      <c r="H337" s="7" t="s">
        <v>80</v>
      </c>
      <c r="I337" s="5" t="s">
        <v>81</v>
      </c>
      <c r="J337" s="5" t="s">
        <v>82</v>
      </c>
      <c r="K337" s="5" t="s">
        <v>83</v>
      </c>
      <c r="L337" s="7" t="s">
        <v>84</v>
      </c>
      <c r="M337" s="5" t="s">
        <v>85</v>
      </c>
      <c r="N337" s="8">
        <v>1479664.22</v>
      </c>
      <c r="O337" s="78">
        <v>1469715.35</v>
      </c>
      <c r="P337" s="5" t="s">
        <v>86</v>
      </c>
      <c r="Q337" s="8">
        <f>N337/1815</f>
        <v>815.24199449035814</v>
      </c>
      <c r="R337" s="5" t="s">
        <v>42</v>
      </c>
      <c r="S337" s="5">
        <v>750</v>
      </c>
      <c r="T337" s="7" t="s">
        <v>43</v>
      </c>
      <c r="U337" s="5" t="s">
        <v>44</v>
      </c>
      <c r="V337" s="6">
        <v>42360</v>
      </c>
      <c r="W337" s="6">
        <v>42400</v>
      </c>
      <c r="X337" s="5" t="s">
        <v>87</v>
      </c>
      <c r="Y337" s="5" t="s">
        <v>88</v>
      </c>
      <c r="Z337" s="5" t="s">
        <v>89</v>
      </c>
      <c r="AA337" s="53" t="s">
        <v>1394</v>
      </c>
      <c r="AB337" s="5" t="s">
        <v>40</v>
      </c>
    </row>
    <row r="338" spans="1:28" ht="54">
      <c r="A338" s="4">
        <v>2015</v>
      </c>
      <c r="B338" s="5" t="s">
        <v>64</v>
      </c>
      <c r="C338" s="79" t="s">
        <v>90</v>
      </c>
      <c r="D338" s="6">
        <v>42388</v>
      </c>
      <c r="E338" s="7" t="s">
        <v>91</v>
      </c>
      <c r="F338" s="7" t="s">
        <v>67</v>
      </c>
      <c r="G338" s="8">
        <v>148758.56</v>
      </c>
      <c r="H338" s="7" t="s">
        <v>92</v>
      </c>
      <c r="I338" s="5" t="s">
        <v>93</v>
      </c>
      <c r="J338" s="5" t="s">
        <v>94</v>
      </c>
      <c r="K338" s="5" t="s">
        <v>95</v>
      </c>
      <c r="L338" s="7" t="s">
        <v>96</v>
      </c>
      <c r="M338" s="5" t="s">
        <v>97</v>
      </c>
      <c r="N338" s="8">
        <v>148758.56</v>
      </c>
      <c r="O338" s="77" t="s">
        <v>40</v>
      </c>
      <c r="P338" s="5" t="s">
        <v>98</v>
      </c>
      <c r="Q338" s="8">
        <f>N338/53</f>
        <v>2806.7652830188681</v>
      </c>
      <c r="R338" s="5" t="s">
        <v>42</v>
      </c>
      <c r="S338" s="5">
        <v>165</v>
      </c>
      <c r="T338" s="7" t="s">
        <v>43</v>
      </c>
      <c r="U338" s="5" t="s">
        <v>44</v>
      </c>
      <c r="V338" s="6">
        <v>42389</v>
      </c>
      <c r="W338" s="6">
        <v>42439</v>
      </c>
      <c r="X338" s="5" t="s">
        <v>99</v>
      </c>
      <c r="Y338" s="5" t="s">
        <v>100</v>
      </c>
      <c r="Z338" s="5" t="s">
        <v>101</v>
      </c>
      <c r="AA338" s="40" t="s">
        <v>40</v>
      </c>
      <c r="AB338" s="5" t="s">
        <v>40</v>
      </c>
    </row>
    <row r="339" spans="1:28" ht="81">
      <c r="A339" s="5">
        <v>2015</v>
      </c>
      <c r="B339" s="5" t="s">
        <v>64</v>
      </c>
      <c r="C339" s="79" t="s">
        <v>102</v>
      </c>
      <c r="D339" s="6">
        <v>42364</v>
      </c>
      <c r="E339" s="7" t="s">
        <v>103</v>
      </c>
      <c r="F339" s="7" t="s">
        <v>67</v>
      </c>
      <c r="G339" s="8">
        <v>1462545.61</v>
      </c>
      <c r="H339" s="7" t="s">
        <v>104</v>
      </c>
      <c r="I339" s="5" t="s">
        <v>105</v>
      </c>
      <c r="J339" s="5" t="s">
        <v>106</v>
      </c>
      <c r="K339" s="5" t="s">
        <v>107</v>
      </c>
      <c r="L339" s="7" t="s">
        <v>108</v>
      </c>
      <c r="M339" s="5" t="s">
        <v>109</v>
      </c>
      <c r="N339" s="8">
        <f>G339</f>
        <v>1462545.61</v>
      </c>
      <c r="O339" s="77" t="s">
        <v>40</v>
      </c>
      <c r="P339" s="5" t="s">
        <v>110</v>
      </c>
      <c r="Q339" s="8">
        <f>N339/315</f>
        <v>4643.001936507937</v>
      </c>
      <c r="R339" s="5" t="s">
        <v>42</v>
      </c>
      <c r="S339" s="5">
        <v>4345</v>
      </c>
      <c r="T339" s="7" t="s">
        <v>43</v>
      </c>
      <c r="U339" s="7" t="s">
        <v>44</v>
      </c>
      <c r="V339" s="6">
        <v>42366</v>
      </c>
      <c r="W339" s="6">
        <v>42434</v>
      </c>
      <c r="X339" s="5" t="s">
        <v>111</v>
      </c>
      <c r="Y339" s="5" t="s">
        <v>112</v>
      </c>
      <c r="Z339" s="5" t="s">
        <v>113</v>
      </c>
      <c r="AA339" s="53" t="s">
        <v>1395</v>
      </c>
      <c r="AB339" s="5" t="s">
        <v>40</v>
      </c>
    </row>
    <row r="340" spans="1:28" ht="81">
      <c r="A340" s="4">
        <v>2015</v>
      </c>
      <c r="B340" s="5" t="s">
        <v>64</v>
      </c>
      <c r="C340" s="79" t="s">
        <v>114</v>
      </c>
      <c r="D340" s="6">
        <v>42364</v>
      </c>
      <c r="E340" s="7" t="s">
        <v>115</v>
      </c>
      <c r="F340" s="7" t="s">
        <v>67</v>
      </c>
      <c r="G340" s="8">
        <v>1313000.04</v>
      </c>
      <c r="H340" s="7" t="s">
        <v>104</v>
      </c>
      <c r="I340" s="5" t="s">
        <v>116</v>
      </c>
      <c r="J340" s="5" t="s">
        <v>117</v>
      </c>
      <c r="K340" s="5" t="s">
        <v>118</v>
      </c>
      <c r="L340" s="7" t="s">
        <v>119</v>
      </c>
      <c r="M340" s="5" t="s">
        <v>120</v>
      </c>
      <c r="N340" s="8">
        <f>G340</f>
        <v>1313000.04</v>
      </c>
      <c r="O340" s="77" t="s">
        <v>40</v>
      </c>
      <c r="P340" s="5" t="s">
        <v>121</v>
      </c>
      <c r="Q340" s="8">
        <f>N340/360</f>
        <v>3647.2223333333336</v>
      </c>
      <c r="R340" s="5" t="s">
        <v>42</v>
      </c>
      <c r="S340" s="5">
        <v>4345</v>
      </c>
      <c r="T340" s="7" t="s">
        <v>43</v>
      </c>
      <c r="U340" s="7" t="s">
        <v>44</v>
      </c>
      <c r="V340" s="6">
        <v>42366</v>
      </c>
      <c r="W340" s="6">
        <v>42434</v>
      </c>
      <c r="X340" s="5" t="s">
        <v>111</v>
      </c>
      <c r="Y340" s="5" t="s">
        <v>112</v>
      </c>
      <c r="Z340" s="5" t="s">
        <v>113</v>
      </c>
      <c r="AA340" s="53" t="s">
        <v>1396</v>
      </c>
      <c r="AB340" s="5" t="s">
        <v>40</v>
      </c>
    </row>
    <row r="341" spans="1:28" ht="54">
      <c r="A341" s="5">
        <v>2015</v>
      </c>
      <c r="B341" s="5" t="s">
        <v>64</v>
      </c>
      <c r="C341" s="79" t="s">
        <v>122</v>
      </c>
      <c r="D341" s="6">
        <v>42364</v>
      </c>
      <c r="E341" s="7" t="s">
        <v>123</v>
      </c>
      <c r="F341" s="7" t="s">
        <v>67</v>
      </c>
      <c r="G341" s="8">
        <v>48554.79</v>
      </c>
      <c r="H341" s="7" t="s">
        <v>124</v>
      </c>
      <c r="I341" s="5" t="s">
        <v>125</v>
      </c>
      <c r="J341" s="5" t="s">
        <v>126</v>
      </c>
      <c r="K341" s="5" t="s">
        <v>127</v>
      </c>
      <c r="L341" s="7" t="s">
        <v>128</v>
      </c>
      <c r="M341" s="5" t="s">
        <v>129</v>
      </c>
      <c r="N341" s="8">
        <f>G341</f>
        <v>48554.79</v>
      </c>
      <c r="O341" s="77" t="s">
        <v>40</v>
      </c>
      <c r="P341" s="5" t="s">
        <v>130</v>
      </c>
      <c r="Q341" s="8">
        <f>N341/120</f>
        <v>404.62324999999998</v>
      </c>
      <c r="R341" s="5" t="s">
        <v>42</v>
      </c>
      <c r="S341" s="5">
        <v>446</v>
      </c>
      <c r="T341" s="7" t="s">
        <v>43</v>
      </c>
      <c r="U341" s="5" t="s">
        <v>44</v>
      </c>
      <c r="V341" s="6">
        <v>42366</v>
      </c>
      <c r="W341" s="6">
        <v>42400</v>
      </c>
      <c r="X341" s="5" t="s">
        <v>131</v>
      </c>
      <c r="Y341" s="5" t="s">
        <v>132</v>
      </c>
      <c r="Z341" s="5" t="s">
        <v>133</v>
      </c>
      <c r="AA341" s="53" t="s">
        <v>1397</v>
      </c>
      <c r="AB341" s="5" t="s">
        <v>40</v>
      </c>
    </row>
    <row r="342" spans="1:28" ht="54">
      <c r="A342" s="4">
        <v>2015</v>
      </c>
      <c r="B342" s="5" t="s">
        <v>64</v>
      </c>
      <c r="C342" s="79" t="s">
        <v>134</v>
      </c>
      <c r="D342" s="6">
        <v>42364</v>
      </c>
      <c r="E342" s="7" t="s">
        <v>135</v>
      </c>
      <c r="F342" s="7" t="s">
        <v>67</v>
      </c>
      <c r="G342" s="8">
        <v>883610.98</v>
      </c>
      <c r="H342" s="7" t="s">
        <v>136</v>
      </c>
      <c r="I342" s="5" t="s">
        <v>137</v>
      </c>
      <c r="J342" s="5" t="s">
        <v>138</v>
      </c>
      <c r="K342" s="5" t="s">
        <v>139</v>
      </c>
      <c r="L342" s="7" t="s">
        <v>140</v>
      </c>
      <c r="M342" s="5" t="s">
        <v>141</v>
      </c>
      <c r="N342" s="8">
        <f>G342</f>
        <v>883610.98</v>
      </c>
      <c r="O342" s="77" t="s">
        <v>40</v>
      </c>
      <c r="P342" s="5" t="s">
        <v>142</v>
      </c>
      <c r="Q342" s="8">
        <f>N342/440</f>
        <v>2008.2067727272727</v>
      </c>
      <c r="R342" s="5" t="s">
        <v>42</v>
      </c>
      <c r="S342" s="5">
        <v>435</v>
      </c>
      <c r="T342" s="7" t="s">
        <v>43</v>
      </c>
      <c r="U342" s="5" t="s">
        <v>44</v>
      </c>
      <c r="V342" s="6">
        <v>42366</v>
      </c>
      <c r="W342" s="6">
        <v>42460</v>
      </c>
      <c r="X342" s="5" t="s">
        <v>143</v>
      </c>
      <c r="Y342" s="5" t="s">
        <v>144</v>
      </c>
      <c r="Z342" s="5" t="s">
        <v>145</v>
      </c>
      <c r="AA342" s="40" t="s">
        <v>40</v>
      </c>
      <c r="AB342" s="5" t="s">
        <v>40</v>
      </c>
    </row>
    <row r="343" spans="1:28" ht="54">
      <c r="A343" s="5">
        <v>2015</v>
      </c>
      <c r="B343" s="5" t="s">
        <v>64</v>
      </c>
      <c r="C343" s="79" t="s">
        <v>146</v>
      </c>
      <c r="D343" s="6">
        <v>42364</v>
      </c>
      <c r="E343" s="7" t="s">
        <v>147</v>
      </c>
      <c r="F343" s="7" t="s">
        <v>67</v>
      </c>
      <c r="G343" s="8">
        <v>83769.11</v>
      </c>
      <c r="H343" s="7" t="s">
        <v>148</v>
      </c>
      <c r="I343" s="5" t="s">
        <v>116</v>
      </c>
      <c r="J343" s="5" t="s">
        <v>149</v>
      </c>
      <c r="K343" s="5" t="s">
        <v>150</v>
      </c>
      <c r="L343" s="7" t="s">
        <v>151</v>
      </c>
      <c r="M343" s="5" t="s">
        <v>152</v>
      </c>
      <c r="N343" s="8">
        <f>G343</f>
        <v>83769.11</v>
      </c>
      <c r="O343" s="78">
        <v>82908.240000000005</v>
      </c>
      <c r="P343" s="5" t="s">
        <v>153</v>
      </c>
      <c r="Q343" s="8">
        <f>N343/43</f>
        <v>1948.1188372093022</v>
      </c>
      <c r="R343" s="5" t="s">
        <v>42</v>
      </c>
      <c r="S343" s="5">
        <v>40</v>
      </c>
      <c r="T343" s="7" t="s">
        <v>43</v>
      </c>
      <c r="U343" s="5" t="s">
        <v>44</v>
      </c>
      <c r="V343" s="6">
        <v>42366</v>
      </c>
      <c r="W343" s="6">
        <v>42400</v>
      </c>
      <c r="X343" s="5" t="s">
        <v>116</v>
      </c>
      <c r="Y343" s="5" t="s">
        <v>154</v>
      </c>
      <c r="Z343" s="5" t="s">
        <v>155</v>
      </c>
      <c r="AA343" s="53" t="s">
        <v>1398</v>
      </c>
      <c r="AB343" s="5" t="s">
        <v>40</v>
      </c>
    </row>
    <row r="344" spans="1:28" ht="30.75" customHeight="1">
      <c r="A344" s="80" t="s">
        <v>1379</v>
      </c>
      <c r="B344" s="80"/>
      <c r="C344" s="80"/>
      <c r="D344" s="80"/>
      <c r="E344" s="80"/>
    </row>
    <row r="345" spans="1:28" ht="28.5" customHeight="1">
      <c r="A345" s="80" t="s">
        <v>1380</v>
      </c>
      <c r="B345" s="80"/>
      <c r="C345" s="80"/>
      <c r="D345" s="80"/>
      <c r="E345" s="80"/>
    </row>
    <row r="346" spans="1:28" ht="30" customHeight="1">
      <c r="A346" s="80" t="s">
        <v>1381</v>
      </c>
      <c r="B346" s="80"/>
      <c r="C346" s="80"/>
      <c r="D346" s="80"/>
      <c r="E346" s="80"/>
    </row>
    <row r="347" spans="1:28" ht="32.25" customHeight="1">
      <c r="A347" s="81" t="s">
        <v>924</v>
      </c>
      <c r="B347" s="81"/>
      <c r="C347" s="81"/>
      <c r="D347" s="81"/>
      <c r="E347" s="81"/>
    </row>
  </sheetData>
  <mergeCells count="28">
    <mergeCell ref="A1:AB1"/>
    <mergeCell ref="A2:AB2"/>
    <mergeCell ref="A3:AB3"/>
    <mergeCell ref="A4:A5"/>
    <mergeCell ref="B4:B5"/>
    <mergeCell ref="C4:C5"/>
    <mergeCell ref="D4:D5"/>
    <mergeCell ref="E4:E5"/>
    <mergeCell ref="F4:F5"/>
    <mergeCell ref="G4:G5"/>
    <mergeCell ref="H4:H5"/>
    <mergeCell ref="I4:M4"/>
    <mergeCell ref="N4:N5"/>
    <mergeCell ref="O4:O5"/>
    <mergeCell ref="P4:P5"/>
    <mergeCell ref="AA4:AA5"/>
    <mergeCell ref="A345:E345"/>
    <mergeCell ref="A346:E346"/>
    <mergeCell ref="A347:E347"/>
    <mergeCell ref="A344:E344"/>
    <mergeCell ref="AB4:AB5"/>
    <mergeCell ref="R4:R5"/>
    <mergeCell ref="S4:S5"/>
    <mergeCell ref="T4:T5"/>
    <mergeCell ref="U4:U5"/>
    <mergeCell ref="V4:W4"/>
    <mergeCell ref="X4:Z4"/>
    <mergeCell ref="Q4:Q5"/>
  </mergeCells>
  <hyperlinks>
    <hyperlink ref="C78" r:id="rId1"/>
    <hyperlink ref="AA78" r:id="rId2"/>
    <hyperlink ref="AA80" r:id="rId3"/>
    <hyperlink ref="C80" r:id="rId4"/>
    <hyperlink ref="C83" r:id="rId5"/>
    <hyperlink ref="AA83" r:id="rId6"/>
    <hyperlink ref="C85" r:id="rId7"/>
    <hyperlink ref="AA85" r:id="rId8"/>
    <hyperlink ref="AA87" r:id="rId9"/>
    <hyperlink ref="AA88" r:id="rId10"/>
    <hyperlink ref="C87" r:id="rId11"/>
    <hyperlink ref="C88" r:id="rId12"/>
    <hyperlink ref="C89" r:id="rId13"/>
    <hyperlink ref="AA89" r:id="rId14"/>
    <hyperlink ref="C90" r:id="rId15"/>
    <hyperlink ref="AA90" r:id="rId16"/>
    <hyperlink ref="C95" r:id="rId17"/>
    <hyperlink ref="AA95" r:id="rId18"/>
    <hyperlink ref="AA70" r:id="rId19"/>
    <hyperlink ref="AA76" r:id="rId20"/>
    <hyperlink ref="AA81" r:id="rId21"/>
    <hyperlink ref="AA82" r:id="rId22"/>
    <hyperlink ref="AA84" r:id="rId23"/>
    <hyperlink ref="AA86" r:id="rId24"/>
    <hyperlink ref="AA92" r:id="rId25"/>
    <hyperlink ref="AA94" r:id="rId26"/>
    <hyperlink ref="AA96" r:id="rId27"/>
    <hyperlink ref="AA125" r:id="rId28"/>
    <hyperlink ref="AA168" r:id="rId29"/>
    <hyperlink ref="AA68" r:id="rId30"/>
    <hyperlink ref="AA75" r:id="rId31"/>
    <hyperlink ref="AA115" r:id="rId32"/>
    <hyperlink ref="AA162" r:id="rId33"/>
    <hyperlink ref="AA165" r:id="rId34"/>
    <hyperlink ref="AA167" r:id="rId35"/>
    <hyperlink ref="AA179" r:id="rId36"/>
    <hyperlink ref="AA333" r:id="rId37"/>
    <hyperlink ref="AA334" r:id="rId38"/>
    <hyperlink ref="AA335" r:id="rId39"/>
    <hyperlink ref="AA336" r:id="rId40"/>
    <hyperlink ref="AA337" r:id="rId41"/>
    <hyperlink ref="AA339" r:id="rId42"/>
    <hyperlink ref="AA340" r:id="rId43"/>
    <hyperlink ref="AA341" r:id="rId44"/>
    <hyperlink ref="AA343" r:id="rId45"/>
  </hyperlinks>
  <pageMargins left="0.70866141732283472" right="0.70866141732283472" top="0.74803149606299213" bottom="0.74803149606299213" header="0.31496062992125984" footer="0.31496062992125984"/>
  <pageSetup paperSize="5" scale="34" fitToHeight="0" orientation="landscape" r:id="rId46"/>
  <colBreaks count="1" manualBreakCount="1">
    <brk id="13" max="19" man="1"/>
  </colBreaks>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17</vt:lpstr>
      <vt:lpstr>'Resoluciones de Obra Pública 17'!Área_de_impresión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2017-03-10T16:57:37Z</dcterms:created>
  <dcterms:modified xsi:type="dcterms:W3CDTF">2017-06-21T19:07:13Z</dcterms:modified>
</cp:coreProperties>
</file>