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45" windowWidth="20115" windowHeight="7995"/>
  </bookViews>
  <sheets>
    <sheet name="Resoluciones de Obra Pública 16" sheetId="1" r:id="rId1"/>
  </sheets>
  <externalReferences>
    <externalReference r:id="rId2"/>
  </externalReferences>
  <definedNames>
    <definedName name="_xlnm.Print_Area" localSheetId="0">'Resoluciones de Obra Pública 16'!$A$1:$AB$289</definedName>
  </definedNames>
  <calcPr calcId="125725"/>
</workbook>
</file>

<file path=xl/calcChain.xml><?xml version="1.0" encoding="utf-8"?>
<calcChain xmlns="http://schemas.openxmlformats.org/spreadsheetml/2006/main">
  <c r="W274" i="1"/>
  <c r="V274"/>
  <c r="N274"/>
  <c r="Q274" s="1"/>
  <c r="M274"/>
  <c r="L274"/>
  <c r="K274"/>
  <c r="J274"/>
  <c r="I274"/>
  <c r="G274"/>
  <c r="E274"/>
  <c r="D274"/>
  <c r="C274"/>
  <c r="W273"/>
  <c r="V273"/>
  <c r="N273"/>
  <c r="Q273" s="1"/>
  <c r="M273"/>
  <c r="L273"/>
  <c r="K273"/>
  <c r="J273"/>
  <c r="I273"/>
  <c r="G273"/>
  <c r="E273"/>
  <c r="D273"/>
  <c r="C273"/>
  <c r="W272"/>
  <c r="V272"/>
  <c r="N272"/>
  <c r="Q272" s="1"/>
  <c r="M272"/>
  <c r="L272"/>
  <c r="K272"/>
  <c r="J272"/>
  <c r="I272"/>
  <c r="G272"/>
  <c r="E272"/>
  <c r="D272"/>
  <c r="C272"/>
  <c r="W271"/>
  <c r="V271"/>
  <c r="N271"/>
  <c r="Q271" s="1"/>
  <c r="M271"/>
  <c r="L271"/>
  <c r="K271"/>
  <c r="J271"/>
  <c r="I271"/>
  <c r="G271"/>
  <c r="E271"/>
  <c r="D271"/>
  <c r="C271"/>
  <c r="W270"/>
  <c r="V270"/>
  <c r="N270"/>
  <c r="Q270" s="1"/>
  <c r="M270"/>
  <c r="L270"/>
  <c r="K270"/>
  <c r="J270"/>
  <c r="I270"/>
  <c r="G270"/>
  <c r="E270"/>
  <c r="D270"/>
  <c r="C270"/>
  <c r="W269"/>
  <c r="V269"/>
  <c r="N269"/>
  <c r="Q269" s="1"/>
  <c r="M269"/>
  <c r="L269"/>
  <c r="K269"/>
  <c r="J269"/>
  <c r="I269"/>
  <c r="G269"/>
  <c r="E269"/>
  <c r="D269"/>
  <c r="C269"/>
  <c r="W268"/>
  <c r="V268"/>
  <c r="N268"/>
  <c r="Q268" s="1"/>
  <c r="M268"/>
  <c r="L268"/>
  <c r="K268"/>
  <c r="J268"/>
  <c r="I268"/>
  <c r="G268"/>
  <c r="E268"/>
  <c r="D268"/>
  <c r="C268"/>
  <c r="W267"/>
  <c r="V267"/>
  <c r="N267"/>
  <c r="Q267" s="1"/>
  <c r="M267"/>
  <c r="L267"/>
  <c r="K267"/>
  <c r="J267"/>
  <c r="I267"/>
  <c r="G267"/>
  <c r="E267"/>
  <c r="D267"/>
  <c r="C267"/>
  <c r="W266"/>
  <c r="V266"/>
  <c r="N266"/>
  <c r="Q266" s="1"/>
  <c r="M266"/>
  <c r="L266"/>
  <c r="K266"/>
  <c r="J266"/>
  <c r="I266"/>
  <c r="G266"/>
  <c r="E266"/>
  <c r="D266"/>
  <c r="C266"/>
  <c r="W265"/>
  <c r="V265"/>
  <c r="N265"/>
  <c r="Q265" s="1"/>
  <c r="M265"/>
  <c r="L265"/>
  <c r="K265"/>
  <c r="J265"/>
  <c r="I265"/>
  <c r="G265"/>
  <c r="E265"/>
  <c r="D265"/>
  <c r="C265"/>
  <c r="W264"/>
  <c r="V264"/>
  <c r="N264"/>
  <c r="Q264" s="1"/>
  <c r="M264"/>
  <c r="L264"/>
  <c r="K264"/>
  <c r="J264"/>
  <c r="I264"/>
  <c r="G264"/>
  <c r="E264"/>
  <c r="D264"/>
  <c r="C264"/>
  <c r="W263"/>
  <c r="V263"/>
  <c r="N263"/>
  <c r="Q263" s="1"/>
  <c r="M263"/>
  <c r="L263"/>
  <c r="K263"/>
  <c r="J263"/>
  <c r="I263"/>
  <c r="G263"/>
  <c r="E263"/>
  <c r="D263"/>
  <c r="C263"/>
  <c r="W262"/>
  <c r="V262"/>
  <c r="N262"/>
  <c r="Q262" s="1"/>
  <c r="M262"/>
  <c r="L262"/>
  <c r="K262"/>
  <c r="J262"/>
  <c r="I262"/>
  <c r="G262"/>
  <c r="E262"/>
  <c r="D262"/>
  <c r="C262"/>
  <c r="W261"/>
  <c r="V261"/>
  <c r="N261"/>
  <c r="Q261" s="1"/>
  <c r="M261"/>
  <c r="L261"/>
  <c r="K261"/>
  <c r="J261"/>
  <c r="I261"/>
  <c r="G261"/>
  <c r="E261"/>
  <c r="D261"/>
  <c r="C261"/>
  <c r="W260"/>
  <c r="V260"/>
  <c r="N260"/>
  <c r="Q260" s="1"/>
  <c r="M260"/>
  <c r="L260"/>
  <c r="K260"/>
  <c r="J260"/>
  <c r="I260"/>
  <c r="G260"/>
  <c r="E260"/>
  <c r="D260"/>
  <c r="C260"/>
  <c r="W259"/>
  <c r="V259"/>
  <c r="N259"/>
  <c r="Q259" s="1"/>
  <c r="M259"/>
  <c r="L259"/>
  <c r="K259"/>
  <c r="J259"/>
  <c r="I259"/>
  <c r="G259"/>
  <c r="E259"/>
  <c r="D259"/>
  <c r="C259"/>
  <c r="W258"/>
  <c r="V258"/>
  <c r="N258"/>
  <c r="Q258" s="1"/>
  <c r="M258"/>
  <c r="L258"/>
  <c r="K258"/>
  <c r="J258"/>
  <c r="I258"/>
  <c r="G258"/>
  <c r="E258"/>
  <c r="D258"/>
  <c r="C258"/>
  <c r="W257"/>
  <c r="V257"/>
  <c r="N257"/>
  <c r="Q257" s="1"/>
  <c r="M257"/>
  <c r="L257"/>
  <c r="K257"/>
  <c r="J257"/>
  <c r="I257"/>
  <c r="G257"/>
  <c r="E257"/>
  <c r="D257"/>
  <c r="C257"/>
  <c r="W256"/>
  <c r="V256"/>
  <c r="N256"/>
  <c r="Q256" s="1"/>
  <c r="M256"/>
  <c r="L256"/>
  <c r="K256"/>
  <c r="J256"/>
  <c r="I256"/>
  <c r="G256"/>
  <c r="E256"/>
  <c r="D256"/>
  <c r="C256"/>
  <c r="W255"/>
  <c r="V255"/>
  <c r="N255"/>
  <c r="Q255" s="1"/>
  <c r="M255"/>
  <c r="L255"/>
  <c r="K255"/>
  <c r="J255"/>
  <c r="I255"/>
  <c r="G255"/>
  <c r="E255"/>
  <c r="D255"/>
  <c r="C255"/>
  <c r="W254"/>
  <c r="V254"/>
  <c r="N254"/>
  <c r="Q254" s="1"/>
  <c r="M254"/>
  <c r="L254"/>
  <c r="K254"/>
  <c r="J254"/>
  <c r="I254"/>
  <c r="G254"/>
  <c r="E254"/>
  <c r="D254"/>
  <c r="C254"/>
  <c r="W253"/>
  <c r="V253"/>
  <c r="N253"/>
  <c r="Q253" s="1"/>
  <c r="M253"/>
  <c r="L253"/>
  <c r="K253"/>
  <c r="J253"/>
  <c r="I253"/>
  <c r="G253"/>
  <c r="E253"/>
  <c r="D253"/>
  <c r="C253"/>
  <c r="W252"/>
  <c r="V252"/>
  <c r="N252"/>
  <c r="Q252" s="1"/>
  <c r="M252"/>
  <c r="L252"/>
  <c r="K252"/>
  <c r="J252"/>
  <c r="I252"/>
  <c r="G252"/>
  <c r="E252"/>
  <c r="D252"/>
  <c r="C252"/>
  <c r="W251"/>
  <c r="V251"/>
  <c r="N251"/>
  <c r="Q251" s="1"/>
  <c r="M251"/>
  <c r="L251"/>
  <c r="K251"/>
  <c r="J251"/>
  <c r="I251"/>
  <c r="G251"/>
  <c r="E251"/>
  <c r="D251"/>
  <c r="C251"/>
  <c r="W250"/>
  <c r="V250"/>
  <c r="N250"/>
  <c r="Q250" s="1"/>
  <c r="M250"/>
  <c r="L250"/>
  <c r="K250"/>
  <c r="J250"/>
  <c r="I250"/>
  <c r="G250"/>
  <c r="E250"/>
  <c r="D250"/>
  <c r="C250"/>
  <c r="W249"/>
  <c r="V249"/>
  <c r="N249"/>
  <c r="Q249" s="1"/>
  <c r="M249"/>
  <c r="L249"/>
  <c r="K249"/>
  <c r="J249"/>
  <c r="I249"/>
  <c r="G249"/>
  <c r="E249"/>
  <c r="D249"/>
  <c r="C249"/>
  <c r="W248"/>
  <c r="V248"/>
  <c r="N248"/>
  <c r="Q248" s="1"/>
  <c r="M248"/>
  <c r="L248"/>
  <c r="K248"/>
  <c r="J248"/>
  <c r="I248"/>
  <c r="G248"/>
  <c r="E248"/>
  <c r="D248"/>
  <c r="C248"/>
  <c r="W247"/>
  <c r="V247"/>
  <c r="N247"/>
  <c r="Q247" s="1"/>
  <c r="M247"/>
  <c r="L247"/>
  <c r="K247"/>
  <c r="J247"/>
  <c r="I247"/>
  <c r="G247"/>
  <c r="E247"/>
  <c r="D247"/>
  <c r="C247"/>
  <c r="W246"/>
  <c r="V246"/>
  <c r="N246"/>
  <c r="Q246" s="1"/>
  <c r="M246"/>
  <c r="L246"/>
  <c r="K246"/>
  <c r="J246"/>
  <c r="I246"/>
  <c r="G246"/>
  <c r="E246"/>
  <c r="D246"/>
  <c r="C246"/>
  <c r="W245"/>
  <c r="V245"/>
  <c r="M245"/>
  <c r="L245"/>
  <c r="K245"/>
  <c r="J245"/>
  <c r="I245"/>
  <c r="G245"/>
  <c r="N245" s="1"/>
  <c r="Q245" s="1"/>
  <c r="E245"/>
  <c r="D245"/>
  <c r="C245"/>
  <c r="W244"/>
  <c r="V244"/>
  <c r="M244"/>
  <c r="L244"/>
  <c r="K244"/>
  <c r="J244"/>
  <c r="I244"/>
  <c r="G244"/>
  <c r="N244" s="1"/>
  <c r="Q244" s="1"/>
  <c r="E244"/>
  <c r="D244"/>
  <c r="C244"/>
  <c r="W243"/>
  <c r="V243"/>
  <c r="M243"/>
  <c r="L243"/>
  <c r="K243"/>
  <c r="J243"/>
  <c r="I243"/>
  <c r="G243"/>
  <c r="N243" s="1"/>
  <c r="Q243" s="1"/>
  <c r="E243"/>
  <c r="D243"/>
  <c r="C243"/>
  <c r="W242"/>
  <c r="V242"/>
  <c r="M242"/>
  <c r="L242"/>
  <c r="K242"/>
  <c r="J242"/>
  <c r="I242"/>
  <c r="G242"/>
  <c r="N242" s="1"/>
  <c r="Q242" s="1"/>
  <c r="E242"/>
  <c r="D242"/>
  <c r="C242"/>
  <c r="W241"/>
  <c r="V241"/>
  <c r="M241"/>
  <c r="L241"/>
  <c r="K241"/>
  <c r="J241"/>
  <c r="I241"/>
  <c r="G241"/>
  <c r="N241" s="1"/>
  <c r="Q241" s="1"/>
  <c r="E241"/>
  <c r="D241"/>
  <c r="C241"/>
  <c r="W240"/>
  <c r="V240"/>
  <c r="M240"/>
  <c r="L240"/>
  <c r="K240"/>
  <c r="J240"/>
  <c r="I240"/>
  <c r="G240"/>
  <c r="N240" s="1"/>
  <c r="Q240" s="1"/>
  <c r="E240"/>
  <c r="D240"/>
  <c r="C240"/>
  <c r="W239"/>
  <c r="V239"/>
  <c r="M239"/>
  <c r="L239"/>
  <c r="K239"/>
  <c r="J239"/>
  <c r="I239"/>
  <c r="G239"/>
  <c r="N239" s="1"/>
  <c r="Q239" s="1"/>
  <c r="E239"/>
  <c r="D239"/>
  <c r="C239"/>
  <c r="W238"/>
  <c r="V238"/>
  <c r="M238"/>
  <c r="L238"/>
  <c r="K238"/>
  <c r="J238"/>
  <c r="I238"/>
  <c r="G238"/>
  <c r="N238" s="1"/>
  <c r="Q238" s="1"/>
  <c r="E238"/>
  <c r="D238"/>
  <c r="C238"/>
  <c r="W237"/>
  <c r="V237"/>
  <c r="N237"/>
  <c r="Q237" s="1"/>
  <c r="M237"/>
  <c r="L237"/>
  <c r="K237"/>
  <c r="J237"/>
  <c r="I237"/>
  <c r="H237"/>
  <c r="G237"/>
  <c r="E237"/>
  <c r="D237"/>
  <c r="C237"/>
  <c r="B237"/>
  <c r="W236"/>
  <c r="V236"/>
  <c r="N236"/>
  <c r="Q236" s="1"/>
  <c r="M236"/>
  <c r="L236"/>
  <c r="K236"/>
  <c r="J236"/>
  <c r="I236"/>
  <c r="G236"/>
  <c r="E236"/>
  <c r="D236"/>
  <c r="C236"/>
  <c r="W235"/>
  <c r="V235"/>
  <c r="N235"/>
  <c r="Q235" s="1"/>
  <c r="M235"/>
  <c r="L235"/>
  <c r="K235"/>
  <c r="J235"/>
  <c r="I235"/>
  <c r="G235"/>
  <c r="E235"/>
  <c r="D235"/>
  <c r="C235"/>
  <c r="W234"/>
  <c r="V234"/>
  <c r="N234"/>
  <c r="Q234" s="1"/>
  <c r="M234"/>
  <c r="L234"/>
  <c r="K234"/>
  <c r="J234"/>
  <c r="I234"/>
  <c r="G234"/>
  <c r="E234"/>
  <c r="D234"/>
  <c r="C234"/>
  <c r="W233"/>
  <c r="V233"/>
  <c r="N233"/>
  <c r="Q233" s="1"/>
  <c r="M233"/>
  <c r="L233"/>
  <c r="K233"/>
  <c r="J233"/>
  <c r="I233"/>
  <c r="G233"/>
  <c r="E233"/>
  <c r="D233"/>
  <c r="C233"/>
  <c r="W232"/>
  <c r="V232"/>
  <c r="N232"/>
  <c r="Q232" s="1"/>
  <c r="M232"/>
  <c r="L232"/>
  <c r="K232"/>
  <c r="J232"/>
  <c r="I232"/>
  <c r="H232"/>
  <c r="G232"/>
  <c r="E232"/>
  <c r="D232"/>
  <c r="C232"/>
  <c r="B232"/>
  <c r="W231"/>
  <c r="V231"/>
  <c r="N231"/>
  <c r="Q231" s="1"/>
  <c r="M231"/>
  <c r="L231"/>
  <c r="K231"/>
  <c r="J231"/>
  <c r="I231"/>
  <c r="H231"/>
  <c r="G231"/>
  <c r="E231"/>
  <c r="D231"/>
  <c r="C231"/>
  <c r="B231"/>
  <c r="W230"/>
  <c r="V230"/>
  <c r="N230"/>
  <c r="Q230" s="1"/>
  <c r="M230"/>
  <c r="L230"/>
  <c r="K230"/>
  <c r="J230"/>
  <c r="I230"/>
  <c r="H230"/>
  <c r="G230"/>
  <c r="E230"/>
  <c r="D230"/>
  <c r="C230"/>
  <c r="B230"/>
  <c r="W229"/>
  <c r="V229"/>
  <c r="N229"/>
  <c r="Q229" s="1"/>
  <c r="M229"/>
  <c r="L229"/>
  <c r="K229"/>
  <c r="J229"/>
  <c r="I229"/>
  <c r="H229"/>
  <c r="G229"/>
  <c r="E229"/>
  <c r="D229"/>
  <c r="C229"/>
  <c r="B229"/>
  <c r="W228"/>
  <c r="V228"/>
  <c r="N228"/>
  <c r="Q228" s="1"/>
  <c r="M228"/>
  <c r="L228"/>
  <c r="K228"/>
  <c r="J228"/>
  <c r="I228"/>
  <c r="H228"/>
  <c r="G228"/>
  <c r="E228"/>
  <c r="D228"/>
  <c r="C228"/>
  <c r="B228"/>
  <c r="W227"/>
  <c r="V227"/>
  <c r="N227"/>
  <c r="Q227" s="1"/>
  <c r="M227"/>
  <c r="L227"/>
  <c r="K227"/>
  <c r="J227"/>
  <c r="I227"/>
  <c r="H227"/>
  <c r="G227"/>
  <c r="E227"/>
  <c r="D227"/>
  <c r="C227"/>
  <c r="B227"/>
  <c r="W226"/>
  <c r="V226"/>
  <c r="N226"/>
  <c r="Q226" s="1"/>
  <c r="M226"/>
  <c r="L226"/>
  <c r="K226"/>
  <c r="J226"/>
  <c r="I226"/>
  <c r="G226"/>
  <c r="E226"/>
  <c r="D226"/>
  <c r="C226"/>
  <c r="W225"/>
  <c r="V225"/>
  <c r="N225"/>
  <c r="Q225" s="1"/>
  <c r="M225"/>
  <c r="L225"/>
  <c r="K225"/>
  <c r="J225"/>
  <c r="I225"/>
  <c r="G225"/>
  <c r="E225"/>
  <c r="D225"/>
  <c r="C225"/>
  <c r="W224"/>
  <c r="V224"/>
  <c r="N224"/>
  <c r="Q224" s="1"/>
  <c r="M224"/>
  <c r="L224"/>
  <c r="K224"/>
  <c r="J224"/>
  <c r="I224"/>
  <c r="G224"/>
  <c r="E224"/>
  <c r="D224"/>
  <c r="C224"/>
  <c r="W223"/>
  <c r="V223"/>
  <c r="N223"/>
  <c r="Q223" s="1"/>
  <c r="M223"/>
  <c r="L223"/>
  <c r="K223"/>
  <c r="J223"/>
  <c r="I223"/>
  <c r="G223"/>
  <c r="E223"/>
  <c r="D223"/>
  <c r="C223"/>
  <c r="W222"/>
  <c r="V222"/>
  <c r="N222"/>
  <c r="Q222" s="1"/>
  <c r="M222"/>
  <c r="L222"/>
  <c r="K222"/>
  <c r="J222"/>
  <c r="I222"/>
  <c r="G222"/>
  <c r="E222"/>
  <c r="D222"/>
  <c r="C222"/>
  <c r="W221"/>
  <c r="V221"/>
  <c r="N221"/>
  <c r="Q221" s="1"/>
  <c r="M221"/>
  <c r="L221"/>
  <c r="K221"/>
  <c r="J221"/>
  <c r="I221"/>
  <c r="G221"/>
  <c r="E221"/>
  <c r="D221"/>
  <c r="C221"/>
  <c r="W220"/>
  <c r="V220"/>
  <c r="N220"/>
  <c r="Q220" s="1"/>
  <c r="M220"/>
  <c r="L220"/>
  <c r="K220"/>
  <c r="J220"/>
  <c r="I220"/>
  <c r="G220"/>
  <c r="E220"/>
  <c r="D220"/>
  <c r="C220"/>
  <c r="W219"/>
  <c r="V219"/>
  <c r="N219"/>
  <c r="Q219" s="1"/>
  <c r="M219"/>
  <c r="L219"/>
  <c r="K219"/>
  <c r="J219"/>
  <c r="I219"/>
  <c r="G219"/>
  <c r="E219"/>
  <c r="D219"/>
  <c r="C219"/>
  <c r="W218"/>
  <c r="V218"/>
  <c r="N218"/>
  <c r="Q218" s="1"/>
  <c r="M218"/>
  <c r="L218"/>
  <c r="K218"/>
  <c r="J218"/>
  <c r="I218"/>
  <c r="G218"/>
  <c r="E218"/>
  <c r="D218"/>
  <c r="C218"/>
  <c r="W217"/>
  <c r="V217"/>
  <c r="N217"/>
  <c r="Q217" s="1"/>
  <c r="M217"/>
  <c r="L217"/>
  <c r="K217"/>
  <c r="J217"/>
  <c r="I217"/>
  <c r="G217"/>
  <c r="E217"/>
  <c r="D217"/>
  <c r="C217"/>
  <c r="W216"/>
  <c r="V216"/>
  <c r="N216"/>
  <c r="Q216" s="1"/>
  <c r="M216"/>
  <c r="L216"/>
  <c r="K216"/>
  <c r="J216"/>
  <c r="I216"/>
  <c r="G216"/>
  <c r="E216"/>
  <c r="D216"/>
  <c r="C216"/>
  <c r="W215"/>
  <c r="V215"/>
  <c r="N215"/>
  <c r="Q215" s="1"/>
  <c r="M215"/>
  <c r="L215"/>
  <c r="K215"/>
  <c r="J215"/>
  <c r="I215"/>
  <c r="G215"/>
  <c r="E215"/>
  <c r="D215"/>
  <c r="C215"/>
  <c r="W214"/>
  <c r="V214"/>
  <c r="N214"/>
  <c r="Q214" s="1"/>
  <c r="M214"/>
  <c r="L214"/>
  <c r="K214"/>
  <c r="J214"/>
  <c r="I214"/>
  <c r="H214"/>
  <c r="G214"/>
  <c r="E214"/>
  <c r="D214"/>
  <c r="C214"/>
  <c r="W213"/>
  <c r="V213"/>
  <c r="N213"/>
  <c r="Q213" s="1"/>
  <c r="M213"/>
  <c r="L213"/>
  <c r="K213"/>
  <c r="J213"/>
  <c r="I213"/>
  <c r="G213"/>
  <c r="E213"/>
  <c r="D213"/>
  <c r="C213"/>
  <c r="W212"/>
  <c r="V212"/>
  <c r="N212"/>
  <c r="Q212" s="1"/>
  <c r="M212"/>
  <c r="L212"/>
  <c r="K212"/>
  <c r="J212"/>
  <c r="I212"/>
  <c r="G212"/>
  <c r="E212"/>
  <c r="D212"/>
  <c r="C212"/>
  <c r="W211"/>
  <c r="V211"/>
  <c r="M211"/>
  <c r="L211"/>
  <c r="K211"/>
  <c r="J211"/>
  <c r="I211"/>
  <c r="H211"/>
  <c r="G211"/>
  <c r="N211" s="1"/>
  <c r="Q211" s="1"/>
  <c r="E211"/>
  <c r="D211"/>
  <c r="C211"/>
  <c r="W210"/>
  <c r="V210"/>
  <c r="M210"/>
  <c r="L210"/>
  <c r="K210"/>
  <c r="J210"/>
  <c r="I210"/>
  <c r="H210"/>
  <c r="G210"/>
  <c r="N210" s="1"/>
  <c r="Q210" s="1"/>
  <c r="E210"/>
  <c r="D210"/>
  <c r="C210"/>
  <c r="W209"/>
  <c r="V209"/>
  <c r="M209"/>
  <c r="L209"/>
  <c r="K209"/>
  <c r="J209"/>
  <c r="I209"/>
  <c r="H209"/>
  <c r="G209"/>
  <c r="N209" s="1"/>
  <c r="Q209" s="1"/>
  <c r="E209"/>
  <c r="D209"/>
  <c r="C209"/>
  <c r="W208"/>
  <c r="V208"/>
  <c r="M208"/>
  <c r="L208"/>
  <c r="K208"/>
  <c r="J208"/>
  <c r="I208"/>
  <c r="H208"/>
  <c r="G208"/>
  <c r="N208" s="1"/>
  <c r="Q208" s="1"/>
  <c r="E208"/>
  <c r="D208"/>
  <c r="C208"/>
  <c r="W207"/>
  <c r="V207"/>
  <c r="M207"/>
  <c r="L207"/>
  <c r="K207"/>
  <c r="J207"/>
  <c r="I207"/>
  <c r="H207"/>
  <c r="G207"/>
  <c r="N207" s="1"/>
  <c r="Q207" s="1"/>
  <c r="E207"/>
  <c r="D207"/>
  <c r="C207"/>
  <c r="W206"/>
  <c r="V206"/>
  <c r="M206"/>
  <c r="L206"/>
  <c r="K206"/>
  <c r="J206"/>
  <c r="I206"/>
  <c r="H206"/>
  <c r="G206"/>
  <c r="N206" s="1"/>
  <c r="Q206" s="1"/>
  <c r="E206"/>
  <c r="D206"/>
  <c r="C206"/>
  <c r="W205"/>
  <c r="V205"/>
  <c r="M205"/>
  <c r="L205"/>
  <c r="K205"/>
  <c r="J205"/>
  <c r="I205"/>
  <c r="H205"/>
  <c r="G205"/>
  <c r="N205" s="1"/>
  <c r="Q205" s="1"/>
  <c r="E205"/>
  <c r="D205"/>
  <c r="C205"/>
  <c r="W204"/>
  <c r="V204"/>
  <c r="M204"/>
  <c r="L204"/>
  <c r="K204"/>
  <c r="J204"/>
  <c r="I204"/>
  <c r="H204"/>
  <c r="G204"/>
  <c r="N204" s="1"/>
  <c r="Q204" s="1"/>
  <c r="E204"/>
  <c r="D204"/>
  <c r="C204"/>
  <c r="W203"/>
  <c r="V203"/>
  <c r="M203"/>
  <c r="L203"/>
  <c r="K203"/>
  <c r="J203"/>
  <c r="I203"/>
  <c r="H203"/>
  <c r="G203"/>
  <c r="N203" s="1"/>
  <c r="Q203" s="1"/>
  <c r="E203"/>
  <c r="D203"/>
  <c r="C203"/>
  <c r="W202"/>
  <c r="V202"/>
  <c r="M202"/>
  <c r="L202"/>
  <c r="K202"/>
  <c r="J202"/>
  <c r="I202"/>
  <c r="H202"/>
  <c r="G202"/>
  <c r="N202" s="1"/>
  <c r="Q202" s="1"/>
  <c r="E202"/>
  <c r="D202"/>
  <c r="C202"/>
  <c r="W201"/>
  <c r="V201"/>
  <c r="M201"/>
  <c r="L201"/>
  <c r="K201"/>
  <c r="J201"/>
  <c r="I201"/>
  <c r="H201"/>
  <c r="G201"/>
  <c r="N201" s="1"/>
  <c r="Q201" s="1"/>
  <c r="E201"/>
  <c r="D201"/>
  <c r="C201"/>
  <c r="W200"/>
  <c r="V200"/>
  <c r="M200"/>
  <c r="L200"/>
  <c r="K200"/>
  <c r="J200"/>
  <c r="I200"/>
  <c r="H200"/>
  <c r="G200"/>
  <c r="N200" s="1"/>
  <c r="Q200" s="1"/>
  <c r="E200"/>
  <c r="D200"/>
  <c r="C200"/>
  <c r="W199"/>
  <c r="V199"/>
  <c r="M199"/>
  <c r="L199"/>
  <c r="K199"/>
  <c r="J199"/>
  <c r="I199"/>
  <c r="H199"/>
  <c r="G199"/>
  <c r="N199" s="1"/>
  <c r="Q199" s="1"/>
  <c r="E199"/>
  <c r="D199"/>
  <c r="C199"/>
  <c r="W198"/>
  <c r="V198"/>
  <c r="M198"/>
  <c r="L198"/>
  <c r="K198"/>
  <c r="J198"/>
  <c r="I198"/>
  <c r="H198"/>
  <c r="G198"/>
  <c r="N198" s="1"/>
  <c r="Q198" s="1"/>
  <c r="E198"/>
  <c r="D198"/>
  <c r="C198"/>
  <c r="W197"/>
  <c r="V197"/>
  <c r="M197"/>
  <c r="L197"/>
  <c r="K197"/>
  <c r="J197"/>
  <c r="I197"/>
  <c r="H197"/>
  <c r="G197"/>
  <c r="N197" s="1"/>
  <c r="Q197" s="1"/>
  <c r="E197"/>
  <c r="D197"/>
  <c r="C197"/>
  <c r="W196"/>
  <c r="V196"/>
  <c r="M196"/>
  <c r="L196"/>
  <c r="K196"/>
  <c r="J196"/>
  <c r="I196"/>
  <c r="H196"/>
  <c r="G196"/>
  <c r="N196" s="1"/>
  <c r="Q196" s="1"/>
  <c r="E196"/>
  <c r="D196"/>
  <c r="C196"/>
  <c r="W195"/>
  <c r="V195"/>
  <c r="M195"/>
  <c r="L195"/>
  <c r="K195"/>
  <c r="J195"/>
  <c r="I195"/>
  <c r="H195"/>
  <c r="G195"/>
  <c r="N195" s="1"/>
  <c r="Q195" s="1"/>
  <c r="E195"/>
  <c r="D195"/>
  <c r="C195"/>
  <c r="W194"/>
  <c r="V194"/>
  <c r="M194"/>
  <c r="L194"/>
  <c r="K194"/>
  <c r="J194"/>
  <c r="I194"/>
  <c r="H194"/>
  <c r="G194"/>
  <c r="N194" s="1"/>
  <c r="Q194" s="1"/>
  <c r="E194"/>
  <c r="D194"/>
  <c r="C194"/>
  <c r="W193"/>
  <c r="V193"/>
  <c r="M193"/>
  <c r="L193"/>
  <c r="K193"/>
  <c r="J193"/>
  <c r="I193"/>
  <c r="H193"/>
  <c r="G193"/>
  <c r="N193" s="1"/>
  <c r="Q193" s="1"/>
  <c r="E193"/>
  <c r="D193"/>
  <c r="C193"/>
  <c r="W192"/>
  <c r="V192"/>
  <c r="M192"/>
  <c r="L192"/>
  <c r="K192"/>
  <c r="J192"/>
  <c r="I192"/>
  <c r="H192"/>
  <c r="G192"/>
  <c r="N192" s="1"/>
  <c r="Q192" s="1"/>
  <c r="E192"/>
  <c r="D192"/>
  <c r="C192"/>
  <c r="W191"/>
  <c r="V191"/>
  <c r="M191"/>
  <c r="L191"/>
  <c r="K191"/>
  <c r="J191"/>
  <c r="I191"/>
  <c r="H191"/>
  <c r="G191"/>
  <c r="N191" s="1"/>
  <c r="Q191" s="1"/>
  <c r="E191"/>
  <c r="D191"/>
  <c r="C191"/>
  <c r="W190"/>
  <c r="V190"/>
  <c r="M190"/>
  <c r="L190"/>
  <c r="K190"/>
  <c r="J190"/>
  <c r="I190"/>
  <c r="H190"/>
  <c r="G190"/>
  <c r="N190" s="1"/>
  <c r="Q190" s="1"/>
  <c r="E190"/>
  <c r="D190"/>
  <c r="C190"/>
  <c r="W189"/>
  <c r="V189"/>
  <c r="M189"/>
  <c r="L189"/>
  <c r="K189"/>
  <c r="J189"/>
  <c r="I189"/>
  <c r="H189"/>
  <c r="G189"/>
  <c r="N189" s="1"/>
  <c r="Q189" s="1"/>
  <c r="E189"/>
  <c r="D189"/>
  <c r="C189"/>
  <c r="W188"/>
  <c r="V188"/>
  <c r="N188"/>
  <c r="Q188" s="1"/>
  <c r="M188"/>
  <c r="L188"/>
  <c r="K188"/>
  <c r="J188"/>
  <c r="I188"/>
  <c r="G188"/>
  <c r="E188"/>
  <c r="D188"/>
  <c r="C188"/>
  <c r="W187"/>
  <c r="V187"/>
  <c r="N187"/>
  <c r="Q187" s="1"/>
  <c r="M187"/>
  <c r="L187"/>
  <c r="K187"/>
  <c r="J187"/>
  <c r="I187"/>
  <c r="G187"/>
  <c r="E187"/>
  <c r="D187"/>
  <c r="C187"/>
  <c r="W186"/>
  <c r="V186"/>
  <c r="N186"/>
  <c r="Q186" s="1"/>
  <c r="M186"/>
  <c r="L186"/>
  <c r="K186"/>
  <c r="J186"/>
  <c r="I186"/>
  <c r="G186"/>
  <c r="E186"/>
  <c r="D186"/>
  <c r="C186"/>
  <c r="W185"/>
  <c r="V185"/>
  <c r="N185"/>
  <c r="Q185" s="1"/>
  <c r="M185"/>
  <c r="L185"/>
  <c r="K185"/>
  <c r="J185"/>
  <c r="I185"/>
  <c r="G185"/>
  <c r="E185"/>
  <c r="D185"/>
  <c r="C185"/>
  <c r="W184"/>
  <c r="V184"/>
  <c r="N184"/>
  <c r="Q184" s="1"/>
  <c r="M184"/>
  <c r="L184"/>
  <c r="K184"/>
  <c r="J184"/>
  <c r="I184"/>
  <c r="G184"/>
  <c r="E184"/>
  <c r="D184"/>
  <c r="C184"/>
  <c r="W183"/>
  <c r="V183"/>
  <c r="N183"/>
  <c r="Q183" s="1"/>
  <c r="M183"/>
  <c r="L183"/>
  <c r="K183"/>
  <c r="J183"/>
  <c r="I183"/>
  <c r="G183"/>
  <c r="E183"/>
  <c r="D183"/>
  <c r="C183"/>
  <c r="W182"/>
  <c r="V182"/>
  <c r="N182"/>
  <c r="Q182" s="1"/>
  <c r="M182"/>
  <c r="L182"/>
  <c r="K182"/>
  <c r="J182"/>
  <c r="I182"/>
  <c r="G182"/>
  <c r="E182"/>
  <c r="D182"/>
  <c r="C182"/>
  <c r="W181"/>
  <c r="V181"/>
  <c r="N181"/>
  <c r="Q181" s="1"/>
  <c r="M181"/>
  <c r="L181"/>
  <c r="K181"/>
  <c r="J181"/>
  <c r="I181"/>
  <c r="H181"/>
  <c r="G181"/>
  <c r="E181"/>
  <c r="D181"/>
  <c r="C181"/>
  <c r="B181"/>
  <c r="W180"/>
  <c r="V180"/>
  <c r="N180"/>
  <c r="Q180" s="1"/>
  <c r="M180"/>
  <c r="L180"/>
  <c r="K180"/>
  <c r="J180"/>
  <c r="I180"/>
  <c r="H180"/>
  <c r="G180"/>
  <c r="E180"/>
  <c r="D180"/>
  <c r="C180"/>
  <c r="B180"/>
  <c r="W179"/>
  <c r="V179"/>
  <c r="N179"/>
  <c r="Q179" s="1"/>
  <c r="M179"/>
  <c r="L179"/>
  <c r="K179"/>
  <c r="J179"/>
  <c r="I179"/>
  <c r="H179"/>
  <c r="G179"/>
  <c r="E179"/>
  <c r="D179"/>
  <c r="C179"/>
  <c r="B179"/>
  <c r="W178"/>
  <c r="V178"/>
  <c r="N178"/>
  <c r="Q178" s="1"/>
  <c r="M178"/>
  <c r="L178"/>
  <c r="K178"/>
  <c r="J178"/>
  <c r="I178"/>
  <c r="H178"/>
  <c r="G178"/>
  <c r="E178"/>
  <c r="D178"/>
  <c r="C178"/>
  <c r="B178"/>
  <c r="W177"/>
  <c r="V177"/>
  <c r="N177"/>
  <c r="Q177" s="1"/>
  <c r="M177"/>
  <c r="L177"/>
  <c r="K177"/>
  <c r="J177"/>
  <c r="I177"/>
  <c r="H177"/>
  <c r="G177"/>
  <c r="E177"/>
  <c r="D177"/>
  <c r="C177"/>
  <c r="B177"/>
  <c r="W176"/>
  <c r="V176"/>
  <c r="N176"/>
  <c r="Q176" s="1"/>
  <c r="M176"/>
  <c r="L176"/>
  <c r="K176"/>
  <c r="J176"/>
  <c r="I176"/>
  <c r="H176"/>
  <c r="G176"/>
  <c r="E176"/>
  <c r="D176"/>
  <c r="C176"/>
  <c r="B176"/>
  <c r="W175"/>
  <c r="V175"/>
  <c r="N175"/>
  <c r="Q175" s="1"/>
  <c r="M175"/>
  <c r="L175"/>
  <c r="K175"/>
  <c r="J175"/>
  <c r="I175"/>
  <c r="H175"/>
  <c r="G175"/>
  <c r="E175"/>
  <c r="D175"/>
  <c r="C175"/>
  <c r="B175"/>
  <c r="W174"/>
  <c r="V174"/>
  <c r="N174"/>
  <c r="Q174" s="1"/>
  <c r="M174"/>
  <c r="L174"/>
  <c r="K174"/>
  <c r="J174"/>
  <c r="I174"/>
  <c r="H174"/>
  <c r="G174"/>
  <c r="E174"/>
  <c r="D174"/>
  <c r="C174"/>
  <c r="B174"/>
  <c r="W173"/>
  <c r="V173"/>
  <c r="N173"/>
  <c r="Q173" s="1"/>
  <c r="M173"/>
  <c r="L173"/>
  <c r="K173"/>
  <c r="J173"/>
  <c r="I173"/>
  <c r="G173"/>
  <c r="E173"/>
  <c r="D173"/>
  <c r="C173"/>
  <c r="W172"/>
  <c r="V172"/>
  <c r="N172"/>
  <c r="Q172" s="1"/>
  <c r="M172"/>
  <c r="L172"/>
  <c r="K172"/>
  <c r="J172"/>
  <c r="I172"/>
  <c r="G172"/>
  <c r="E172"/>
  <c r="D172"/>
  <c r="C172"/>
  <c r="W171"/>
  <c r="V171"/>
  <c r="N171"/>
  <c r="Q171" s="1"/>
  <c r="M171"/>
  <c r="L171"/>
  <c r="K171"/>
  <c r="J171"/>
  <c r="I171"/>
  <c r="G171"/>
  <c r="E171"/>
  <c r="D171"/>
  <c r="C171"/>
  <c r="W170"/>
  <c r="V170"/>
  <c r="N170"/>
  <c r="Q170" s="1"/>
  <c r="M170"/>
  <c r="L170"/>
  <c r="K170"/>
  <c r="J170"/>
  <c r="I170"/>
  <c r="G170"/>
  <c r="E170"/>
  <c r="D170"/>
  <c r="C170"/>
  <c r="W169"/>
  <c r="V169"/>
  <c r="N169"/>
  <c r="Q169" s="1"/>
  <c r="M169"/>
  <c r="L169"/>
  <c r="K169"/>
  <c r="J169"/>
  <c r="I169"/>
  <c r="G169"/>
  <c r="E169"/>
  <c r="D169"/>
  <c r="C169"/>
  <c r="W168"/>
  <c r="V168"/>
  <c r="N168"/>
  <c r="Q168" s="1"/>
  <c r="M168"/>
  <c r="L168"/>
  <c r="K168"/>
  <c r="J168"/>
  <c r="I168"/>
  <c r="G168"/>
  <c r="E168"/>
  <c r="D168"/>
  <c r="C168"/>
  <c r="W167"/>
  <c r="V167"/>
  <c r="N167"/>
  <c r="Q167" s="1"/>
  <c r="M167"/>
  <c r="L167"/>
  <c r="K167"/>
  <c r="J167"/>
  <c r="I167"/>
  <c r="G167"/>
  <c r="E167"/>
  <c r="D167"/>
  <c r="C167"/>
  <c r="W166"/>
  <c r="V166"/>
  <c r="N166"/>
  <c r="Q166" s="1"/>
  <c r="M166"/>
  <c r="L166"/>
  <c r="K166"/>
  <c r="J166"/>
  <c r="I166"/>
  <c r="G166"/>
  <c r="E166"/>
  <c r="D166"/>
  <c r="C166"/>
  <c r="W165"/>
  <c r="V165"/>
  <c r="N165"/>
  <c r="Q165" s="1"/>
  <c r="M165"/>
  <c r="L165"/>
  <c r="K165"/>
  <c r="J165"/>
  <c r="I165"/>
  <c r="G165"/>
  <c r="E165"/>
  <c r="D165"/>
  <c r="C165"/>
  <c r="W164"/>
  <c r="V164"/>
  <c r="N164"/>
  <c r="Q164" s="1"/>
  <c r="M164"/>
  <c r="L164"/>
  <c r="K164"/>
  <c r="J164"/>
  <c r="I164"/>
  <c r="G164"/>
  <c r="E164"/>
  <c r="D164"/>
  <c r="C164"/>
  <c r="W163"/>
  <c r="V163"/>
  <c r="N163"/>
  <c r="Q163" s="1"/>
  <c r="M163"/>
  <c r="L163"/>
  <c r="K163"/>
  <c r="J163"/>
  <c r="I163"/>
  <c r="G163"/>
  <c r="E163"/>
  <c r="D163"/>
  <c r="C163"/>
  <c r="W162"/>
  <c r="V162"/>
  <c r="N162"/>
  <c r="Q162" s="1"/>
  <c r="M162"/>
  <c r="L162"/>
  <c r="K162"/>
  <c r="J162"/>
  <c r="I162"/>
  <c r="G162"/>
  <c r="E162"/>
  <c r="D162"/>
  <c r="C162"/>
  <c r="W161"/>
  <c r="V161"/>
  <c r="N161"/>
  <c r="Q161" s="1"/>
  <c r="M161"/>
  <c r="L161"/>
  <c r="K161"/>
  <c r="J161"/>
  <c r="I161"/>
  <c r="G161"/>
  <c r="E161"/>
  <c r="D161"/>
  <c r="C161"/>
  <c r="W160"/>
  <c r="V160"/>
  <c r="N160"/>
  <c r="Q160" s="1"/>
  <c r="M160"/>
  <c r="L160"/>
  <c r="K160"/>
  <c r="J160"/>
  <c r="I160"/>
  <c r="G160"/>
  <c r="E160"/>
  <c r="D160"/>
  <c r="C160"/>
  <c r="W159"/>
  <c r="V159"/>
  <c r="M159"/>
  <c r="L159"/>
  <c r="K159"/>
  <c r="J159"/>
  <c r="I159"/>
  <c r="H159"/>
  <c r="G159"/>
  <c r="N159" s="1"/>
  <c r="Q159" s="1"/>
  <c r="E159"/>
  <c r="D159"/>
  <c r="C159"/>
  <c r="B159"/>
  <c r="W158"/>
  <c r="V158"/>
  <c r="M158"/>
  <c r="L158"/>
  <c r="K158"/>
  <c r="J158"/>
  <c r="I158"/>
  <c r="H158"/>
  <c r="G158"/>
  <c r="N158" s="1"/>
  <c r="Q158" s="1"/>
  <c r="E158"/>
  <c r="D158"/>
  <c r="C158"/>
  <c r="B158"/>
  <c r="W157"/>
  <c r="V157"/>
  <c r="M157"/>
  <c r="L157"/>
  <c r="K157"/>
  <c r="J157"/>
  <c r="I157"/>
  <c r="H157"/>
  <c r="G157"/>
  <c r="N157" s="1"/>
  <c r="Q157" s="1"/>
  <c r="E157"/>
  <c r="D157"/>
  <c r="C157"/>
  <c r="B157"/>
  <c r="W156"/>
  <c r="V156"/>
  <c r="M156"/>
  <c r="L156"/>
  <c r="K156"/>
  <c r="J156"/>
  <c r="I156"/>
  <c r="H156"/>
  <c r="G156"/>
  <c r="N156" s="1"/>
  <c r="Q156" s="1"/>
  <c r="E156"/>
  <c r="D156"/>
  <c r="C156"/>
  <c r="B156"/>
  <c r="W155"/>
  <c r="V155"/>
  <c r="M155"/>
  <c r="L155"/>
  <c r="K155"/>
  <c r="J155"/>
  <c r="I155"/>
  <c r="H155"/>
  <c r="G155"/>
  <c r="N155" s="1"/>
  <c r="Q155" s="1"/>
  <c r="E155"/>
  <c r="D155"/>
  <c r="C155"/>
  <c r="B155"/>
  <c r="W154"/>
  <c r="V154"/>
  <c r="M154"/>
  <c r="L154"/>
  <c r="K154"/>
  <c r="J154"/>
  <c r="I154"/>
  <c r="H154"/>
  <c r="G154"/>
  <c r="N154" s="1"/>
  <c r="Q154" s="1"/>
  <c r="E154"/>
  <c r="D154"/>
  <c r="C154"/>
  <c r="B154"/>
  <c r="W153"/>
  <c r="V153"/>
  <c r="M153"/>
  <c r="L153"/>
  <c r="K153"/>
  <c r="J153"/>
  <c r="I153"/>
  <c r="H153"/>
  <c r="G153"/>
  <c r="N153" s="1"/>
  <c r="Q153" s="1"/>
  <c r="E153"/>
  <c r="D153"/>
  <c r="C153"/>
  <c r="B153"/>
  <c r="W152"/>
  <c r="V152"/>
  <c r="M152"/>
  <c r="L152"/>
  <c r="K152"/>
  <c r="J152"/>
  <c r="I152"/>
  <c r="H152"/>
  <c r="G152"/>
  <c r="N152" s="1"/>
  <c r="Q152" s="1"/>
  <c r="E152"/>
  <c r="D152"/>
  <c r="C152"/>
  <c r="B152"/>
  <c r="W151"/>
  <c r="V151"/>
  <c r="M151"/>
  <c r="L151"/>
  <c r="K151"/>
  <c r="J151"/>
  <c r="I151"/>
  <c r="H151"/>
  <c r="G151"/>
  <c r="N151" s="1"/>
  <c r="Q151" s="1"/>
  <c r="E151"/>
  <c r="D151"/>
  <c r="C151"/>
  <c r="B151"/>
  <c r="W150"/>
  <c r="V150"/>
  <c r="M150"/>
  <c r="L150"/>
  <c r="K150"/>
  <c r="J150"/>
  <c r="I150"/>
  <c r="H150"/>
  <c r="G150"/>
  <c r="N150" s="1"/>
  <c r="Q150" s="1"/>
  <c r="E150"/>
  <c r="D150"/>
  <c r="C150"/>
  <c r="B150"/>
  <c r="W149"/>
  <c r="V149"/>
  <c r="M149"/>
  <c r="L149"/>
  <c r="K149"/>
  <c r="J149"/>
  <c r="I149"/>
  <c r="H149"/>
  <c r="G149"/>
  <c r="N149" s="1"/>
  <c r="Q149" s="1"/>
  <c r="E149"/>
  <c r="D149"/>
  <c r="C149"/>
  <c r="B149"/>
  <c r="W148"/>
  <c r="V148"/>
  <c r="M148"/>
  <c r="L148"/>
  <c r="K148"/>
  <c r="J148"/>
  <c r="I148"/>
  <c r="H148"/>
  <c r="G148"/>
  <c r="N148" s="1"/>
  <c r="Q148" s="1"/>
  <c r="E148"/>
  <c r="D148"/>
  <c r="C148"/>
  <c r="B148"/>
  <c r="W147"/>
  <c r="V147"/>
  <c r="M147"/>
  <c r="L147"/>
  <c r="K147"/>
  <c r="J147"/>
  <c r="I147"/>
  <c r="H147"/>
  <c r="G147"/>
  <c r="N147" s="1"/>
  <c r="Q147" s="1"/>
  <c r="E147"/>
  <c r="D147"/>
  <c r="C147"/>
  <c r="B147"/>
  <c r="W146"/>
  <c r="V146"/>
  <c r="M146"/>
  <c r="L146"/>
  <c r="K146"/>
  <c r="J146"/>
  <c r="I146"/>
  <c r="H146"/>
  <c r="G146"/>
  <c r="N146" s="1"/>
  <c r="Q146" s="1"/>
  <c r="E146"/>
  <c r="D146"/>
  <c r="C146"/>
  <c r="B146"/>
  <c r="W145"/>
  <c r="V145"/>
  <c r="M145"/>
  <c r="L145"/>
  <c r="K145"/>
  <c r="J145"/>
  <c r="I145"/>
  <c r="H145"/>
  <c r="G145"/>
  <c r="N145" s="1"/>
  <c r="Q145" s="1"/>
  <c r="E145"/>
  <c r="D145"/>
  <c r="C145"/>
  <c r="B145"/>
  <c r="W144"/>
  <c r="V144"/>
  <c r="M144"/>
  <c r="L144"/>
  <c r="K144"/>
  <c r="J144"/>
  <c r="I144"/>
  <c r="H144"/>
  <c r="G144"/>
  <c r="N144" s="1"/>
  <c r="Q144" s="1"/>
  <c r="E144"/>
  <c r="D144"/>
  <c r="C144"/>
  <c r="B144"/>
  <c r="W143"/>
  <c r="V143"/>
  <c r="M143"/>
  <c r="L143"/>
  <c r="K143"/>
  <c r="J143"/>
  <c r="I143"/>
  <c r="H143"/>
  <c r="G143"/>
  <c r="N143" s="1"/>
  <c r="Q143" s="1"/>
  <c r="E143"/>
  <c r="D143"/>
  <c r="C143"/>
  <c r="B143"/>
  <c r="W142"/>
  <c r="V142"/>
  <c r="M142"/>
  <c r="L142"/>
  <c r="K142"/>
  <c r="J142"/>
  <c r="I142"/>
  <c r="H142"/>
  <c r="G142"/>
  <c r="N142" s="1"/>
  <c r="Q142" s="1"/>
  <c r="E142"/>
  <c r="D142"/>
  <c r="C142"/>
  <c r="B142"/>
  <c r="W141"/>
  <c r="V141"/>
  <c r="N141"/>
  <c r="Q141" s="1"/>
  <c r="M141"/>
  <c r="L141"/>
  <c r="K141"/>
  <c r="J141"/>
  <c r="I141"/>
  <c r="G141"/>
  <c r="E141"/>
  <c r="D141"/>
  <c r="C141"/>
  <c r="W140"/>
  <c r="V140"/>
  <c r="N140"/>
  <c r="Q140" s="1"/>
  <c r="M140"/>
  <c r="L140"/>
  <c r="K140"/>
  <c r="J140"/>
  <c r="I140"/>
  <c r="G140"/>
  <c r="E140"/>
  <c r="D140"/>
  <c r="C140"/>
  <c r="W139"/>
  <c r="V139"/>
  <c r="N139"/>
  <c r="Q139" s="1"/>
  <c r="M139"/>
  <c r="L139"/>
  <c r="K139"/>
  <c r="J139"/>
  <c r="I139"/>
  <c r="G139"/>
  <c r="E139"/>
  <c r="D139"/>
  <c r="C139"/>
  <c r="W138"/>
  <c r="V138"/>
  <c r="N138"/>
  <c r="M138"/>
  <c r="L138"/>
  <c r="K138"/>
  <c r="J138"/>
  <c r="I138"/>
  <c r="G138"/>
  <c r="E138"/>
  <c r="D138"/>
  <c r="C138"/>
  <c r="W137"/>
  <c r="V137"/>
  <c r="N137"/>
  <c r="Q137" s="1"/>
  <c r="M137"/>
  <c r="L137"/>
  <c r="K137"/>
  <c r="J137"/>
  <c r="I137"/>
  <c r="G137"/>
  <c r="E137"/>
  <c r="D137"/>
  <c r="C137"/>
  <c r="W136"/>
  <c r="V136"/>
  <c r="M136"/>
  <c r="L136"/>
  <c r="K136"/>
  <c r="J136"/>
  <c r="I136"/>
  <c r="G136"/>
  <c r="N136" s="1"/>
  <c r="Q136" s="1"/>
  <c r="E136"/>
  <c r="D136"/>
  <c r="C136"/>
  <c r="W135"/>
  <c r="V135"/>
  <c r="M135"/>
  <c r="L135"/>
  <c r="K135"/>
  <c r="J135"/>
  <c r="I135"/>
  <c r="G135"/>
  <c r="N135" s="1"/>
  <c r="Q135" s="1"/>
  <c r="E135"/>
  <c r="D135"/>
  <c r="C135"/>
  <c r="W134"/>
  <c r="V134"/>
  <c r="M134"/>
  <c r="L134"/>
  <c r="K134"/>
  <c r="J134"/>
  <c r="I134"/>
  <c r="G134"/>
  <c r="N134" s="1"/>
  <c r="Q134" s="1"/>
  <c r="E134"/>
  <c r="D134"/>
  <c r="C134"/>
  <c r="W133"/>
  <c r="V133"/>
  <c r="M133"/>
  <c r="L133"/>
  <c r="K133"/>
  <c r="J133"/>
  <c r="I133"/>
  <c r="G133"/>
  <c r="N133" s="1"/>
  <c r="Q133" s="1"/>
  <c r="E133"/>
  <c r="D133"/>
  <c r="C133"/>
  <c r="W132"/>
  <c r="V132"/>
  <c r="M132"/>
  <c r="L132"/>
  <c r="K132"/>
  <c r="J132"/>
  <c r="I132"/>
  <c r="G132"/>
  <c r="N132" s="1"/>
  <c r="Q132" s="1"/>
  <c r="E132"/>
  <c r="D132"/>
  <c r="C132"/>
  <c r="W131"/>
  <c r="V131"/>
  <c r="M131"/>
  <c r="L131"/>
  <c r="K131"/>
  <c r="J131"/>
  <c r="I131"/>
  <c r="G131"/>
  <c r="N131" s="1"/>
  <c r="Q131" s="1"/>
  <c r="E131"/>
  <c r="D131"/>
  <c r="C131"/>
  <c r="W130"/>
  <c r="V130"/>
  <c r="M130"/>
  <c r="L130"/>
  <c r="K130"/>
  <c r="J130"/>
  <c r="I130"/>
  <c r="G130"/>
  <c r="N130" s="1"/>
  <c r="Q130" s="1"/>
  <c r="E130"/>
  <c r="D130"/>
  <c r="C130"/>
  <c r="W129"/>
  <c r="V129"/>
  <c r="M129"/>
  <c r="L129"/>
  <c r="K129"/>
  <c r="J129"/>
  <c r="I129"/>
  <c r="G129"/>
  <c r="N129" s="1"/>
  <c r="Q129" s="1"/>
  <c r="E129"/>
  <c r="D129"/>
  <c r="C129"/>
  <c r="W128"/>
  <c r="V128"/>
  <c r="M128"/>
  <c r="L128"/>
  <c r="K128"/>
  <c r="J128"/>
  <c r="I128"/>
  <c r="G128"/>
  <c r="N128" s="1"/>
  <c r="Q128" s="1"/>
  <c r="E128"/>
  <c r="D128"/>
  <c r="C128"/>
  <c r="W127"/>
  <c r="V127"/>
  <c r="M127"/>
  <c r="L127"/>
  <c r="K127"/>
  <c r="J127"/>
  <c r="I127"/>
  <c r="H127"/>
  <c r="G127"/>
  <c r="N127" s="1"/>
  <c r="Q127" s="1"/>
  <c r="E127"/>
  <c r="D127"/>
  <c r="C127"/>
  <c r="W126"/>
  <c r="V126"/>
  <c r="M126"/>
  <c r="L126"/>
  <c r="K126"/>
  <c r="J126"/>
  <c r="I126"/>
  <c r="H126"/>
  <c r="G126"/>
  <c r="N126" s="1"/>
  <c r="Q126" s="1"/>
  <c r="E126"/>
  <c r="D126"/>
  <c r="C126"/>
  <c r="W125"/>
  <c r="V125"/>
  <c r="M125"/>
  <c r="L125"/>
  <c r="K125"/>
  <c r="J125"/>
  <c r="I125"/>
  <c r="H125"/>
  <c r="G125"/>
  <c r="N125" s="1"/>
  <c r="Q125" s="1"/>
  <c r="E125"/>
  <c r="D125"/>
  <c r="C125"/>
  <c r="W124"/>
  <c r="V124"/>
  <c r="M124"/>
  <c r="L124"/>
  <c r="K124"/>
  <c r="J124"/>
  <c r="I124"/>
  <c r="H124"/>
  <c r="G124"/>
  <c r="N124" s="1"/>
  <c r="Q124" s="1"/>
  <c r="E124"/>
  <c r="D124"/>
  <c r="C124"/>
  <c r="W123"/>
  <c r="V123"/>
  <c r="M123"/>
  <c r="L123"/>
  <c r="K123"/>
  <c r="J123"/>
  <c r="I123"/>
  <c r="H123"/>
  <c r="G123"/>
  <c r="N123" s="1"/>
  <c r="Q123" s="1"/>
  <c r="E123"/>
  <c r="D123"/>
  <c r="C123"/>
  <c r="W122"/>
  <c r="V122"/>
  <c r="M122"/>
  <c r="L122"/>
  <c r="K122"/>
  <c r="J122"/>
  <c r="I122"/>
  <c r="H122"/>
  <c r="G122"/>
  <c r="N122" s="1"/>
  <c r="Q122" s="1"/>
  <c r="E122"/>
  <c r="D122"/>
  <c r="C122"/>
  <c r="W121"/>
  <c r="V121"/>
  <c r="M121"/>
  <c r="L121"/>
  <c r="K121"/>
  <c r="J121"/>
  <c r="I121"/>
  <c r="H121"/>
  <c r="G121"/>
  <c r="N121" s="1"/>
  <c r="Q121" s="1"/>
  <c r="E121"/>
  <c r="D121"/>
  <c r="C121"/>
  <c r="W120"/>
  <c r="V120"/>
  <c r="M120"/>
  <c r="L120"/>
  <c r="K120"/>
  <c r="J120"/>
  <c r="I120"/>
  <c r="H120"/>
  <c r="G120"/>
  <c r="N120" s="1"/>
  <c r="Q120" s="1"/>
  <c r="E120"/>
  <c r="D120"/>
  <c r="C120"/>
  <c r="W119"/>
  <c r="V119"/>
  <c r="M119"/>
  <c r="L119"/>
  <c r="K119"/>
  <c r="J119"/>
  <c r="I119"/>
  <c r="H119"/>
  <c r="G119"/>
  <c r="N119" s="1"/>
  <c r="Q119" s="1"/>
  <c r="E119"/>
  <c r="D119"/>
  <c r="C119"/>
  <c r="W118"/>
  <c r="V118"/>
  <c r="M118"/>
  <c r="L118"/>
  <c r="K118"/>
  <c r="J118"/>
  <c r="I118"/>
  <c r="H118"/>
  <c r="G118"/>
  <c r="N118" s="1"/>
  <c r="Q118" s="1"/>
  <c r="E118"/>
  <c r="D118"/>
  <c r="C118"/>
  <c r="W117"/>
  <c r="V117"/>
  <c r="M117"/>
  <c r="L117"/>
  <c r="K117"/>
  <c r="J117"/>
  <c r="I117"/>
  <c r="H117"/>
  <c r="G117"/>
  <c r="N117" s="1"/>
  <c r="Q117" s="1"/>
  <c r="E117"/>
  <c r="D117"/>
  <c r="C117"/>
  <c r="W116"/>
  <c r="V116"/>
  <c r="M116"/>
  <c r="L116"/>
  <c r="K116"/>
  <c r="J116"/>
  <c r="I116"/>
  <c r="H116"/>
  <c r="G116"/>
  <c r="N116" s="1"/>
  <c r="Q116" s="1"/>
  <c r="E116"/>
  <c r="D116"/>
  <c r="C116"/>
  <c r="W115"/>
  <c r="V115"/>
  <c r="M115"/>
  <c r="L115"/>
  <c r="K115"/>
  <c r="J115"/>
  <c r="I115"/>
  <c r="H115"/>
  <c r="G115"/>
  <c r="N115" s="1"/>
  <c r="Q115" s="1"/>
  <c r="E115"/>
  <c r="D115"/>
  <c r="C115"/>
  <c r="W114"/>
  <c r="V114"/>
  <c r="M114"/>
  <c r="L114"/>
  <c r="K114"/>
  <c r="J114"/>
  <c r="I114"/>
  <c r="H114"/>
  <c r="G114"/>
  <c r="N114" s="1"/>
  <c r="Q114" s="1"/>
  <c r="E114"/>
  <c r="D114"/>
  <c r="C114"/>
  <c r="W113"/>
  <c r="V113"/>
  <c r="M113"/>
  <c r="L113"/>
  <c r="K113"/>
  <c r="J113"/>
  <c r="I113"/>
  <c r="H113"/>
  <c r="G113"/>
  <c r="N113" s="1"/>
  <c r="Q113" s="1"/>
  <c r="E113"/>
  <c r="D113"/>
  <c r="C113"/>
  <c r="W112"/>
  <c r="V112"/>
  <c r="M112"/>
  <c r="L112"/>
  <c r="K112"/>
  <c r="J112"/>
  <c r="I112"/>
  <c r="H112"/>
  <c r="G112"/>
  <c r="N112" s="1"/>
  <c r="Q112" s="1"/>
  <c r="E112"/>
  <c r="D112"/>
  <c r="C112"/>
  <c r="W111"/>
  <c r="V111"/>
  <c r="M111"/>
  <c r="L111"/>
  <c r="K111"/>
  <c r="J111"/>
  <c r="I111"/>
  <c r="H111"/>
  <c r="G111"/>
  <c r="N111" s="1"/>
  <c r="Q111" s="1"/>
  <c r="E111"/>
  <c r="D111"/>
  <c r="C111"/>
  <c r="W110"/>
  <c r="V110"/>
  <c r="M110"/>
  <c r="L110"/>
  <c r="K110"/>
  <c r="J110"/>
  <c r="I110"/>
  <c r="H110"/>
  <c r="G110"/>
  <c r="N110" s="1"/>
  <c r="Q110" s="1"/>
  <c r="E110"/>
  <c r="D110"/>
  <c r="C110"/>
  <c r="W109"/>
  <c r="V109"/>
  <c r="M109"/>
  <c r="L109"/>
  <c r="K109"/>
  <c r="J109"/>
  <c r="I109"/>
  <c r="H109"/>
  <c r="G109"/>
  <c r="N109" s="1"/>
  <c r="Q109" s="1"/>
  <c r="E109"/>
  <c r="D109"/>
  <c r="C109"/>
  <c r="W108"/>
  <c r="V108"/>
  <c r="M108"/>
  <c r="L108"/>
  <c r="K108"/>
  <c r="J108"/>
  <c r="I108"/>
  <c r="H108"/>
  <c r="G108"/>
  <c r="N108" s="1"/>
  <c r="Q108" s="1"/>
  <c r="E108"/>
  <c r="D108"/>
  <c r="C108"/>
  <c r="W107"/>
  <c r="V107"/>
  <c r="M107"/>
  <c r="L107"/>
  <c r="K107"/>
  <c r="J107"/>
  <c r="I107"/>
  <c r="H107"/>
  <c r="G107"/>
  <c r="N107" s="1"/>
  <c r="Q107" s="1"/>
  <c r="E107"/>
  <c r="D107"/>
  <c r="C107"/>
  <c r="W106"/>
  <c r="V106"/>
  <c r="M106"/>
  <c r="L106"/>
  <c r="K106"/>
  <c r="J106"/>
  <c r="I106"/>
  <c r="H106"/>
  <c r="G106"/>
  <c r="N106" s="1"/>
  <c r="Q106" s="1"/>
  <c r="E106"/>
  <c r="D106"/>
  <c r="C106"/>
  <c r="W105"/>
  <c r="V105"/>
  <c r="M105"/>
  <c r="L105"/>
  <c r="K105"/>
  <c r="J105"/>
  <c r="I105"/>
  <c r="H105"/>
  <c r="G105"/>
  <c r="N105" s="1"/>
  <c r="Q105" s="1"/>
  <c r="E105"/>
  <c r="D105"/>
  <c r="C105"/>
  <c r="W104"/>
  <c r="V104"/>
  <c r="M104"/>
  <c r="L104"/>
  <c r="K104"/>
  <c r="J104"/>
  <c r="I104"/>
  <c r="H104"/>
  <c r="G104"/>
  <c r="N104" s="1"/>
  <c r="Q104" s="1"/>
  <c r="E104"/>
  <c r="D104"/>
  <c r="C104"/>
  <c r="W103"/>
  <c r="V103"/>
  <c r="M103"/>
  <c r="L103"/>
  <c r="K103"/>
  <c r="J103"/>
  <c r="I103"/>
  <c r="H103"/>
  <c r="G103"/>
  <c r="N103" s="1"/>
  <c r="Q103" s="1"/>
  <c r="E103"/>
  <c r="D103"/>
  <c r="C103"/>
  <c r="W102"/>
  <c r="V102"/>
  <c r="M102"/>
  <c r="L102"/>
  <c r="K102"/>
  <c r="J102"/>
  <c r="I102"/>
  <c r="H102"/>
  <c r="G102"/>
  <c r="N102" s="1"/>
  <c r="Q102" s="1"/>
  <c r="E102"/>
  <c r="D102"/>
  <c r="C102"/>
  <c r="W101"/>
  <c r="V101"/>
  <c r="M101"/>
  <c r="L101"/>
  <c r="K101"/>
  <c r="J101"/>
  <c r="I101"/>
  <c r="H101"/>
  <c r="G101"/>
  <c r="N101" s="1"/>
  <c r="Q101" s="1"/>
  <c r="E101"/>
  <c r="D101"/>
  <c r="C101"/>
  <c r="W100"/>
  <c r="V100"/>
  <c r="M100"/>
  <c r="L100"/>
  <c r="K100"/>
  <c r="J100"/>
  <c r="I100"/>
  <c r="H100"/>
  <c r="G100"/>
  <c r="N100" s="1"/>
  <c r="Q100" s="1"/>
  <c r="E100"/>
  <c r="D100"/>
  <c r="C100"/>
  <c r="W99"/>
  <c r="V99"/>
  <c r="M99"/>
  <c r="L99"/>
  <c r="K99"/>
  <c r="J99"/>
  <c r="I99"/>
  <c r="H99"/>
  <c r="G99"/>
  <c r="N99" s="1"/>
  <c r="Q99" s="1"/>
  <c r="E99"/>
  <c r="D99"/>
  <c r="C99"/>
  <c r="W98"/>
  <c r="V98"/>
  <c r="M98"/>
  <c r="L98"/>
  <c r="K98"/>
  <c r="J98"/>
  <c r="I98"/>
  <c r="H98"/>
  <c r="G98"/>
  <c r="N98" s="1"/>
  <c r="Q98" s="1"/>
  <c r="E98"/>
  <c r="D98"/>
  <c r="C98"/>
  <c r="W97"/>
  <c r="V97"/>
  <c r="M97"/>
  <c r="L97"/>
  <c r="K97"/>
  <c r="J97"/>
  <c r="I97"/>
  <c r="H97"/>
  <c r="G97"/>
  <c r="N97" s="1"/>
  <c r="Q97" s="1"/>
  <c r="E97"/>
  <c r="D97"/>
  <c r="C97"/>
  <c r="W96"/>
  <c r="V96"/>
  <c r="M96"/>
  <c r="L96"/>
  <c r="K96"/>
  <c r="J96"/>
  <c r="I96"/>
  <c r="H96"/>
  <c r="G96"/>
  <c r="N96" s="1"/>
  <c r="Q96" s="1"/>
  <c r="E96"/>
  <c r="D96"/>
  <c r="C96"/>
  <c r="W95"/>
  <c r="V95"/>
  <c r="M95"/>
  <c r="L95"/>
  <c r="K95"/>
  <c r="J95"/>
  <c r="I95"/>
  <c r="H95"/>
  <c r="G95"/>
  <c r="N95" s="1"/>
  <c r="Q95" s="1"/>
  <c r="E95"/>
  <c r="D95"/>
  <c r="C95"/>
  <c r="W94"/>
  <c r="V94"/>
  <c r="M94"/>
  <c r="L94"/>
  <c r="K94"/>
  <c r="J94"/>
  <c r="I94"/>
  <c r="H94"/>
  <c r="G94"/>
  <c r="N94" s="1"/>
  <c r="Q94" s="1"/>
  <c r="E94"/>
  <c r="D94"/>
  <c r="C94"/>
  <c r="W93"/>
  <c r="V93"/>
  <c r="M93"/>
  <c r="L93"/>
  <c r="K93"/>
  <c r="J93"/>
  <c r="I93"/>
  <c r="H93"/>
  <c r="G93"/>
  <c r="N93" s="1"/>
  <c r="Q93" s="1"/>
  <c r="E93"/>
  <c r="D93"/>
  <c r="C93"/>
  <c r="W92"/>
  <c r="V92"/>
  <c r="M92"/>
  <c r="L92"/>
  <c r="K92"/>
  <c r="J92"/>
  <c r="I92"/>
  <c r="H92"/>
  <c r="G92"/>
  <c r="N92" s="1"/>
  <c r="Q92" s="1"/>
  <c r="E92"/>
  <c r="D92"/>
  <c r="C92"/>
  <c r="W91"/>
  <c r="V91"/>
  <c r="M91"/>
  <c r="L91"/>
  <c r="K91"/>
  <c r="J91"/>
  <c r="I91"/>
  <c r="H91"/>
  <c r="G91"/>
  <c r="N91" s="1"/>
  <c r="Q91" s="1"/>
  <c r="E91"/>
  <c r="D91"/>
  <c r="C91"/>
  <c r="W90"/>
  <c r="V90"/>
  <c r="M90"/>
  <c r="L90"/>
  <c r="K90"/>
  <c r="J90"/>
  <c r="I90"/>
  <c r="H90"/>
  <c r="G90"/>
  <c r="N90" s="1"/>
  <c r="Q90" s="1"/>
  <c r="E90"/>
  <c r="D90"/>
  <c r="C90"/>
  <c r="W89"/>
  <c r="V89"/>
  <c r="M89"/>
  <c r="L89"/>
  <c r="K89"/>
  <c r="J89"/>
  <c r="I89"/>
  <c r="H89"/>
  <c r="G89"/>
  <c r="N89" s="1"/>
  <c r="Q89" s="1"/>
  <c r="E89"/>
  <c r="D89"/>
  <c r="C89"/>
  <c r="W88"/>
  <c r="V88"/>
  <c r="M88"/>
  <c r="L88"/>
  <c r="K88"/>
  <c r="J88"/>
  <c r="I88"/>
  <c r="H88"/>
  <c r="G88"/>
  <c r="N88" s="1"/>
  <c r="Q88" s="1"/>
  <c r="E88"/>
  <c r="D88"/>
  <c r="C88"/>
  <c r="W87"/>
  <c r="V87"/>
  <c r="M87"/>
  <c r="L87"/>
  <c r="K87"/>
  <c r="J87"/>
  <c r="I87"/>
  <c r="H87"/>
  <c r="G87"/>
  <c r="N87" s="1"/>
  <c r="Q87" s="1"/>
  <c r="E87"/>
  <c r="D87"/>
  <c r="C87"/>
  <c r="W86"/>
  <c r="V86"/>
  <c r="M86"/>
  <c r="L86"/>
  <c r="K86"/>
  <c r="J86"/>
  <c r="I86"/>
  <c r="H86"/>
  <c r="G86"/>
  <c r="N86" s="1"/>
  <c r="Q86" s="1"/>
  <c r="E86"/>
  <c r="D86"/>
  <c r="C86"/>
  <c r="W85"/>
  <c r="V85"/>
  <c r="M85"/>
  <c r="L85"/>
  <c r="K85"/>
  <c r="J85"/>
  <c r="I85"/>
  <c r="G85"/>
  <c r="N85" s="1"/>
  <c r="Q85" s="1"/>
  <c r="E85"/>
  <c r="D85"/>
  <c r="C85"/>
  <c r="W84"/>
  <c r="V84"/>
  <c r="M84"/>
  <c r="L84"/>
  <c r="K84"/>
  <c r="J84"/>
  <c r="I84"/>
  <c r="G84"/>
  <c r="N84" s="1"/>
  <c r="Q84" s="1"/>
  <c r="E84"/>
  <c r="D84"/>
  <c r="C84"/>
  <c r="W83"/>
  <c r="V83"/>
  <c r="M83"/>
  <c r="L83"/>
  <c r="K83"/>
  <c r="J83"/>
  <c r="I83"/>
  <c r="G83"/>
  <c r="N83" s="1"/>
  <c r="Q83" s="1"/>
  <c r="E83"/>
  <c r="D83"/>
  <c r="C83"/>
  <c r="W82"/>
  <c r="V82"/>
  <c r="M82"/>
  <c r="L82"/>
  <c r="K82"/>
  <c r="J82"/>
  <c r="I82"/>
  <c r="G82"/>
  <c r="N82" s="1"/>
  <c r="E82"/>
  <c r="D82"/>
  <c r="C82"/>
  <c r="W81"/>
  <c r="V81"/>
  <c r="M81"/>
  <c r="L81"/>
  <c r="K81"/>
  <c r="J81"/>
  <c r="I81"/>
  <c r="G81"/>
  <c r="N81" s="1"/>
  <c r="E81"/>
  <c r="D81"/>
  <c r="C81"/>
  <c r="W80"/>
  <c r="V80"/>
  <c r="M80"/>
  <c r="L80"/>
  <c r="K80"/>
  <c r="J80"/>
  <c r="I80"/>
  <c r="G80"/>
  <c r="N80" s="1"/>
  <c r="Q80" s="1"/>
  <c r="E80"/>
  <c r="D80"/>
  <c r="C80"/>
  <c r="Z78"/>
  <c r="Y78"/>
  <c r="X78"/>
  <c r="Q78"/>
  <c r="Q77"/>
  <c r="Q76"/>
  <c r="W75"/>
  <c r="V75"/>
  <c r="M75"/>
  <c r="L75"/>
  <c r="K75"/>
  <c r="J75"/>
  <c r="I75"/>
  <c r="G75"/>
  <c r="N75" s="1"/>
  <c r="Q75" s="1"/>
  <c r="E75"/>
  <c r="D75"/>
  <c r="C75"/>
  <c r="W74"/>
  <c r="V74"/>
  <c r="M74"/>
  <c r="L74"/>
  <c r="K74"/>
  <c r="J74"/>
  <c r="I74"/>
  <c r="G74"/>
  <c r="N74" s="1"/>
  <c r="Q74" s="1"/>
  <c r="E74"/>
  <c r="D74"/>
  <c r="C74"/>
  <c r="W73"/>
  <c r="V73"/>
  <c r="M73"/>
  <c r="L73"/>
  <c r="K73"/>
  <c r="J73"/>
  <c r="I73"/>
  <c r="G73"/>
  <c r="N73" s="1"/>
  <c r="Q73" s="1"/>
  <c r="E73"/>
  <c r="D73"/>
  <c r="C73"/>
  <c r="W72"/>
  <c r="V72"/>
  <c r="M72"/>
  <c r="L72"/>
  <c r="K72"/>
  <c r="J72"/>
  <c r="I72"/>
  <c r="G72"/>
  <c r="N72" s="1"/>
  <c r="Q72" s="1"/>
  <c r="E72"/>
  <c r="D72"/>
  <c r="C72"/>
  <c r="W71"/>
  <c r="V71"/>
  <c r="M71"/>
  <c r="L71"/>
  <c r="K71"/>
  <c r="J71"/>
  <c r="I71"/>
  <c r="G71"/>
  <c r="N71" s="1"/>
  <c r="Q71" s="1"/>
  <c r="E71"/>
  <c r="D71"/>
  <c r="C71"/>
  <c r="W70"/>
  <c r="V70"/>
  <c r="M70"/>
  <c r="L70"/>
  <c r="K70"/>
  <c r="J70"/>
  <c r="I70"/>
  <c r="G70"/>
  <c r="N70" s="1"/>
  <c r="Q70" s="1"/>
  <c r="E70"/>
  <c r="D70"/>
  <c r="C70"/>
  <c r="W69"/>
  <c r="V69"/>
  <c r="M69"/>
  <c r="L69"/>
  <c r="K69"/>
  <c r="J69"/>
  <c r="I69"/>
  <c r="H69"/>
  <c r="G69"/>
  <c r="N69" s="1"/>
  <c r="Q69" s="1"/>
  <c r="E69"/>
  <c r="D69"/>
  <c r="C69"/>
  <c r="W68"/>
  <c r="V68"/>
  <c r="M68"/>
  <c r="L68"/>
  <c r="K68"/>
  <c r="J68"/>
  <c r="I68"/>
  <c r="H68"/>
  <c r="G68"/>
  <c r="N68" s="1"/>
  <c r="Q68" s="1"/>
  <c r="E68"/>
  <c r="D68"/>
  <c r="C68"/>
  <c r="W67"/>
  <c r="V67"/>
  <c r="M67"/>
  <c r="L67"/>
  <c r="K67"/>
  <c r="J67"/>
  <c r="I67"/>
  <c r="H67"/>
  <c r="G67"/>
  <c r="N67" s="1"/>
  <c r="Q67" s="1"/>
  <c r="E67"/>
  <c r="D67"/>
  <c r="C67"/>
  <c r="W66"/>
  <c r="V66"/>
  <c r="M66"/>
  <c r="L66"/>
  <c r="K66"/>
  <c r="J66"/>
  <c r="I66"/>
  <c r="G66"/>
  <c r="N66" s="1"/>
  <c r="Q66" s="1"/>
  <c r="E66"/>
  <c r="D66"/>
  <c r="C66"/>
  <c r="W65"/>
  <c r="V65"/>
  <c r="M65"/>
  <c r="L65"/>
  <c r="K65"/>
  <c r="J65"/>
  <c r="I65"/>
  <c r="G65"/>
  <c r="N65" s="1"/>
  <c r="Q65" s="1"/>
  <c r="E65"/>
  <c r="D65"/>
  <c r="C65"/>
  <c r="W64"/>
  <c r="V64"/>
  <c r="M64"/>
  <c r="L64"/>
  <c r="K64"/>
  <c r="J64"/>
  <c r="I64"/>
  <c r="H64"/>
  <c r="G64"/>
  <c r="N64" s="1"/>
  <c r="Q64" s="1"/>
  <c r="E64"/>
  <c r="D64"/>
  <c r="C64"/>
  <c r="W63"/>
  <c r="V63"/>
  <c r="M63"/>
  <c r="L63"/>
  <c r="K63"/>
  <c r="J63"/>
  <c r="I63"/>
  <c r="H63"/>
  <c r="G63"/>
  <c r="N63" s="1"/>
  <c r="Q63" s="1"/>
  <c r="E63"/>
  <c r="D63"/>
  <c r="C63"/>
  <c r="W62"/>
  <c r="V62"/>
  <c r="M62"/>
  <c r="L62"/>
  <c r="K62"/>
  <c r="J62"/>
  <c r="I62"/>
  <c r="H62"/>
  <c r="G62"/>
  <c r="N62" s="1"/>
  <c r="Q62" s="1"/>
  <c r="E62"/>
  <c r="D62"/>
  <c r="C62"/>
  <c r="W61"/>
  <c r="V61"/>
  <c r="M61"/>
  <c r="L61"/>
  <c r="K61"/>
  <c r="J61"/>
  <c r="I61"/>
  <c r="H61"/>
  <c r="G61"/>
  <c r="N61" s="1"/>
  <c r="Q61" s="1"/>
  <c r="E61"/>
  <c r="D61"/>
  <c r="C61"/>
  <c r="W60"/>
  <c r="V60"/>
  <c r="M60"/>
  <c r="L60"/>
  <c r="K60"/>
  <c r="J60"/>
  <c r="I60"/>
  <c r="H60"/>
  <c r="G60"/>
  <c r="N60" s="1"/>
  <c r="Q60" s="1"/>
  <c r="E60"/>
  <c r="D60"/>
  <c r="C60"/>
  <c r="W59"/>
  <c r="V59"/>
  <c r="M59"/>
  <c r="L59"/>
  <c r="K59"/>
  <c r="J59"/>
  <c r="I59"/>
  <c r="H59"/>
  <c r="G59"/>
  <c r="N59" s="1"/>
  <c r="Q59" s="1"/>
  <c r="E59"/>
  <c r="D59"/>
  <c r="C59"/>
  <c r="W58"/>
  <c r="V58"/>
  <c r="M58"/>
  <c r="L58"/>
  <c r="K58"/>
  <c r="J58"/>
  <c r="I58"/>
  <c r="H58"/>
  <c r="G58"/>
  <c r="N58" s="1"/>
  <c r="Q58" s="1"/>
  <c r="E58"/>
  <c r="D58"/>
  <c r="C58"/>
  <c r="W57"/>
  <c r="V57"/>
  <c r="M57"/>
  <c r="L57"/>
  <c r="K57"/>
  <c r="J57"/>
  <c r="I57"/>
  <c r="H57"/>
  <c r="G57"/>
  <c r="N57" s="1"/>
  <c r="Q57" s="1"/>
  <c r="E57"/>
  <c r="D57"/>
  <c r="C57"/>
  <c r="W56"/>
  <c r="V56"/>
  <c r="M56"/>
  <c r="L56"/>
  <c r="K56"/>
  <c r="J56"/>
  <c r="I56"/>
  <c r="H56"/>
  <c r="G56"/>
  <c r="N56" s="1"/>
  <c r="Q56" s="1"/>
  <c r="E56"/>
  <c r="D56"/>
  <c r="C56"/>
  <c r="W55"/>
  <c r="V55"/>
  <c r="M55"/>
  <c r="L55"/>
  <c r="K55"/>
  <c r="J55"/>
  <c r="I55"/>
  <c r="H55"/>
  <c r="G55"/>
  <c r="N55" s="1"/>
  <c r="Q55" s="1"/>
  <c r="E55"/>
  <c r="D55"/>
  <c r="C55"/>
  <c r="W54"/>
  <c r="V54"/>
  <c r="M54"/>
  <c r="L54"/>
  <c r="K54"/>
  <c r="J54"/>
  <c r="I54"/>
  <c r="H54"/>
  <c r="G54"/>
  <c r="N54" s="1"/>
  <c r="Q54" s="1"/>
  <c r="E54"/>
  <c r="D54"/>
  <c r="C54"/>
  <c r="W53"/>
  <c r="V53"/>
  <c r="M53"/>
  <c r="L53"/>
  <c r="K53"/>
  <c r="J53"/>
  <c r="I53"/>
  <c r="H53"/>
  <c r="G53"/>
  <c r="N53" s="1"/>
  <c r="Q53" s="1"/>
  <c r="E53"/>
  <c r="D53"/>
  <c r="C53"/>
  <c r="Q52"/>
  <c r="H52"/>
  <c r="G52"/>
  <c r="E52"/>
  <c r="Q51"/>
  <c r="H51"/>
  <c r="G51"/>
  <c r="E51"/>
  <c r="Q50"/>
  <c r="H50"/>
  <c r="G50"/>
  <c r="E50"/>
  <c r="Q49"/>
  <c r="H49"/>
  <c r="G49"/>
  <c r="E49"/>
  <c r="Q48"/>
  <c r="H48"/>
  <c r="G48"/>
  <c r="E48"/>
  <c r="Q47"/>
  <c r="H47"/>
  <c r="G47"/>
  <c r="E47"/>
  <c r="M46"/>
  <c r="L46"/>
  <c r="K46"/>
  <c r="J46"/>
  <c r="I46"/>
  <c r="M45"/>
  <c r="L45"/>
  <c r="K45"/>
  <c r="J45"/>
  <c r="I45"/>
  <c r="Q44"/>
  <c r="Q43"/>
  <c r="Q42"/>
  <c r="Q41"/>
  <c r="Q40"/>
  <c r="Q39"/>
  <c r="Q38"/>
  <c r="Q37"/>
  <c r="Q36"/>
  <c r="Q35"/>
  <c r="N34"/>
  <c r="Q34" s="1"/>
  <c r="N33"/>
  <c r="Q33" s="1"/>
  <c r="Q32"/>
  <c r="N31"/>
  <c r="Q31" s="1"/>
  <c r="N30"/>
  <c r="Q30" s="1"/>
  <c r="N29"/>
  <c r="Q29" s="1"/>
  <c r="N28"/>
  <c r="Q28" s="1"/>
  <c r="N27"/>
  <c r="Q27" s="1"/>
  <c r="N26"/>
  <c r="Q26" s="1"/>
  <c r="N25"/>
  <c r="Q25" s="1"/>
  <c r="N24"/>
  <c r="Q24" s="1"/>
  <c r="N23"/>
  <c r="N22"/>
  <c r="N21"/>
  <c r="Q21" s="1"/>
  <c r="N20"/>
  <c r="Q20" s="1"/>
  <c r="N19"/>
  <c r="N18"/>
  <c r="N17"/>
  <c r="N16"/>
  <c r="N15"/>
  <c r="N14"/>
  <c r="N13"/>
  <c r="N12"/>
  <c r="Q12" s="1"/>
  <c r="N11"/>
  <c r="Q11" s="1"/>
  <c r="N10"/>
  <c r="Q10" s="1"/>
  <c r="N9"/>
  <c r="Q9" s="1"/>
  <c r="N8"/>
  <c r="Q8" s="1"/>
  <c r="N7"/>
  <c r="Q7" s="1"/>
  <c r="N6"/>
  <c r="Q6" s="1"/>
  <c r="N289"/>
  <c r="Q289" s="1"/>
  <c r="N288"/>
  <c r="Q288" s="1"/>
  <c r="N287"/>
  <c r="Q287" s="1"/>
  <c r="N286"/>
  <c r="Q286" s="1"/>
  <c r="N285"/>
  <c r="Q285" s="1"/>
  <c r="Q284"/>
  <c r="Q283"/>
  <c r="Q282"/>
  <c r="Q281"/>
  <c r="Q280"/>
  <c r="Q279"/>
</calcChain>
</file>

<file path=xl/sharedStrings.xml><?xml version="1.0" encoding="utf-8"?>
<sst xmlns="http://schemas.openxmlformats.org/spreadsheetml/2006/main" count="4012" uniqueCount="987">
  <si>
    <t>AYUNTAMIENTO DE ZAPOPAN, JALISCO</t>
  </si>
  <si>
    <t>VI. La información sobre la gestión pública</t>
  </si>
  <si>
    <t>Ejercicio</t>
  </si>
  <si>
    <t>Tipo de procedimiento por medio del cual se contrato la obra</t>
  </si>
  <si>
    <t>Número del contrato</t>
  </si>
  <si>
    <t>Fecha del contrato</t>
  </si>
  <si>
    <t xml:space="preserve">Descripción de la obra </t>
  </si>
  <si>
    <t>Origen del Recursos:  (Federal, Estatal, Municipal, Privado, Ramo 33)</t>
  </si>
  <si>
    <t>Inversión</t>
  </si>
  <si>
    <t xml:space="preserve">Lugar o ubicación de la obra pública  </t>
  </si>
  <si>
    <t xml:space="preserve">Ejecutor de la obra 
(en caso de que los datos correspondan a una persona moral incluyan en las columnas de nombre el dato del representante legal de la empresa). </t>
  </si>
  <si>
    <t>Costo Incial de la obra</t>
  </si>
  <si>
    <t>Costo Final de la obra</t>
  </si>
  <si>
    <t>Superficie Construida en Mt2</t>
  </si>
  <si>
    <t>Costo por Mt2 o lineal</t>
  </si>
  <si>
    <t>Tipo de Beneficiarios de la obra</t>
  </si>
  <si>
    <t>Número de beneficiario</t>
  </si>
  <si>
    <t xml:space="preserve">Relación de la obra con los intrumentos de planeación del desarrollo </t>
  </si>
  <si>
    <t>Estado de las obras públicas: en proceso; en proceso con retraso; en proceso con tiempo vencido; concluida</t>
  </si>
  <si>
    <t>Plazo de entrega o de ejecución</t>
  </si>
  <si>
    <t>Supervisor de la obra o perito responsable</t>
  </si>
  <si>
    <t>Hipervínculo al documento del contrato</t>
  </si>
  <si>
    <t>Hipervínculo al convenio modificatorio</t>
  </si>
  <si>
    <t>Nombre(s)</t>
  </si>
  <si>
    <t>Apellido paterno</t>
  </si>
  <si>
    <t>Apellido materno</t>
  </si>
  <si>
    <t>Razón social del ganador</t>
  </si>
  <si>
    <t>RFC</t>
  </si>
  <si>
    <t>Fecha de inicio (formato día/mes/año)</t>
  </si>
  <si>
    <t>Fecha de término (formato día/mes/año)</t>
  </si>
  <si>
    <t>Licitación Pública</t>
  </si>
  <si>
    <t>DOPI-MUN-R33-AP-LP-230-2015</t>
  </si>
  <si>
    <t>Perforación y Equipamiento de Pozo Profundo en la colonia Nextipac Zona RS, municipio de Zapopan, Jalisco.</t>
  </si>
  <si>
    <t>Ramo 33 (FAISM 2015)</t>
  </si>
  <si>
    <t>Colonia Nextipac zona RS</t>
  </si>
  <si>
    <t>Antonio</t>
  </si>
  <si>
    <t>Corcuera</t>
  </si>
  <si>
    <t>Garza</t>
  </si>
  <si>
    <t>Alcor de Occidente S.A. de C.V. ZAP-0093</t>
  </si>
  <si>
    <t>AOC830810TG9</t>
  </si>
  <si>
    <t>-</t>
  </si>
  <si>
    <t>180 ML</t>
  </si>
  <si>
    <t>Directos</t>
  </si>
  <si>
    <t>La presente obra se encuentra en apego a los planes parciales de planeacion y desarrollo</t>
  </si>
  <si>
    <t>Concluida</t>
  </si>
  <si>
    <t>Victor Manuel</t>
  </si>
  <si>
    <t xml:space="preserve">Lomelí </t>
  </si>
  <si>
    <t>Leos</t>
  </si>
  <si>
    <t>DOPI-MUN-R33-AP-LP-231-2015</t>
  </si>
  <si>
    <t>Equipamiento y tanques de almacenamiento de agua en el pozo profundo San Rafael, ubicado en camino a la Azucena y calle San Rafael, en la colonia San Rafael, municipio de Zapopan, Jalisco.</t>
  </si>
  <si>
    <t>Colonia San Rafael zona RN</t>
  </si>
  <si>
    <t>1 PIEZA</t>
  </si>
  <si>
    <t>DOPI-MUN-R33-IE-LP-232-2015</t>
  </si>
  <si>
    <t>Construcción de barda perimetral en la escuela secundaria mixta 61 Francisco de Jesús Ayón Zester, ubicada en Av. Del Vergel s/n, en la colonia Nuevo Vergel 1ra. Sección, municipio de Zapopan, Jalisco.</t>
  </si>
  <si>
    <t>Colonia Nuevo Vergel zona 2A</t>
  </si>
  <si>
    <t>José Omar</t>
  </si>
  <si>
    <t>Fernández</t>
  </si>
  <si>
    <t>Vázquez</t>
  </si>
  <si>
    <t>Extra Construcciones S.A. de C.V.  ZAP-1184</t>
  </si>
  <si>
    <t>ECO0908115Z7</t>
  </si>
  <si>
    <t>1410 M2</t>
  </si>
  <si>
    <t>Gerardo</t>
  </si>
  <si>
    <t>Arceo</t>
  </si>
  <si>
    <t>Arizaga</t>
  </si>
  <si>
    <t>Adjudicación Directa</t>
  </si>
  <si>
    <t>DOPI-MUN-IN-AD-236-2015</t>
  </si>
  <si>
    <t>Construcción de puente peatonal, guarniciones y banquetas en la colonia Villa de Guadalupe, Municipio de Zapopan, Jalisco.</t>
  </si>
  <si>
    <t>Municipal</t>
  </si>
  <si>
    <t>Colonia Villa de Guadalupe zona 2B</t>
  </si>
  <si>
    <t xml:space="preserve">Carlos Humberto </t>
  </si>
  <si>
    <t>Barragán</t>
  </si>
  <si>
    <t>Fonseca</t>
  </si>
  <si>
    <t>Grupo Constructor Inmobiliario Gucar, S.A. de C.V. ZAP-1377</t>
  </si>
  <si>
    <t>GCI9305175H8</t>
  </si>
  <si>
    <t>31 ML</t>
  </si>
  <si>
    <t>Jacob</t>
  </si>
  <si>
    <t>Tejeda</t>
  </si>
  <si>
    <t>Álvarez</t>
  </si>
  <si>
    <t>DOPI-MUN-IN-AD-237-2015</t>
  </si>
  <si>
    <t>Adecuación de la Academia de Polícia, primera etapa, Municipio de Zapopan, Jalisco.</t>
  </si>
  <si>
    <t>Colonia Parques de Tesistán zona RS</t>
  </si>
  <si>
    <t>Luis Reynaldo</t>
  </si>
  <si>
    <t>Galván</t>
  </si>
  <si>
    <t>Bermejo</t>
  </si>
  <si>
    <t>Galjak Arquitectos y Construcciones, S.A. de C.V. ZAP-0588</t>
  </si>
  <si>
    <t>GAC051206TQ3</t>
  </si>
  <si>
    <t>1815 M2</t>
  </si>
  <si>
    <t>Alhelí</t>
  </si>
  <si>
    <t>Rubio</t>
  </si>
  <si>
    <t>Villa</t>
  </si>
  <si>
    <t>DOPI-MUN-AD-238-2015</t>
  </si>
  <si>
    <t>Construcción de línea de drenaje sanitario y descargas domiciliarias en la calle Comitl de la calle Ozomatli a calle Michi, Municipio de Zapopan Jalisco.</t>
  </si>
  <si>
    <t>Colonia Mesa Colorada Poniente zona 2B</t>
  </si>
  <si>
    <t>José de Jesús</t>
  </si>
  <si>
    <t>Castillo</t>
  </si>
  <si>
    <t>Carrillo</t>
  </si>
  <si>
    <t>Mapa Obras y Pavimentos, S.A. de C.V. ZAP-0926</t>
  </si>
  <si>
    <t>MOP080610I53</t>
  </si>
  <si>
    <t>53 ML</t>
  </si>
  <si>
    <t>Jorge Adriel</t>
  </si>
  <si>
    <t>Guzmán</t>
  </si>
  <si>
    <t>Cervantes</t>
  </si>
  <si>
    <t>DOPI-MUN-RM-APDS-AD-239-2015</t>
  </si>
  <si>
    <t>Construcción de línea de drenaje sanitario y de línea de agua potable en la calle Lic. Eliseo Orozco Gutiérrez en el tramo de la calle Prof. Idolina Gaona de Cossio a Av. Juan Gil Preciado, en la colonia Jardines de Nuevo México, municipio de Zapopan, Jalisco</t>
  </si>
  <si>
    <t>Colonia Jardines de Nuevo México</t>
  </si>
  <si>
    <t>Francisco Javier</t>
  </si>
  <si>
    <t>Santiago</t>
  </si>
  <si>
    <t>Castro</t>
  </si>
  <si>
    <t>Uru Constructora, S.A. de C.V. ZAP-1957</t>
  </si>
  <si>
    <t>UCO120322GL0</t>
  </si>
  <si>
    <t>315 ML</t>
  </si>
  <si>
    <t>Roberto Carlos</t>
  </si>
  <si>
    <t>Martínez</t>
  </si>
  <si>
    <t>De la Torre</t>
  </si>
  <si>
    <t>DOPI-MUN-RM-APDS-AD-240-2015</t>
  </si>
  <si>
    <t>Construcción de línea de drenaje sanitario y de línea de agua potable en la calle Lic. Eliseo Orozco Gutiérrez en el tramo de la calle Emiliano Zapata a calle Prof. Idolina Gaona de Cossio, en la colonia Jardines de Nuevo México, municipio de Zapopan, Jalisco</t>
  </si>
  <si>
    <t>Miguel Ángel</t>
  </si>
  <si>
    <t>González</t>
  </si>
  <si>
    <t>Dávila</t>
  </si>
  <si>
    <t>Construcciones Levisa, S.A. de C.V. ZAP-1829</t>
  </si>
  <si>
    <t>CLE131023270</t>
  </si>
  <si>
    <t>360 ML</t>
  </si>
  <si>
    <t>DOPI-MUN-RM-BAN-AD-241-2015</t>
  </si>
  <si>
    <t>Construcción de banquetas, aproches de vialidades y preparación para alumbrado público, en la calle Vista Campestre, en la colonia Vista Hermosa, municipio de Zapopan, Jalisco</t>
  </si>
  <si>
    <t>Colonia Vista Hermosa</t>
  </si>
  <si>
    <t>Edwin</t>
  </si>
  <si>
    <t>Aguiar</t>
  </si>
  <si>
    <t>Escantel</t>
  </si>
  <si>
    <t>Manjarrez Urbanizaciones, S.A. de C.V.  ZAP-1141</t>
  </si>
  <si>
    <t>MUR090325P33</t>
  </si>
  <si>
    <t>120 M2</t>
  </si>
  <si>
    <t>Carlos Gerardo</t>
  </si>
  <si>
    <t>Peña</t>
  </si>
  <si>
    <t>Ortega</t>
  </si>
  <si>
    <t>DOPI-MUN-RM-DS-AD-242-2015</t>
  </si>
  <si>
    <t>Construcción de línea de drenaje sanitario de 10", en las calles Santa Martha y Santo Santiago, en la colonia Lomas de Tabachines, municipio de Zapopan, Jalisco</t>
  </si>
  <si>
    <t>Colonia Lomas de Tabachines</t>
  </si>
  <si>
    <t>Mario</t>
  </si>
  <si>
    <t>Beltrán</t>
  </si>
  <si>
    <t>Rodríguez</t>
  </si>
  <si>
    <t>Constructora y Desarrolladora Barba y Asociados, S. A. de C. V.  ZAP-1587</t>
  </si>
  <si>
    <t>CDB0506068Z4</t>
  </si>
  <si>
    <t>440 ML</t>
  </si>
  <si>
    <t>José Pablo</t>
  </si>
  <si>
    <t>Villaseñor</t>
  </si>
  <si>
    <t>Padilla</t>
  </si>
  <si>
    <t>DOPI-MUN-RM-DS-AD-243-2015</t>
  </si>
  <si>
    <t>Construcción de línea de drenaje sanitario de 10", en la calle Gigante entre la calle Tabachines y El Arroyo, colonia Vicente Guerrero, municipio de Zapopan, Jalisco</t>
  </si>
  <si>
    <t>Colonia Vicente Guerrero</t>
  </si>
  <si>
    <t>Romero</t>
  </si>
  <si>
    <t>Lugo</t>
  </si>
  <si>
    <t>Obras y Comercialización de la Construcción, S.A. de C.V.  ZAP-0113</t>
  </si>
  <si>
    <t>OCC940714PB0</t>
  </si>
  <si>
    <t>43 ML</t>
  </si>
  <si>
    <t>Estrada</t>
  </si>
  <si>
    <t>Gloria</t>
  </si>
  <si>
    <t>DOPI-MUN-RP-PAV-AD-001-2016</t>
  </si>
  <si>
    <t>Reencarpetamiento de los carriles norte de la Avenida Acueducto del límite municipal a la Avenida Patria, incluye desbastado de la carpeta existente, Municipio de Zapopan, Jalisco</t>
  </si>
  <si>
    <t>Colonia Lomas del Bosque</t>
  </si>
  <si>
    <t>Guillermo</t>
  </si>
  <si>
    <t>Lara</t>
  </si>
  <si>
    <t>Vargas</t>
  </si>
  <si>
    <t>Desarrolladora Glar. S.A. de C.V. ZAP-0604</t>
  </si>
  <si>
    <t>DGL060620SUA</t>
  </si>
  <si>
    <t>1960 M2</t>
  </si>
  <si>
    <t>Fernando</t>
  </si>
  <si>
    <t>Chávez</t>
  </si>
  <si>
    <t>Pinto</t>
  </si>
  <si>
    <t>DOPI-MUN-RP-EP-AD-002-2016</t>
  </si>
  <si>
    <t>Demoliciones, preliminares, rellenos, plazoletas, rampas, protección de puentes, jardinería, en espacio público recuperado ubicado en Periferico Norte, entre la preparatoria No. 10 y el CUCEA, Municipio de Zapopan, Jalisco.</t>
  </si>
  <si>
    <t>Colonia San José del Bajío</t>
  </si>
  <si>
    <t>Héctor Guillermo</t>
  </si>
  <si>
    <t>Gómez</t>
  </si>
  <si>
    <t>ARH Desarrollos Inmobiliarios, S.A. de C.V. ZAP-1740</t>
  </si>
  <si>
    <t>ADI130522MB7</t>
  </si>
  <si>
    <t>6,297 M2</t>
  </si>
  <si>
    <t>DOPI-MUN-RP-EP-AD-003-2016</t>
  </si>
  <si>
    <t>Mobiliario urbano, instalaciones eléctricas, alumbrado, defensa metálica, topes, aproches, bolardos, señalética, en espacio público recuperado ubicado en Periferico Norte, entre la preparatoria No. 10 y el CUCEA, Municipio de Zapopan, Jalisco.</t>
  </si>
  <si>
    <t>Salvador</t>
  </si>
  <si>
    <t>Construcciones y Edificaciones Bato, S.A. de C.V.  ZAP-0066</t>
  </si>
  <si>
    <t>CEB961031DJ1</t>
  </si>
  <si>
    <t>6,297 M3</t>
  </si>
  <si>
    <t>DOPI-MUN-R33FORTA-CONT-AD-004-2016</t>
  </si>
  <si>
    <t>Reparación de muro de contención en el arroyo seco en el tramo de López Mateos a calle Corresponsales en la colonia Periodistas; Protección de canal pluvial a base de parapetos y estructura metálica en la calle Industria Textil esquina con calle Tarragona, en la colonia Altagracia; Reposición de losas de vialidad con concreto MR-42, construcción de banquetas, guarniciones y reparación de muro de mampostería, en la colonia Jardines del Centinela, municipio de Zapopan, Jalisco</t>
  </si>
  <si>
    <t>Ramo 33 (Fortamun)</t>
  </si>
  <si>
    <t>Colonia Jardines del Centinela</t>
  </si>
  <si>
    <t>Bernardo</t>
  </si>
  <si>
    <t>Saenz</t>
  </si>
  <si>
    <t>Barba</t>
  </si>
  <si>
    <t>Grupo Edificador Mayab, S.A. de C.V. PCZ-032/2016</t>
  </si>
  <si>
    <t>GEM070112PX8</t>
  </si>
  <si>
    <t>781 M2</t>
  </si>
  <si>
    <t>DOPI-MUN-RP-IS-AD-005-2016</t>
  </si>
  <si>
    <t>Rehabilitación de quirofanos, baños en el área de encamados, baños de recepción e impermeabilizaciones en azotea en la Cruz Verde Sur las Águilas, ubicada en Av. López Mateos y calle Cruz del Sur, en la colonia Las Águilas, municipio de Zapopan, Jalisco</t>
  </si>
  <si>
    <t>Colonia Las Aguilas</t>
  </si>
  <si>
    <t>Maria Teresa</t>
  </si>
  <si>
    <t>Sánchez</t>
  </si>
  <si>
    <t>Cabrera</t>
  </si>
  <si>
    <t>Soluciones Integrales en Pavimentos de Guadalajara, S. A. de C. V. PCZ-012/2016</t>
  </si>
  <si>
    <t>SIP070803JZ8</t>
  </si>
  <si>
    <t>850 M2</t>
  </si>
  <si>
    <t>DOPI-MUN-RP-IM-AD-006-2016</t>
  </si>
  <si>
    <t>Reparación de bóvedas, reforzamiento de columnas de concreto, impermeabilización de azoteas, pintura interior en las instalaciones del DIF Nextipac, ubicado en la calle Venustiano Carranza esquina con calle Leona Vicario, en la localidad de Nextipac, municipio de Zapopan, Jalisco</t>
  </si>
  <si>
    <t>Localidad de Nextipac</t>
  </si>
  <si>
    <t xml:space="preserve">Leobardo </t>
  </si>
  <si>
    <t>Preciado</t>
  </si>
  <si>
    <t>Zepeda</t>
  </si>
  <si>
    <t>Consorcio Constructor Adobes, S. A. de C. V. PCZ-004/2016</t>
  </si>
  <si>
    <t>CCA971126QC9</t>
  </si>
  <si>
    <t>1,007.23 M2</t>
  </si>
  <si>
    <t>Juan José</t>
  </si>
  <si>
    <t>Quirarte</t>
  </si>
  <si>
    <t>Olmos</t>
  </si>
  <si>
    <t>DOPI-MUN- R33FORTA-REST-AD-007-2016</t>
  </si>
  <si>
    <t>Restauración y reforzamiento de balcón principal y construcción de rampa de ingreso para personas con discapacidad en la presidencia municipal, municipio de Zapopan, Jalisco</t>
  </si>
  <si>
    <t>Colonia Centro</t>
  </si>
  <si>
    <t>Adriana Isabel</t>
  </si>
  <si>
    <t>Montañez</t>
  </si>
  <si>
    <t>Zamora</t>
  </si>
  <si>
    <t>Grupo Constructor TZOE, S. A. de C. V. PCZ-008/2016</t>
  </si>
  <si>
    <t>GCT12060233A</t>
  </si>
  <si>
    <t>12 M2</t>
  </si>
  <si>
    <t>Indirectos</t>
  </si>
  <si>
    <t>DOPI-MUN- R33FORTA-PROY-AD-008-2016</t>
  </si>
  <si>
    <t>Diagnóstico, diseño y proyectos estructurales de diferentes elementos del programa 2016 primera etapa, municipio de Zapopan, Jalisco.</t>
  </si>
  <si>
    <t>Diversas colonias</t>
  </si>
  <si>
    <t>Ricardo</t>
  </si>
  <si>
    <t>Haro</t>
  </si>
  <si>
    <t>Bugarín</t>
  </si>
  <si>
    <t>Central Edificaciones, S. A. de C. V. PCZ-020/2016</t>
  </si>
  <si>
    <t>CED030514T47</t>
  </si>
  <si>
    <t>N/A</t>
  </si>
  <si>
    <t>No aplica</t>
  </si>
  <si>
    <t xml:space="preserve">Martín </t>
  </si>
  <si>
    <t>Laguna</t>
  </si>
  <si>
    <t>Salazar</t>
  </si>
  <si>
    <t>DOPI-MUN- R33FORTA-PROY-AD-009-2016</t>
  </si>
  <si>
    <t>Diagnóstico, diseño y proyectos hidráulicos 2016, primera etapa, de diferentes redes de agua potable y alcantarillado, municipio de Zapopan Jalisco.</t>
  </si>
  <si>
    <t>Javier</t>
  </si>
  <si>
    <t>Ávila</t>
  </si>
  <si>
    <t>Flores</t>
  </si>
  <si>
    <t>Savho Consultoría y Construcción, S. A. de C. V. PCZ-025/2016</t>
  </si>
  <si>
    <t>SCC060622HZ3</t>
  </si>
  <si>
    <t>Pablo</t>
  </si>
  <si>
    <t>Gutiérrez</t>
  </si>
  <si>
    <t>Hernández</t>
  </si>
  <si>
    <t>DOPI-MUN- R33FORTA-PROY-AD-010-2016</t>
  </si>
  <si>
    <t>Diagnóstico, diseño y proyectos de infraestructura eléctrica 2016, primera etapa, municipio de Zapopan, Jalisco.</t>
  </si>
  <si>
    <t>Héctor Alejandro</t>
  </si>
  <si>
    <t>Rosales</t>
  </si>
  <si>
    <t>IME Servicios y Suministros, S. A. de C. V. PCZ-007/2016</t>
  </si>
  <si>
    <t>ISS920330811</t>
  </si>
  <si>
    <t>Marco Antonio</t>
  </si>
  <si>
    <t>Lozano</t>
  </si>
  <si>
    <t>Pérez</t>
  </si>
  <si>
    <t>DOPI-MUN- R33FORTA-PROY-AD-011-2016</t>
  </si>
  <si>
    <t>Control de calidad de diferentes obras 2016 del municipio de Zapopan, Jalisco, frente 1.</t>
  </si>
  <si>
    <t xml:space="preserve">José </t>
  </si>
  <si>
    <t>Guillén</t>
  </si>
  <si>
    <t>Díaz</t>
  </si>
  <si>
    <t>Servicios Profesionales para la Construcción de Occidente, S. A. de C. V. PCZ-028/2016</t>
  </si>
  <si>
    <t>SPC050127BR0</t>
  </si>
  <si>
    <t>Emmanuel</t>
  </si>
  <si>
    <t>Valle</t>
  </si>
  <si>
    <t>DOPI-MUN- R33FORTA-PROY-AD-012-2016</t>
  </si>
  <si>
    <t>Control de calidad de diferentes obras 2016 del municipio de Zapopan, Jalisco, frente 2.</t>
  </si>
  <si>
    <t>José Alejandro</t>
  </si>
  <si>
    <t>Alva</t>
  </si>
  <si>
    <t>Delgado</t>
  </si>
  <si>
    <t>Servicios de Obras Civiles Serco, S. A. de C. V. PCZ-035/2016</t>
  </si>
  <si>
    <t>SOC150806E69</t>
  </si>
  <si>
    <t>DOPI-MUN- R33FORTA-PROY-AD-013-2016</t>
  </si>
  <si>
    <t>Estudios de mecánica de suelos y diseño de pavimentos de diferentes obras 2016, primera etapa, del municipio de Zapopan, Jalisco.</t>
  </si>
  <si>
    <t>Héctor Hugo</t>
  </si>
  <si>
    <t>Guerrero</t>
  </si>
  <si>
    <t>Construdimensión, S.A. de C.V. PCZ-018/2016</t>
  </si>
  <si>
    <t>CON090306I19</t>
  </si>
  <si>
    <t>DOPI-MUN- R33FORTA-PROY-AD-014-2016</t>
  </si>
  <si>
    <t>Estudios básicos topográficos para diferentes obras 2016, primera etapa, del municipio de Zapopan, Jalisco.</t>
  </si>
  <si>
    <t>Gabriel</t>
  </si>
  <si>
    <t>Franco</t>
  </si>
  <si>
    <t>Alatorre</t>
  </si>
  <si>
    <t>Constructora de Occidente MS S. A. de C. V. PCZ-038/2016</t>
  </si>
  <si>
    <t>COM141015F48</t>
  </si>
  <si>
    <t>Rafael</t>
  </si>
  <si>
    <t>Neri</t>
  </si>
  <si>
    <t>Jacobo</t>
  </si>
  <si>
    <t>DOPI-MUN-RP-EP-AD-015-2016</t>
  </si>
  <si>
    <t>Demoliciones, rellenos, construcción de muros, banquetas, estacionamiento, cerca perimetral, banquetas y puente en el parque El Polvorin II, municipio de Zapopan, Jalisco.</t>
  </si>
  <si>
    <t>Colonia Guadalajarita</t>
  </si>
  <si>
    <t>Hugo Alejandro</t>
  </si>
  <si>
    <t>Almanzor</t>
  </si>
  <si>
    <t>AL-Mansur Construcciones, S.A. de C.V. PCZ-015/2016</t>
  </si>
  <si>
    <t>ACO0806185Z3</t>
  </si>
  <si>
    <t>2546.52 M2</t>
  </si>
  <si>
    <t>García</t>
  </si>
  <si>
    <t>Invitación Restringida</t>
  </si>
  <si>
    <t>DOPI-MUN-RP-EP-CI-016-2016</t>
  </si>
  <si>
    <t>Construcción de andadores, instalación de equipos de gimnasio al aire libre, juegos infantiles, piso amortiguante, electrificación, iluminación, mobiliario, fuente y arbolado en el parque El Polvorin II, municipio de Zapopan, Jalisco.</t>
  </si>
  <si>
    <t>Colonia Emiliano Zapata</t>
  </si>
  <si>
    <t>Cortés</t>
  </si>
  <si>
    <t>Grupo Taube de México, S.A. de C.V.</t>
  </si>
  <si>
    <t>GTM050418384</t>
  </si>
  <si>
    <t>525 M2</t>
  </si>
  <si>
    <t xml:space="preserve">Juan José </t>
  </si>
  <si>
    <t xml:space="preserve">Garcia </t>
  </si>
  <si>
    <t>Peréz</t>
  </si>
  <si>
    <t>DOPI-MUN- R33FORTA-PROY-CI-017-2016</t>
  </si>
  <si>
    <t>Proyecto ejecutivo para la construcción de Nodo Vial en 5 de Mayo y Periférico Poniente, en San Juan de Ocotán, municipio de Zapopan, Jalisco.</t>
  </si>
  <si>
    <t>San Juan de Ocotán</t>
  </si>
  <si>
    <t>Álvaro Salvador</t>
  </si>
  <si>
    <t>Morales</t>
  </si>
  <si>
    <t>Metro Arquitectura, S.A. de C.V.</t>
  </si>
  <si>
    <t>MAR970702FC6</t>
  </si>
  <si>
    <t xml:space="preserve">Julio </t>
  </si>
  <si>
    <t>de la Peña</t>
  </si>
  <si>
    <t xml:space="preserve"> Rodríguez</t>
  </si>
  <si>
    <t>DOPI-MUN-RP-PROY-CI-019-2016</t>
  </si>
  <si>
    <t>Actualización del proyecto ejecutivo de Av. Inglaterra, de Av. Patria a Av. Aviación, en el municipio de Zapopan, Jalisco.</t>
  </si>
  <si>
    <t>Colonias Puertas del Tule y San Juan de Ocotán</t>
  </si>
  <si>
    <t>José Manuel</t>
  </si>
  <si>
    <t>Castellanos</t>
  </si>
  <si>
    <t>GVA Desarrollos Integrales, S.A. de C.V.</t>
  </si>
  <si>
    <t>GDI020122D2A</t>
  </si>
  <si>
    <t xml:space="preserve">Norberto Esaú </t>
  </si>
  <si>
    <t xml:space="preserve"> Joya</t>
  </si>
  <si>
    <t>DOPI-MUN-RP-PAV-LP-020-2016</t>
  </si>
  <si>
    <t>Sustitución de losas de concreto, reposición de guarnición, nivelación de pozos de visita, cajas de válvulas, rejillas pluviales, bocas de tormenta y elementos estructurales que sobresalen de la rasante de la vialidad, calafateos, señaletica horizontal; en calle Orion de Av. Sierra de Mazamitla a Av. López Mateos, de Av. Sierra de Mazamitla de Valle de Atemajac a Límite Municipal (Av. Las Fuentes) municipio de Zapopan, Jalisco.</t>
  </si>
  <si>
    <t>Colonias Pinar de la Calma y Las Águilas</t>
  </si>
  <si>
    <t>Ruiz</t>
  </si>
  <si>
    <t>Constructora Diru, S.A. de C.V.</t>
  </si>
  <si>
    <t>CDI950714B79</t>
  </si>
  <si>
    <t>1,943 M2</t>
  </si>
  <si>
    <t xml:space="preserve">Carlos Gerardo </t>
  </si>
  <si>
    <t xml:space="preserve">Peña </t>
  </si>
  <si>
    <t>DOPI-MUN-RP-PAV-LP-021-2016</t>
  </si>
  <si>
    <t>Sustitución de losas de concreto, reposición de guarnición, nivelación de pozos de visita, cajas de válvulas, rejillas pluviales, bocas de tormenta y elementos estructurales que sobresalen de la rasante de la vialidad, calafateos, señaletica horizontal en Av. Naciones Unidas de Tomas Fuller a Glorieta del Paso del Prado, municipio de Zapopan, Jalisco.</t>
  </si>
  <si>
    <t>Colonia Loma Real</t>
  </si>
  <si>
    <t>Oscar</t>
  </si>
  <si>
    <t>Cadaco Construcciones, S.A. de C.V.</t>
  </si>
  <si>
    <t>CCO070612CT2</t>
  </si>
  <si>
    <t>3,528 M2</t>
  </si>
  <si>
    <t xml:space="preserve">Jacob </t>
  </si>
  <si>
    <t xml:space="preserve">Tejeda </t>
  </si>
  <si>
    <t>Alvarez</t>
  </si>
  <si>
    <t>DOPI-MUN-RP-PAV-LP-022-2016</t>
  </si>
  <si>
    <t>Renivelación con mezcla asfáltica y sello con mortero asfáltico, nivelación de pozos de visita, cajas de válvulas, rejillas pluviales, bocas de tormenta y elementos estructurales que sobresalen de la rasante de la vialidad, calafateos, señaletica horizontal en Av. Central de Periferico Poniente a Av. Vallarta y en Av. Calzada Nueva de Av. Central a Av. Vallarta, en la colonia Ciudad Granja, municipio de Zapopan, Jalisco.</t>
  </si>
  <si>
    <t>Colonia Ciudad Granja</t>
  </si>
  <si>
    <t>José Francisco</t>
  </si>
  <si>
    <t>Llaguno</t>
  </si>
  <si>
    <t>Yzabal</t>
  </si>
  <si>
    <t>Emulsiones, Sellos y Pavimentos Asfálticos, S.A. de C.V.</t>
  </si>
  <si>
    <t>ESP940311A26</t>
  </si>
  <si>
    <t>45,550 M2</t>
  </si>
  <si>
    <t xml:space="preserve">Victor Manuel </t>
  </si>
  <si>
    <t xml:space="preserve">Lomeli </t>
  </si>
  <si>
    <t>DOPI-MUN-RP-PAV-LP-023-2016</t>
  </si>
  <si>
    <t>Reencarpetamiento de la vialidad, desbastado de la carpeta existente, nivelación de pozos de visita, cajas de válvulas, rejillas pluviales, bocas de tormenta y elementos estructurales que sobresalen de la rasante de la vialidad, calafateos, señaletica horizontal de la Av. Sierra de Mazamitla de Valle de Atemajac a calle Orión;  y Renivelación de carpeta asfaltica, reposición de guarnición, nivelación de pozos de visita, cajas de válvulas, rejillas pluviales, bocas de tormenta y elementos estructurales que sobresalen de la rasante de la vialidad, calafateos, señaletica horizontal en Av. Paseo del Prado de la Glorieta Paseo del Prado al limíte Municipal, municipio de Zapopan, Jalisco.</t>
  </si>
  <si>
    <t>Colonias Loma del Valle y Las Águilas</t>
  </si>
  <si>
    <t>Rosalba Edilia</t>
  </si>
  <si>
    <t>Sandoval</t>
  </si>
  <si>
    <t>Huizar</t>
  </si>
  <si>
    <t>Infraestructura San Miguel, S.A. de C.V.</t>
  </si>
  <si>
    <t>ISM0112209Y5</t>
  </si>
  <si>
    <t>24,196 M2</t>
  </si>
  <si>
    <t>DOPI-MUN-RP-PAV-LP-024-2016</t>
  </si>
  <si>
    <t>Reencarpetamiento de la vialidad, desbastado de la carpeta existente, nivelación de pozos de visita, cajas de válvulas, rejillas pluviales, bocas de tormenta y elementos estructurales que sobresalen de la rasante de la vialidad, calafateos, señaletica horizontal en Av. Pablo Neruda de Av. Patria a límite Municipal, municipio de Zapopan, Jalisco.</t>
  </si>
  <si>
    <t>Colonia Colinas de San Javier</t>
  </si>
  <si>
    <t>Carlos Felipe</t>
  </si>
  <si>
    <t>Guerra</t>
  </si>
  <si>
    <t>Urbanizadora Vázquez Guerra, S.A. de C.V.</t>
  </si>
  <si>
    <t>UVG841211G22</t>
  </si>
  <si>
    <t>14,500 M2</t>
  </si>
  <si>
    <t>DOPI-MUN-RP-PAV-LP-025-2016</t>
  </si>
  <si>
    <t>Sustitución de losas de concreto, reposición de guarnición, nivelación de pozos de visita, cajas de válvulas, rejillas pluviales, bocas de tormenta y elementos estructurales que sobresalen de la rasante de la vialidad, calafateos, señaletica horizontal; en Av. Patria de Av. Guadalupe a Av. López Mateos tramo 1, en el municipio de Zapopan, Jalisco</t>
  </si>
  <si>
    <t>Colonias Mirador del Sol, l Colli Urbano y La Calma</t>
  </si>
  <si>
    <t>Blanca Estela</t>
  </si>
  <si>
    <t>Moreno</t>
  </si>
  <si>
    <t>Lemus</t>
  </si>
  <si>
    <t xml:space="preserve">Estudios, Proyectos y Construcciones de Guadalajara, S.A. de C.V. </t>
  </si>
  <si>
    <t>EPC7107236R1</t>
  </si>
  <si>
    <t>4,855 M2</t>
  </si>
  <si>
    <t xml:space="preserve">José Rafael </t>
  </si>
  <si>
    <t xml:space="preserve">Aguayo </t>
  </si>
  <si>
    <t>Cortes</t>
  </si>
  <si>
    <t>DOPI-MUN-RP-PAV-LP-026-2016</t>
  </si>
  <si>
    <t>Sustitución de losas de concreto, reposición de guarnición, nivelación de pozos de visita, cajas de válvulas, rejillas pluviales, bocas de tormenta y elementos estructurales que sobresalen de la rasante de la vialidad, calafateos, señaletica horizontal; en Av. Patria de Av. Guadalupe a Av. López Mateos tramo 2, en el municipio de Zapopan, Jalisco</t>
  </si>
  <si>
    <t>Arturo</t>
  </si>
  <si>
    <t>Montufar</t>
  </si>
  <si>
    <t>Núñez</t>
  </si>
  <si>
    <t>Velero Pavimentación y Construcción S.A. de C.V.</t>
  </si>
  <si>
    <t>VPC0012148K0</t>
  </si>
  <si>
    <t>3,883 M2</t>
  </si>
  <si>
    <t xml:space="preserve">Jose Rafael </t>
  </si>
  <si>
    <t>DOPI-MUN-RP-PAV-LP-027-2016</t>
  </si>
  <si>
    <t>Reencarpetamiento de la vialidad, desbastado de la carpeta existente, nivelación de pozos de visita, cajas de válvulas, rejillas pluviales, bocas de tormenta y elementos estructurales que sobresalen de la rasante de la vialidad, calafateos, señaletica horizontal en la Av. Juan Gil Preciado (carriles centrales), tramo 1, de Av. Angel Leaño a carretera Colotlán, municipio de Zapopan, Jalisco.</t>
  </si>
  <si>
    <t>Colonia Nuevo México</t>
  </si>
  <si>
    <t>Ignacio Javier</t>
  </si>
  <si>
    <t>Curiel</t>
  </si>
  <si>
    <t>Dueñas</t>
  </si>
  <si>
    <t>TC Construcción y Mantenimiento, S.A. de C.V.</t>
  </si>
  <si>
    <t>TCM100915HA1</t>
  </si>
  <si>
    <t>32,145 M2</t>
  </si>
  <si>
    <t xml:space="preserve">Miguel </t>
  </si>
  <si>
    <t xml:space="preserve">Frausto </t>
  </si>
  <si>
    <t>Rivera</t>
  </si>
  <si>
    <t>DOPI-MUN-RP-PAV-LP-028-2016</t>
  </si>
  <si>
    <t>Reencarpetamiento de la vialidad, desbastado de la carpeta existente, nivelación de pozos de visita, cajas de válvulas, rejillas pluviales, bocas de tormenta y elementos estructurales que sobresalen de la rasante de la vialidad, calafateos, señaletica horizontal en la Av. Juan Gil Preciado (carriles centrales), tramo 2, de Av. Angel Leaño a carretera Colotlán, municipio de Zapopan, Jalisco.</t>
  </si>
  <si>
    <t>30,824 M2</t>
  </si>
  <si>
    <t>DOPI-MUN-RP-PAV-LP-029-2016</t>
  </si>
  <si>
    <t>Reencarpetamiento de la vialidad, desbastado de la carpeta existente, nivelación de pozos de visita, cajas de válvulas, rejillas pluviales, bocas de tormenta y elementos estructurales que sobresalen de la rasante de la vialidad, calafateos, señaletica horizontal en Av. Juan Gil Preciado (carriles laterales), tramo 1, de la Av. Angel Leaño a la carretera Colotlán, municipio de Zapopan, Jalisco</t>
  </si>
  <si>
    <t>Rodrigo</t>
  </si>
  <si>
    <t>Ramos</t>
  </si>
  <si>
    <t>Garibi</t>
  </si>
  <si>
    <t>Metro Asfaltos, S.A. de C.V.</t>
  </si>
  <si>
    <t>CMA070307RU6</t>
  </si>
  <si>
    <t>17,667 M2</t>
  </si>
  <si>
    <t>DOPI-MUN-RP-PAV-LP-030-2016</t>
  </si>
  <si>
    <t>Reencarpetamiento de la vialidad, desbastado de la carpeta existente, nivelación de pozos de visita, cajas de válvulas, rejillas pluviales, bocas de tormenta y elementos estructurales que sobresalen de la rasante de la vialidad, calafateos, señaletica horizontal en Av. Juan Gil Preciado (carriles laterales), tramo 2, de la Av. Angel Leaño a la carretera Colotlán, municipio de Zapopan, Jalisco</t>
  </si>
  <si>
    <t>Braulia</t>
  </si>
  <si>
    <t>Colmenares</t>
  </si>
  <si>
    <t>Aldsanbm Constructora, S.A. de C.V.</t>
  </si>
  <si>
    <t>ACO070606CY5</t>
  </si>
  <si>
    <t>16,932 M2</t>
  </si>
  <si>
    <t>DOPI-MUN- R33FORTA-OC-AD-032-16</t>
  </si>
  <si>
    <t>Desazolve y limpieza en el canal Tepeyac ubicado en la Avenida Las Torres colonia Miramar; desazolve, limpieza y rehabilitación de mampostería en el canal Puerta Plata ubicado en las colonias Royal Country y Puerta Plata, municipio de Zapopan, Jalisco.</t>
  </si>
  <si>
    <t>Colonias: Miramar, Royal Country y Puerta Plata</t>
  </si>
  <si>
    <t>Raul</t>
  </si>
  <si>
    <t>Jara</t>
  </si>
  <si>
    <t>Construcciones Anayari, S. A. de C. V. PCZ-131/2016</t>
  </si>
  <si>
    <t>CAN030528ME0</t>
  </si>
  <si>
    <t>44,265 M2</t>
  </si>
  <si>
    <t>Aguayo</t>
  </si>
  <si>
    <t xml:space="preserve"> Cortés</t>
  </si>
  <si>
    <t>DOPI-MUN- R33FORTA-IM-AD-033-16</t>
  </si>
  <si>
    <t>Construcción de muro y rehabilitación de banquetas en Panteón Municipal ubicado en la localidad de Santa Ana Tepetitlán, municipio de Zapopan, Jalisco.</t>
  </si>
  <si>
    <t>Santa Ana Tepetitlán</t>
  </si>
  <si>
    <t>Contreras</t>
  </si>
  <si>
    <t>Rencoist Construcciones, S. A. de C. V. PCZ-080/2016</t>
  </si>
  <si>
    <t>RCO130920JX9</t>
  </si>
  <si>
    <t>248 M2</t>
  </si>
  <si>
    <t xml:space="preserve">Jorge Adriel </t>
  </si>
  <si>
    <t xml:space="preserve">Guzmán </t>
  </si>
  <si>
    <t>DOPI-MUN- R33FORTA-OC-AD-034-16</t>
  </si>
  <si>
    <t>Desazolve y rectificación del arroyo seco en el tramo de la colonia Periodistas; en la colonia El Mante y del arroyo El Garabato en la colonia El Briseño, municipio de Zapopan, Jalisco.</t>
  </si>
  <si>
    <t>Colonias: Periodistas, El Mante y El Briseño</t>
  </si>
  <si>
    <t>Grupo Edificador Mayab, S. A. de C. V. PCZ-032/2016</t>
  </si>
  <si>
    <t>37,800 M2</t>
  </si>
  <si>
    <t xml:space="preserve"> Peña </t>
  </si>
  <si>
    <t>DOPI-MUN- R33FORTA-OC-AD-035-16</t>
  </si>
  <si>
    <t>Desazolve, limpieza y rectificación de canal La Martinica - Paseo de las Aves en el tramo de la colonia Altagracia y la colonia La Martinica; desazolve y limpieza del Arroyo Hondo en la colonia Arroyo Hondo, Municipio de Zapopan, Jalisco.</t>
  </si>
  <si>
    <t>Colonias: Altagracia, La Martinica y Arroyo Hondo</t>
  </si>
  <si>
    <t>Jorge Guillermo</t>
  </si>
  <si>
    <t>Malacón</t>
  </si>
  <si>
    <t>Sainz</t>
  </si>
  <si>
    <t>Edficaciones Yazmin, S. A. de C. V.  PCZ-146/2016</t>
  </si>
  <si>
    <t>EYA020712BQ6</t>
  </si>
  <si>
    <t>44,056 M2</t>
  </si>
  <si>
    <t>DOPI-MUN-RP-IM-AD-036-16</t>
  </si>
  <si>
    <t>Construcción de Bóveda de seguridad para alojamiento de valores en la recaudadora No. 6 ubicada en la Avenida Guadalupe esquina Periférico Poniente Manuel Gómez Morín, municipio de Zapopan, Jalisco.</t>
  </si>
  <si>
    <t>Edificio de Servicios Públicos Municipales</t>
  </si>
  <si>
    <t>Victor Martín</t>
  </si>
  <si>
    <t>López</t>
  </si>
  <si>
    <t>Santos</t>
  </si>
  <si>
    <t>Construcciones Citus, S. A. de C. V. PCZ-141/2016</t>
  </si>
  <si>
    <t>CCI020411HS5</t>
  </si>
  <si>
    <t>23 M2</t>
  </si>
  <si>
    <t>DOPI-MUN-RP-IM-AD-037-16</t>
  </si>
  <si>
    <t>Rehabilitación en las oficinas y ampliación de comedor de empleados en el Dif Laureles, ubicado en Avenida Juan Pablo II, esquina con calle Lázaro Cárdenas, municipio de Zapopan, Jalisco.</t>
  </si>
  <si>
    <t>DIF Laureles</t>
  </si>
  <si>
    <t>Adriana Del Refugio</t>
  </si>
  <si>
    <t>Martín</t>
  </si>
  <si>
    <t>SDT Constructora S. A. de C. V. PCZ-147/2016</t>
  </si>
  <si>
    <t>SCO040813IIA</t>
  </si>
  <si>
    <t>125 M2</t>
  </si>
  <si>
    <t xml:space="preserve">Alhelí </t>
  </si>
  <si>
    <t xml:space="preserve">Rubio </t>
  </si>
  <si>
    <t>DOPI-MUN- R33FORTA-OC-AD-038-16</t>
  </si>
  <si>
    <t>Obras de protección consistentes en construcción de muro de mampostería; construcción de plantilla de zampeado en el arroyo Bugambilias de la colonia La Florida hasta el límite municipal; construcción de muro de contención de mampostería y construcción de losa de piso de mampostería, incluye limpieza y desazolve en la calle Gigante, calle Pino y calle Vicente Guerrero en la colonia Primavera Vicente Guerrero, Municipio de Zapopan, Jalisco.</t>
  </si>
  <si>
    <t>Colonias: La Florida y Primavera</t>
  </si>
  <si>
    <t>Omar</t>
  </si>
  <si>
    <t>Mora</t>
  </si>
  <si>
    <t>Montes de Oca</t>
  </si>
  <si>
    <t>Dommont Construcciones, S. A. de C. V. PCZ-133/2016</t>
  </si>
  <si>
    <t>DCO130215C16</t>
  </si>
  <si>
    <t>216 ML</t>
  </si>
  <si>
    <t>DOPI-MUN-RP-ELE-AD-039-16</t>
  </si>
  <si>
    <t>Red de alumbrado público y baja tensión en la calle Las Palmas y calle San Gonzálo en la colonia La Limera, municipio de Zapopan Jalisco.</t>
  </si>
  <si>
    <t>Colonia La Limera</t>
  </si>
  <si>
    <t>Juan Pablo</t>
  </si>
  <si>
    <t>Vera</t>
  </si>
  <si>
    <t>Tavares</t>
  </si>
  <si>
    <t>Lizette Construcciones, S. A. de C. V. PCZ-045/2016</t>
  </si>
  <si>
    <t>LCO080228DN2</t>
  </si>
  <si>
    <t>735 ML</t>
  </si>
  <si>
    <t xml:space="preserve">Fernando  </t>
  </si>
  <si>
    <t xml:space="preserve">Adame </t>
  </si>
  <si>
    <t>Tornel</t>
  </si>
  <si>
    <t>DOPI-MUN-RP-ELE-AD-040-16</t>
  </si>
  <si>
    <t>Red de alumbrado público en las calles Ecología de Conservación a Naturaleza, Conservación de Ecología a Naturaleza, Naturaleza de Conservación a Ecología, en la colonia Río Blanco; Electrificación en media y baja tensión y alumbrado público en las calles Manzano de San Francisco a Matamoros, San Miguel de San Francisco a Matamoros, Santa María  de San Francisco a Matamoros, Dolores Rodríguez de Matamoros a Ameca, Jalisco de Matamoros a Ameca en la colonia Lomas del Refugio, municipio de Zapopan, Jalisco.</t>
  </si>
  <si>
    <t>Colonias: Rio Blanco y Lomas del Refugio</t>
  </si>
  <si>
    <t>Armando</t>
  </si>
  <si>
    <t>Arroyo</t>
  </si>
  <si>
    <t>Construcciones y Extructuras ITZ, S. A. de C. V. PCZ-142/2016</t>
  </si>
  <si>
    <t>CEI000807E95</t>
  </si>
  <si>
    <t>1543 ML</t>
  </si>
  <si>
    <t>DOPI-MUN-RP-AP-AD-041-16</t>
  </si>
  <si>
    <t>Construcción de línea de drenaje sanitario y línea de agua potable en las calles andador Tequila de Tequila a Lagos de Moreno, Prolongación Zapopan de Jalisco a Prolongación Jalisco y Jalisco de Prolongación Zapopan a Prolongación Jalisco, en la colonia Lomas del Refugio, municipio de Zapopan, Jalisco.</t>
  </si>
  <si>
    <t>Colonia Lomas del Refugio</t>
  </si>
  <si>
    <t>Jesús Alfredo</t>
  </si>
  <si>
    <t>Topus Ingeniería, S. A. de C. V. PCZ-144/2016</t>
  </si>
  <si>
    <t>TIN130227AS1</t>
  </si>
  <si>
    <t xml:space="preserve">Héctor </t>
  </si>
  <si>
    <t xml:space="preserve">Flores </t>
  </si>
  <si>
    <t>DOPI-MUN-R33FORTA-IM-AD-042-2016</t>
  </si>
  <si>
    <t>Construcción de muro perimetral y rehabilitación de herrería en el CDI No. 2 "Pablo Casals", ubicado en la colonia Valle de Atemajac; suministro e instalación de malla sombra en patio central y rehabilitación de área exterior infantil, en el CDI No. 09, ubicado en la colonia Villa de Guadalupe; construcción de muro y malla perimetral en el CDC No. 20, ubicado en la colonia Arenales Tapatios; impermeabilización de azoteas en el CRI ubicado en Av. Laureles, colonia Unidad Fovissste; colocación de ladrillo de azotea e impermeabilización en el CEMAM, ubicado en la calle cerrada Santa Laura, colonia Santa Margarita Primera Sección, muncipio de Zapopan, Jalisco</t>
  </si>
  <si>
    <t>Colonias: Valle de Atemajac, Villa de Guadalupe, Arenales Tapatios, Unidad Fovissste y Santa Margarita Primera Sección</t>
  </si>
  <si>
    <t>5 PLANTELES</t>
  </si>
  <si>
    <t xml:space="preserve">Gerardo </t>
  </si>
  <si>
    <t xml:space="preserve">Arceo </t>
  </si>
  <si>
    <t>DOPI-MUN-RP-PROY-AD-043-16</t>
  </si>
  <si>
    <t>Proyecto ejecutivo para la construcción de la cruz verde ubicada en la colonia Villas de Guadalupe, municipio de Zapopan, Jalisco.</t>
  </si>
  <si>
    <t>Colonia Villa de Guadalupe</t>
  </si>
  <si>
    <t xml:space="preserve">José Antonio </t>
  </si>
  <si>
    <t xml:space="preserve">García </t>
  </si>
  <si>
    <t>DOPI-MUN-AMP-PAV-CI-044-2016</t>
  </si>
  <si>
    <t>Julio Eduardo</t>
  </si>
  <si>
    <t>Proyectos e Insumos Industriales Jelp, S.A. de C.V.</t>
  </si>
  <si>
    <t>PEI020208RW0</t>
  </si>
  <si>
    <t>750 M2</t>
  </si>
  <si>
    <t xml:space="preserve">Ing. Jacob </t>
  </si>
  <si>
    <t>DOPI-MUN-AMP-PAV-CI-045-2016</t>
  </si>
  <si>
    <t>José Antonio</t>
  </si>
  <si>
    <t>Urcoma 1970, S.A. de C.V.</t>
  </si>
  <si>
    <t>UMN160125869</t>
  </si>
  <si>
    <t>2,466 M2</t>
  </si>
  <si>
    <t xml:space="preserve">Ing.Rafael </t>
  </si>
  <si>
    <t>DOPI-MUN-AMP-PAV-CI-046-2016</t>
  </si>
  <si>
    <t>Orlando</t>
  </si>
  <si>
    <t>Hijar</t>
  </si>
  <si>
    <t>Casillas</t>
  </si>
  <si>
    <t>Constructora y Urbanizadora Ceda, S.A. de C.V.</t>
  </si>
  <si>
    <t>CUC121107NV2</t>
  </si>
  <si>
    <t>2,014 M2</t>
  </si>
  <si>
    <t xml:space="preserve">Ing. Juan José </t>
  </si>
  <si>
    <t xml:space="preserve">Quirarte </t>
  </si>
  <si>
    <t>DOPI-MUN-AMP-AP-CI-047-2016</t>
  </si>
  <si>
    <t>Rogelio</t>
  </si>
  <si>
    <t>Arballo</t>
  </si>
  <si>
    <t>Luján</t>
  </si>
  <si>
    <t>Maquiobras, S.A. de C.V.</t>
  </si>
  <si>
    <t>MAQ980415GF0</t>
  </si>
  <si>
    <t>2,390 ML</t>
  </si>
  <si>
    <t>DOPI-MUN-AMP-AP-CI-048-2016</t>
  </si>
  <si>
    <t>Obras y Comercialización de la Construcción, S.A. de C.V.</t>
  </si>
  <si>
    <t>808 ML</t>
  </si>
  <si>
    <t xml:space="preserve">Ing. Alfonso </t>
  </si>
  <si>
    <t xml:space="preserve">Cuevas </t>
  </si>
  <si>
    <t>Murillo</t>
  </si>
  <si>
    <t>DOPI-MUN-AMP-AP-CI-049-2016</t>
  </si>
  <si>
    <t>Loza</t>
  </si>
  <si>
    <t>Promotores Inmobiliarios y Constructores de Jalisco, S.A. de C.V.</t>
  </si>
  <si>
    <t>PIC101216TL9</t>
  </si>
  <si>
    <t>561 ML</t>
  </si>
  <si>
    <t>2,010 M2</t>
  </si>
  <si>
    <t>En Proceso</t>
  </si>
  <si>
    <t>4,400 M2</t>
  </si>
  <si>
    <t>3,090 M2</t>
  </si>
  <si>
    <t>510 M2</t>
  </si>
  <si>
    <t>3,045 M2</t>
  </si>
  <si>
    <t xml:space="preserve">Ing. Rafael </t>
  </si>
  <si>
    <t>13,005 M2</t>
  </si>
  <si>
    <t xml:space="preserve">Ing. Juan Santiago </t>
  </si>
  <si>
    <t xml:space="preserve">Ramos </t>
  </si>
  <si>
    <t>Ozuna</t>
  </si>
  <si>
    <t>8,610 M2</t>
  </si>
  <si>
    <t>13,445 M2</t>
  </si>
  <si>
    <t>11,700 M2</t>
  </si>
  <si>
    <t>Colonia Las Águilas</t>
  </si>
  <si>
    <t>38,846 M2</t>
  </si>
  <si>
    <t>Ing. Víctor Alfonso</t>
  </si>
  <si>
    <t>Ramírez</t>
  </si>
  <si>
    <t>Reyes</t>
  </si>
  <si>
    <t>Varias colonias del Municipio</t>
  </si>
  <si>
    <t>95,806 M2</t>
  </si>
  <si>
    <t>40,328 M2</t>
  </si>
  <si>
    <t xml:space="preserve">Ing. Miguel </t>
  </si>
  <si>
    <t>24,640 M2</t>
  </si>
  <si>
    <t>6,073 M2</t>
  </si>
  <si>
    <t>Col. Residencial Poniente</t>
  </si>
  <si>
    <t>855 ML</t>
  </si>
  <si>
    <t xml:space="preserve">Arq. Víctor Manuel </t>
  </si>
  <si>
    <t>Col. Fraccionamiento Tabachines</t>
  </si>
  <si>
    <t>462 M2</t>
  </si>
  <si>
    <t xml:space="preserve">Arq. Joel </t>
  </si>
  <si>
    <t xml:space="preserve">Olivares </t>
  </si>
  <si>
    <t>Duarte</t>
  </si>
  <si>
    <t>Localidad de Santa Lucía</t>
  </si>
  <si>
    <t>1,137 m2</t>
  </si>
  <si>
    <t>Col. Parque Industrial Belenes</t>
  </si>
  <si>
    <t>112 M2</t>
  </si>
  <si>
    <t>Colonia Agua Fría</t>
  </si>
  <si>
    <t>680 M2</t>
  </si>
  <si>
    <t>San Juan de Ocotán y Col. Miramar</t>
  </si>
  <si>
    <t>312 M2</t>
  </si>
  <si>
    <t xml:space="preserve">Arq. Jorge Adriel </t>
  </si>
  <si>
    <t>DOPI-MUN-R33FORTA-OC-AD-074-2016</t>
  </si>
  <si>
    <t>Desazolve y construcción de muros de contención con mamposteria del Canal Puerta Plata en unión con Canal Santa Isabel, y desazolve de Canal Santa Lucia en la Colonia Santa Mónica Los Chorritos y Colonia Santa Lucia, Municipio de Zapopan, Jalisco.</t>
  </si>
  <si>
    <t>Colonia Santa Monica de los Chorritos y Santa Lucia</t>
  </si>
  <si>
    <t>Luis German</t>
  </si>
  <si>
    <t xml:space="preserve">Delgadillo </t>
  </si>
  <si>
    <t>Alcazar</t>
  </si>
  <si>
    <t>Axioma Proyectos e Ingeniería, S. A. de C. V.</t>
  </si>
  <si>
    <t>APE111122MI0</t>
  </si>
  <si>
    <t>4,700 M3</t>
  </si>
  <si>
    <t>DOPI-MUN-R33FORTA-OC-AD-075-2016</t>
  </si>
  <si>
    <t>Desazolve y limpieza en el canal Santa Catalina en el tramo de Av. Patria a Av. Mariano Otero, municipio de Zapopan, Jalisco.</t>
  </si>
  <si>
    <t>Municipio de Zapopan</t>
  </si>
  <si>
    <t>Sergio Alberto</t>
  </si>
  <si>
    <t>Baylon</t>
  </si>
  <si>
    <t>Edificaciones Estructurales Cobay, S. A. de C. V.</t>
  </si>
  <si>
    <t>EEC9909173A7</t>
  </si>
  <si>
    <t>30,700 M2</t>
  </si>
  <si>
    <t>DOPI-MUN-R33FORTA-OC-AD-076-2016</t>
  </si>
  <si>
    <t>Reparación de muros de contención de mamposteria, demolición de elementos estructurales de concreto armado, construcción y rectificación de plantilla y de muro de mamposteria, rehabilitación y colocación de malla ciclonica de protección perimetral, construcción de puente peatonal metalico, limpieza y desazolve en el canal pluvial Villas Perisur, en la Colonia El Briseño; Construcción de muro de concreto reforzado divisorio de carriles para corregir escurrimientos superficiales para mitigar inundación en retorno deprimido en Periférico Póniente y Mariano Otero, Municipio de Zapopan, Jalisco.</t>
  </si>
  <si>
    <t xml:space="preserve">Guillermo Alberto </t>
  </si>
  <si>
    <t>Allende</t>
  </si>
  <si>
    <t>Grupo Constructor MR de Jalisco, S. A. de C. V.</t>
  </si>
  <si>
    <t>GCM121112J86</t>
  </si>
  <si>
    <t>2,495 M2</t>
  </si>
  <si>
    <t>DOPI-MUN-R33FORTA-PROY-AD-077-2016</t>
  </si>
  <si>
    <t>Proyecto ejecutivo para la construcción de las unidades deportivas Santa María del Pueblito ubicada en calle Independencia S/N colonia Santa María del Pueblito; Santa Margarita ubicada en calle Santa Matilde S/N colonia Santa Margarita; Miguel de la Madrid ubicada en calle López Portillo S/N colonia Miguel de la Madrid; y Villas de Guadalupe ubicada en calle Febronio Lara esquina María Perfecta Llamas S/N colonia Villas de Guadalupe, Municipio de Zapopan, Jalisco.</t>
  </si>
  <si>
    <t>David</t>
  </si>
  <si>
    <t>Ledesma</t>
  </si>
  <si>
    <t>Martin del Campo</t>
  </si>
  <si>
    <t>Ing. David Ledesma Martin Del Campo</t>
  </si>
  <si>
    <t>LEMD880217U53</t>
  </si>
  <si>
    <t>Col. El Paraiso</t>
  </si>
  <si>
    <t>812 M2</t>
  </si>
  <si>
    <t xml:space="preserve">Arq. José Antonio </t>
  </si>
  <si>
    <t xml:space="preserve">Ing. Fernando </t>
  </si>
  <si>
    <t xml:space="preserve">Chavez </t>
  </si>
  <si>
    <t>Colonia El Batán</t>
  </si>
  <si>
    <t>768 M2</t>
  </si>
  <si>
    <t>Colonia Puerta del Valle</t>
  </si>
  <si>
    <t>925 M2</t>
  </si>
  <si>
    <t>Colonia Las Higueras</t>
  </si>
  <si>
    <t>5,324 M2</t>
  </si>
  <si>
    <t>Federal</t>
  </si>
  <si>
    <t>28,562 M2</t>
  </si>
  <si>
    <t xml:space="preserve">Ing. Oscar Ivan </t>
  </si>
  <si>
    <t xml:space="preserve">Barcena </t>
  </si>
  <si>
    <t>Galindo</t>
  </si>
  <si>
    <t>22,150 M2</t>
  </si>
  <si>
    <t>10,640 M2</t>
  </si>
  <si>
    <t>7,380 M2</t>
  </si>
  <si>
    <t>840 M2</t>
  </si>
  <si>
    <t>4,015 M2</t>
  </si>
  <si>
    <t>1,885 M2</t>
  </si>
  <si>
    <t>3,796 M2</t>
  </si>
  <si>
    <t>4,847 M2</t>
  </si>
  <si>
    <t>11,696 M2</t>
  </si>
  <si>
    <t>14,923 M2</t>
  </si>
  <si>
    <t>13,168 M2</t>
  </si>
  <si>
    <t>7,750 M2</t>
  </si>
  <si>
    <t>5,500 M2</t>
  </si>
  <si>
    <t>3,802.5 M2</t>
  </si>
  <si>
    <t>1,240 M2</t>
  </si>
  <si>
    <t xml:space="preserve">Arq. Alheli Guadalupe </t>
  </si>
  <si>
    <t>Estatal</t>
  </si>
  <si>
    <t>315 M2</t>
  </si>
  <si>
    <t xml:space="preserve">Arq. Carlos Gerardo </t>
  </si>
  <si>
    <t>1,222 M2</t>
  </si>
  <si>
    <t>375 M2</t>
  </si>
  <si>
    <t>5,067 M2</t>
  </si>
  <si>
    <t>16,200 M2</t>
  </si>
  <si>
    <t>Ing. Juan Santiago</t>
  </si>
  <si>
    <t xml:space="preserve"> Ramos </t>
  </si>
  <si>
    <t>1,894 M2</t>
  </si>
  <si>
    <t>2,001 M2</t>
  </si>
  <si>
    <t>7,601 M2</t>
  </si>
  <si>
    <t xml:space="preserve">Ing. Luís Erazmo </t>
  </si>
  <si>
    <t xml:space="preserve">Durán </t>
  </si>
  <si>
    <t>Godina</t>
  </si>
  <si>
    <t>177 M3</t>
  </si>
  <si>
    <t>2,130 M2</t>
  </si>
  <si>
    <t xml:space="preserve">Ing.Arq. Karina Fabiola </t>
  </si>
  <si>
    <t xml:space="preserve">Mireles </t>
  </si>
  <si>
    <t>846 M2</t>
  </si>
  <si>
    <t>3,876 M2</t>
  </si>
  <si>
    <t>420 M2</t>
  </si>
  <si>
    <t>3,503 M2</t>
  </si>
  <si>
    <t>720 M2</t>
  </si>
  <si>
    <t>240 M2</t>
  </si>
  <si>
    <t>16,290 M2</t>
  </si>
  <si>
    <t>4,814 M2</t>
  </si>
  <si>
    <t>3,015 M2</t>
  </si>
  <si>
    <t>6,069 M2</t>
  </si>
  <si>
    <t>14,859.03 M2</t>
  </si>
  <si>
    <t xml:space="preserve">Arq. Héctor </t>
  </si>
  <si>
    <t>816.76 M2</t>
  </si>
  <si>
    <t xml:space="preserve">L.u.m.a. Juan José </t>
  </si>
  <si>
    <t xml:space="preserve"> Pérez</t>
  </si>
  <si>
    <t>4,876.75 M2</t>
  </si>
  <si>
    <t>Colonia Prados Providencia</t>
  </si>
  <si>
    <t>1,236 M2</t>
  </si>
  <si>
    <t>1,224 M2</t>
  </si>
  <si>
    <t>Colonia Constitución</t>
  </si>
  <si>
    <t>621 M2</t>
  </si>
  <si>
    <t xml:space="preserve">Ing. Arq. Oscar Iván </t>
  </si>
  <si>
    <t>653 M2</t>
  </si>
  <si>
    <t>558 M2</t>
  </si>
  <si>
    <t>Colonia Lomas Altas</t>
  </si>
  <si>
    <t>1,844 M2</t>
  </si>
  <si>
    <t>Colonia La Martinica</t>
  </si>
  <si>
    <t>513 M2</t>
  </si>
  <si>
    <t>Colonia Real del Valle</t>
  </si>
  <si>
    <t>1302 M2</t>
  </si>
  <si>
    <t>Localidad Santa Lucía</t>
  </si>
  <si>
    <t>4,468 M3</t>
  </si>
  <si>
    <t xml:space="preserve">Chávez </t>
  </si>
  <si>
    <t>Localidad de Milpillas</t>
  </si>
  <si>
    <t>1,280 ML</t>
  </si>
  <si>
    <t xml:space="preserve">Arq. José Pablo </t>
  </si>
  <si>
    <t xml:space="preserve">Villaseñor </t>
  </si>
  <si>
    <t>735 M2</t>
  </si>
  <si>
    <t xml:space="preserve">Ing. Jorge Adriel </t>
  </si>
  <si>
    <t xml:space="preserve">Guzman </t>
  </si>
  <si>
    <t>Localidad de Atemajac</t>
  </si>
  <si>
    <t>244 M2</t>
  </si>
  <si>
    <t>3,891 ML</t>
  </si>
  <si>
    <t>1 PZA</t>
  </si>
  <si>
    <t>382 M2</t>
  </si>
  <si>
    <t xml:space="preserve">Arq. Claudio Manuel </t>
  </si>
  <si>
    <t xml:space="preserve">Gomez </t>
  </si>
  <si>
    <t>Ortiz</t>
  </si>
  <si>
    <t>1,988 ML</t>
  </si>
  <si>
    <t>3,597 M2</t>
  </si>
  <si>
    <t>300 ML</t>
  </si>
  <si>
    <t>Ramo 33 (Coplademun)</t>
  </si>
  <si>
    <t>1,150 ML</t>
  </si>
  <si>
    <t>Tornell</t>
  </si>
  <si>
    <t>1,349.88 ML</t>
  </si>
  <si>
    <t>7,500 M2</t>
  </si>
  <si>
    <t>3,201 M2</t>
  </si>
  <si>
    <t>16,033 M2</t>
  </si>
  <si>
    <t>3,682 M2</t>
  </si>
  <si>
    <t>1,598 M2</t>
  </si>
  <si>
    <t>6,512 M2</t>
  </si>
  <si>
    <t>3,208 M2</t>
  </si>
  <si>
    <t>2,548 M2</t>
  </si>
  <si>
    <t>2,378 M2</t>
  </si>
  <si>
    <t>15 PZAS</t>
  </si>
  <si>
    <t>5,625 M2</t>
  </si>
  <si>
    <t xml:space="preserve">Ing. Camilo </t>
  </si>
  <si>
    <t xml:space="preserve">Carbajal </t>
  </si>
  <si>
    <t>Ruvalcaba</t>
  </si>
  <si>
    <t>5,612 M2</t>
  </si>
  <si>
    <t>5,721 M2</t>
  </si>
  <si>
    <t>5,725 M2</t>
  </si>
  <si>
    <t>5,731 M2</t>
  </si>
  <si>
    <t>5,645 M2</t>
  </si>
  <si>
    <t>5,733 M2</t>
  </si>
  <si>
    <t>5,614 M2</t>
  </si>
  <si>
    <t>5,591 M2</t>
  </si>
  <si>
    <t>5,608 M2</t>
  </si>
  <si>
    <t>584 ML</t>
  </si>
  <si>
    <t>3,100 M2</t>
  </si>
  <si>
    <t>1 PARTIDA</t>
  </si>
  <si>
    <t xml:space="preserve">Lic. Sandra Patricia </t>
  </si>
  <si>
    <t xml:space="preserve">Sánchez </t>
  </si>
  <si>
    <t>Valdéz</t>
  </si>
  <si>
    <t>9,461.16 M2</t>
  </si>
  <si>
    <t>9,461.16 M3</t>
  </si>
  <si>
    <t>254 M2</t>
  </si>
  <si>
    <t xml:space="preserve">Ing. José Federico </t>
  </si>
  <si>
    <t xml:space="preserve">Luna </t>
  </si>
  <si>
    <t>13,099.16 M2</t>
  </si>
  <si>
    <t>8,180.41 M2</t>
  </si>
  <si>
    <t>1,718 M2</t>
  </si>
  <si>
    <t>2,265 M2</t>
  </si>
  <si>
    <t>249 M3</t>
  </si>
  <si>
    <t>4,153 ML</t>
  </si>
  <si>
    <t>Colonia Bajío</t>
  </si>
  <si>
    <t>231 ML</t>
  </si>
  <si>
    <t>Ing. Jacob</t>
  </si>
  <si>
    <t>Localidad de Tesistán</t>
  </si>
  <si>
    <t>222 ML</t>
  </si>
  <si>
    <t>Col. Gustavo Diaz Ordaz</t>
  </si>
  <si>
    <t>684 M2</t>
  </si>
  <si>
    <t xml:space="preserve"> Villa</t>
  </si>
  <si>
    <t>1,601 M2</t>
  </si>
  <si>
    <t>4,215 M2</t>
  </si>
  <si>
    <t>1,440 M2</t>
  </si>
  <si>
    <t>6,183 M2</t>
  </si>
  <si>
    <t>5,521 M2</t>
  </si>
  <si>
    <t>898 M2</t>
  </si>
  <si>
    <t>47,361.07 M2</t>
  </si>
  <si>
    <t>417.4 M2</t>
  </si>
  <si>
    <t>767.32 M2</t>
  </si>
  <si>
    <t>Licitación por Invitación Restringida</t>
  </si>
  <si>
    <t>3,642.95 M2</t>
  </si>
  <si>
    <t>1,200 M2</t>
  </si>
  <si>
    <t>9,522.21 M2</t>
  </si>
  <si>
    <t>5,960 M2</t>
  </si>
  <si>
    <t>Estatal Consejo Metropolitano</t>
  </si>
  <si>
    <t>8,833 M2</t>
  </si>
  <si>
    <t>Mireles</t>
  </si>
  <si>
    <t xml:space="preserve"> Delgado</t>
  </si>
  <si>
    <t>8,401 M2</t>
  </si>
  <si>
    <t>30,276 M2</t>
  </si>
  <si>
    <t>14,220 M2</t>
  </si>
  <si>
    <t>10,786 M2</t>
  </si>
  <si>
    <t>4,585 M2</t>
  </si>
  <si>
    <t>12,433 M2</t>
  </si>
  <si>
    <t>3,911.58 M2</t>
  </si>
  <si>
    <t>6,300 M2</t>
  </si>
  <si>
    <t xml:space="preserve">Ing.Carlos Manuel </t>
  </si>
  <si>
    <t xml:space="preserve">Bautista </t>
  </si>
  <si>
    <t>671.12 ML</t>
  </si>
  <si>
    <t>Colonia San Isidro</t>
  </si>
  <si>
    <t>132 ML</t>
  </si>
  <si>
    <t xml:space="preserve">Gómez </t>
  </si>
  <si>
    <t>426 M2</t>
  </si>
  <si>
    <t>Invitación a Cuando Menos Tres Personas</t>
  </si>
  <si>
    <t>Hábitat 2016</t>
  </si>
  <si>
    <t>3,200 M2</t>
  </si>
  <si>
    <t>796,102 M2</t>
  </si>
  <si>
    <t xml:space="preserve">Neri </t>
  </si>
  <si>
    <t>8,510 M2</t>
  </si>
  <si>
    <t>115 M2</t>
  </si>
  <si>
    <t>1,010 M2</t>
  </si>
  <si>
    <t>5,752 ML</t>
  </si>
  <si>
    <t>Colonia Unidad Fovissste y Colonia Santa Margarita I sección</t>
  </si>
  <si>
    <t>1,035 M2</t>
  </si>
  <si>
    <t xml:space="preserve">Arq. Gerardo </t>
  </si>
  <si>
    <t xml:space="preserve"> Arizaga</t>
  </si>
  <si>
    <t>Colonia La Arboleda</t>
  </si>
  <si>
    <t>3,033 M2</t>
  </si>
  <si>
    <t xml:space="preserve">Arq. Eduardo </t>
  </si>
  <si>
    <t xml:space="preserve">Laguna </t>
  </si>
  <si>
    <t>Evangelista</t>
  </si>
  <si>
    <t>822 M2</t>
  </si>
  <si>
    <t xml:space="preserve"> Ortiz</t>
  </si>
  <si>
    <t>2,982.85 M2</t>
  </si>
  <si>
    <t>Colonia Santa Margarita</t>
  </si>
  <si>
    <t>6,380 M2</t>
  </si>
  <si>
    <t>1 ESTUDIO</t>
  </si>
  <si>
    <t>Ing. Pablo</t>
  </si>
  <si>
    <t>3,200 ML</t>
  </si>
  <si>
    <t>733 ML</t>
  </si>
  <si>
    <t>2,918 ML</t>
  </si>
  <si>
    <t>1,921.33 M2</t>
  </si>
  <si>
    <t>1,754.05 M2</t>
  </si>
  <si>
    <t>1 LOTE</t>
  </si>
  <si>
    <t>Colonia Camichines Vallarta</t>
  </si>
  <si>
    <t>96 M2</t>
  </si>
  <si>
    <t xml:space="preserve">Ing. Martín </t>
  </si>
  <si>
    <t>Colonia El Tigre II</t>
  </si>
  <si>
    <t>796 M2</t>
  </si>
  <si>
    <t>1,502.75 M2</t>
  </si>
  <si>
    <t>Lomelí</t>
  </si>
  <si>
    <t>Col. Villas Perisur</t>
  </si>
  <si>
    <t>263 M2</t>
  </si>
  <si>
    <t xml:space="preserve"> Ortega</t>
  </si>
  <si>
    <t>3,000 M2</t>
  </si>
  <si>
    <t>Col. Constitución</t>
  </si>
  <si>
    <t>343 M2</t>
  </si>
  <si>
    <t>Col. Valle de Atemajac y Col. Villa de Guadalupe</t>
  </si>
  <si>
    <t>4,053 M2</t>
  </si>
  <si>
    <t>Col. El Colli y Col. Tabachines</t>
  </si>
  <si>
    <t>1,519 M2</t>
  </si>
  <si>
    <t>Col. Santa Ana Tepetitlán y Col. La Higuera</t>
  </si>
  <si>
    <t>148 ML</t>
  </si>
  <si>
    <t>Col. Colinas de San Javier</t>
  </si>
  <si>
    <t>3,244 M2</t>
  </si>
  <si>
    <t>Col. Santa Lucia</t>
  </si>
  <si>
    <t>50 M2</t>
  </si>
  <si>
    <t>Localidad Cerca Morada</t>
  </si>
  <si>
    <t>Colonia El Tizate</t>
  </si>
  <si>
    <t>515.8 ML</t>
  </si>
  <si>
    <t>Localidad Los Patios</t>
  </si>
  <si>
    <t>3,240 ML</t>
  </si>
  <si>
    <t>362.52 ML</t>
  </si>
  <si>
    <t>Colonia Indígena de Mezquitán I sección</t>
  </si>
  <si>
    <t>318.38 ML</t>
  </si>
  <si>
    <t>841.71 ML</t>
  </si>
  <si>
    <t>1,013.31 M2</t>
  </si>
  <si>
    <t>819.2 M2</t>
  </si>
  <si>
    <t>1,033.62 M2</t>
  </si>
  <si>
    <t>1,210 ML</t>
  </si>
  <si>
    <t>Colonia Arenales Tapatios</t>
  </si>
  <si>
    <t>870 ML</t>
  </si>
  <si>
    <t>Colonia Floresta del Colli y Colonia Nuevo México</t>
  </si>
  <si>
    <t>112 ML</t>
  </si>
  <si>
    <t>1,114.44 ML</t>
  </si>
  <si>
    <t>727.89 M2</t>
  </si>
  <si>
    <t>Colonia Cabañitas</t>
  </si>
  <si>
    <t>20 ML</t>
  </si>
  <si>
    <t>Localidad San Esteban</t>
  </si>
  <si>
    <t>1,285 ML</t>
  </si>
  <si>
    <t>Localidad Milpillas</t>
  </si>
  <si>
    <t>Colonia Fovissste</t>
  </si>
  <si>
    <t>1,380 M2</t>
  </si>
  <si>
    <t>Colonia Jardines del Sol</t>
  </si>
  <si>
    <t>1,461.14 M2</t>
  </si>
  <si>
    <t xml:space="preserve">Ing. Pablo </t>
  </si>
  <si>
    <t xml:space="preserve">Gutiérrez </t>
  </si>
  <si>
    <t>Colonia El Vergel, Colonia Santa Margarita y Localidad Santa Ana Tepatitlán</t>
  </si>
  <si>
    <t>1,270 M2</t>
  </si>
  <si>
    <t>Colonia Mesa Colorada</t>
  </si>
  <si>
    <t>660 ML</t>
  </si>
  <si>
    <t>Colonia Marcelino García Barragán</t>
  </si>
  <si>
    <t>447 ML</t>
  </si>
  <si>
    <t>1 SERVICIO</t>
  </si>
  <si>
    <t xml:space="preserve">Arq. Emmanuel </t>
  </si>
  <si>
    <t xml:space="preserve">Martínez </t>
  </si>
  <si>
    <t>Área(s) o unidad(es) administrativa(s) responsable(s) de la información: Jefatura de Informes y Control Presupuestal</t>
  </si>
  <si>
    <t>Contrato</t>
  </si>
  <si>
    <t>Obras Públicas del Municipio de Zapopan (actualizado enero-diciembre 2016)</t>
  </si>
  <si>
    <t>http://www.zapopan.gob.mx/wp-content/uploads/2017/05/Contrato_007_2016.pdf</t>
  </si>
  <si>
    <t>http://www.zapopan.gob.mx/wp-content/uploads/2017/05/Contrato_015_2016.pdf</t>
  </si>
  <si>
    <t>http://www.zapopan.gob.mx/wp-content/uploads/2017/01/015_16.pdf</t>
  </si>
  <si>
    <t>http://www.zapopan.gob.mx/wp-content/uploads/2017/02/DOPI_MUN_RP_PROY_CI_017_16.pdf</t>
  </si>
  <si>
    <t>http://www.zapopan.gob.mx/wp-content/uploads/2017/05/Contrato_019_2016.pdf</t>
  </si>
  <si>
    <t>http://www.zapopan.gob.mx/wp-content/uploads/2017/05/Contrato_020_2016-1.pdf</t>
  </si>
  <si>
    <t>http://www.zapopan.gob.mx/wp-content/uploads/2017/01/021_16.pdf</t>
  </si>
  <si>
    <t>http://www.zapopan.gob.mx/wp-content/uploads/2017/05/Contrato_022_2016.pdf</t>
  </si>
  <si>
    <t>http://www.zapopan.gob.mx/wp-content/uploads/2017/05/Contrato_024_2016.pdf</t>
  </si>
  <si>
    <t>http://www.zapopan.gob.mx/wp-content/uploads/2017/05/Contrato_030_2016.pdf</t>
  </si>
  <si>
    <t>http://www.zapopan.gob.mx/wp-content/uploads/2017/05/Contrato_033_2016.pdf</t>
  </si>
  <si>
    <t>http://www.zapopan.gob.mx/wp-content/uploads/2017/05/Contrato_035_2016.pdf</t>
  </si>
  <si>
    <t>http://www.zapopan.gob.mx/wp-content/uploads/2017/05/Contrato_064_2016.pdf</t>
  </si>
  <si>
    <t>http://www.zapopan.gob.mx/wp-content/uploads/2017/05/Contrato_108_2016.pdf</t>
  </si>
  <si>
    <t>http://www.zapopan.gob.mx/wp-content/uploads/2017/06/DOPI_005_2016.pdf</t>
  </si>
  <si>
    <t>http://www.zapopan.gob.mx/wp-content/uploads/2017/06/DOPI_012_2016.pdf</t>
  </si>
  <si>
    <t>http://www.zapopan.gob.mx/wp-content/uploads/2017/06/DOPI_054_2016.pdf</t>
  </si>
  <si>
    <t>http://www.zapopan.gob.mx/wp-content/uploads/2017/06/DOPI_102_2016.pdf</t>
  </si>
  <si>
    <t>http://www.zapopan.gob.mx/wp-content/uploads/2017/06/DOPI_105_2016.pdf</t>
  </si>
  <si>
    <t>http://www.zapopan.gob.mx/wp-content/uploads/2017/06/DOPI_107_2016.pdf</t>
  </si>
  <si>
    <t>http://www.zapopan.gob.mx/wp-content/uploads/2017/06/DOPI_119_2016.pdf</t>
  </si>
  <si>
    <t>http://www.zapopan.gob.mx/wp-content/uploads/2017/06/DOPI_230_2015.pdf</t>
  </si>
  <si>
    <t>http://www.zapopan.gob.mx/wp-content/uploads/2017/06/DOPI_231_2015.pdf</t>
  </si>
  <si>
    <t>http://www.zapopan.gob.mx/wp-content/uploads/2017/06/DOPI_232_2015.pdf</t>
  </si>
  <si>
    <t>http://www.zapopan.gob.mx/wp-content/uploads/2017/06/DOPI_236_2015.pdf</t>
  </si>
  <si>
    <t>http://www.zapopan.gob.mx/wp-content/uploads/2017/06/DOPI_237_2015.pdf</t>
  </si>
  <si>
    <t>http://www.zapopan.gob.mx/wp-content/uploads/2017/06/DOPI_239_2015.pdf</t>
  </si>
  <si>
    <t>http://www.zapopan.gob.mx/wp-content/uploads/2017/06/DOPI_240_2015.pdf</t>
  </si>
  <si>
    <t>http://www.zapopan.gob.mx/wp-content/uploads/2017/06/DOPI_241_2015.pdf</t>
  </si>
  <si>
    <t>http://www.zapopan.gob.mx/wp-content/uploads/2017/06/DOPI_243_2015.pdf</t>
  </si>
  <si>
    <t>Periodo de actualización de la información: JUNIO 2017</t>
  </si>
  <si>
    <t>Fecha de actualización: 05/07/2017</t>
  </si>
  <si>
    <t>Fecha de validación: 05/07/2017</t>
  </si>
  <si>
    <t>DOPI-MUN-R33-IH-AD-280-2016</t>
  </si>
  <si>
    <t>Construcción de línea de agua potable en la colonia Prados de Santa Lucía, primera etapa, municipio de Zapopan, Jalisco.</t>
  </si>
  <si>
    <t>Col. Prados de Santa Lucia</t>
  </si>
  <si>
    <t xml:space="preserve">RODOLFO </t>
  </si>
  <si>
    <t xml:space="preserve">VELAZQUEZ </t>
  </si>
  <si>
    <t>ORDOÑEZ</t>
  </si>
  <si>
    <t>VELAZQUEZ INGENIERIA ECOLOGICA, S.A. DE C.V.</t>
  </si>
  <si>
    <t>VIE110125RL4</t>
  </si>
  <si>
    <t>564 ML</t>
  </si>
  <si>
    <t>DOPI-MUN-R33-PAV-AD-281-2016</t>
  </si>
  <si>
    <t>Pavimentación con concreto hidráulico en la calle Manzanos, colonia Agua Fría, incluye: agua potable, drenaje sanitario, guarniciones, banquetas, accesibilidad y servicios complementarios, en el municipio de Zapopan, Jalisco, frente 1.</t>
  </si>
  <si>
    <t>Col. Agua Fría</t>
  </si>
  <si>
    <t>RAUL</t>
  </si>
  <si>
    <t xml:space="preserve">ORTEGA </t>
  </si>
  <si>
    <t>JARA</t>
  </si>
  <si>
    <t>CONSTRUCCIONES ANAYARI, S.A. DE C.V.</t>
  </si>
  <si>
    <t>1,031 M2</t>
  </si>
  <si>
    <t>DOPI-MUN-R33-PAV-AD-282-2016</t>
  </si>
  <si>
    <t>Pavimentación con concreto hidráulico en la calle Manzanos, colonia Agua Fría, incluye: agua potable, drenaje sanitario, guarniciones, banquetas, accesibilidad y servicios complementarios, en el municipio de Zapopan, Jalisco, frente 2.</t>
  </si>
  <si>
    <t>CARLOS</t>
  </si>
  <si>
    <t>PEREZ</t>
  </si>
  <si>
    <t>CRUZ</t>
  </si>
  <si>
    <t>CONSTRUCTORA PECRU, S.A. DE C.V.</t>
  </si>
  <si>
    <t>CPE070123PD4</t>
  </si>
  <si>
    <t>1,027 M2</t>
  </si>
  <si>
    <t>DOPI-MUN-R33-IH-AD-283-2016</t>
  </si>
  <si>
    <t>Construcción de línea drenaje sanitario en la calle Miguel Hidalgo, de calle Josefa Ortíz de Domínguez a Cerrada, en la colonia Indígena de Mezquitan Sección I, en el municipio de Zapopan, Jalisco.</t>
  </si>
  <si>
    <t>Col. Indígena de Mezquitán Sección I</t>
  </si>
  <si>
    <t>ABIMAEL</t>
  </si>
  <si>
    <t>MONTUFAR</t>
  </si>
  <si>
    <t>LOPEZ</t>
  </si>
  <si>
    <t>CONSTRUCTORA ACUIFERO, S.A. DE C.V.</t>
  </si>
  <si>
    <t>CAC1308225S7</t>
  </si>
  <si>
    <t>355 ML</t>
  </si>
</sst>
</file>

<file path=xl/styles.xml><?xml version="1.0" encoding="utf-8"?>
<styleSheet xmlns="http://schemas.openxmlformats.org/spreadsheetml/2006/main">
  <numFmts count="13">
    <numFmt numFmtId="44" formatCode="_-&quot;$&quot;* #,##0.00_-;\-&quot;$&quot;* #,##0.00_-;_-&quot;$&quot;* &quot;-&quot;??_-;_-@_-"/>
    <numFmt numFmtId="43" formatCode="_-* #,##0.00_-;\-* #,##0.00_-;_-* &quot;-&quot;??_-;_-@_-"/>
    <numFmt numFmtId="164" formatCode="&quot;$&quot;#,##0.00"/>
    <numFmt numFmtId="165" formatCode="_-[$€-2]* #,##0.00_-;\-[$€-2]* #,##0.00_-;_-[$€-2]* &quot;-&quot;??_-"/>
    <numFmt numFmtId="166" formatCode="_([$€-2]* #,##0.00_);_([$€-2]* \(#,##0.00\);_([$€-2]* &quot;-&quot;??_)"/>
    <numFmt numFmtId="167" formatCode="[$$-80A]#,##0.00"/>
    <numFmt numFmtId="168" formatCode="dd/mmmm/yyyy"/>
    <numFmt numFmtId="169" formatCode="_-* #,##0.00&quot; €&quot;_-;\-* #,##0.00&quot; €&quot;_-;_-* \-??&quot; €&quot;_-;_-@_-"/>
    <numFmt numFmtId="170" formatCode="[$-F800]dddd\,\ mmmm\ dd\,\ yyyy"/>
    <numFmt numFmtId="171" formatCode="d/mmmm"/>
    <numFmt numFmtId="172" formatCode="[$-80A]d&quot; de &quot;mmmm&quot; de &quot;yyyy;@"/>
    <numFmt numFmtId="173" formatCode="[$-80A]dddd\,\ dd&quot; de &quot;mmmm&quot; de &quot;yyyy"/>
    <numFmt numFmtId="174" formatCode="_(&quot;$&quot;* #,##0.00_);_(&quot;$&quot;* \(#,##0.00\);_(&quot;$&quot;* &quot;-&quot;??_);_(@_)"/>
  </numFmts>
  <fonts count="31">
    <font>
      <sz val="11"/>
      <color theme="1"/>
      <name val="Calibri"/>
      <family val="2"/>
      <scheme val="minor"/>
    </font>
    <font>
      <sz val="11"/>
      <color theme="1"/>
      <name val="Calibri"/>
      <family val="2"/>
      <scheme val="minor"/>
    </font>
    <font>
      <sz val="9"/>
      <color theme="1"/>
      <name val="Arial"/>
      <family val="2"/>
    </font>
    <font>
      <sz val="8"/>
      <color rgb="FF000000"/>
      <name val="Century Gothic"/>
      <family val="2"/>
    </font>
    <font>
      <sz val="8"/>
      <color theme="1"/>
      <name val="Century Gothic"/>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0"/>
      <color theme="1"/>
      <name val="Arial"/>
      <family val="2"/>
    </font>
    <font>
      <b/>
      <sz val="11"/>
      <color indexed="56"/>
      <name val="Calibri"/>
      <family val="2"/>
    </font>
    <font>
      <sz val="12"/>
      <color indexed="9"/>
      <name val="AvantGarde Bk BT"/>
      <family val="2"/>
    </font>
    <font>
      <sz val="11"/>
      <color indexed="62"/>
      <name val="Calibri"/>
      <family val="2"/>
    </font>
    <font>
      <sz val="10"/>
      <name val="Arial"/>
      <family val="2"/>
    </font>
    <font>
      <u/>
      <sz val="11"/>
      <color theme="10"/>
      <name val="Calibri"/>
      <family val="2"/>
    </font>
    <font>
      <u/>
      <sz val="11"/>
      <color theme="10"/>
      <name val="Calibri"/>
      <family val="2"/>
      <scheme val="minor"/>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8"/>
      <color indexed="56"/>
      <name val="Cambria"/>
      <family val="2"/>
    </font>
    <font>
      <b/>
      <sz val="11"/>
      <color indexed="8"/>
      <name val="Calibri"/>
      <family val="2"/>
    </font>
    <font>
      <b/>
      <sz val="9"/>
      <color rgb="FF000000"/>
      <name val="Century Gothic"/>
      <family val="2"/>
    </font>
    <font>
      <b/>
      <sz val="14"/>
      <color theme="1"/>
      <name val="Century Gothic"/>
      <family val="2"/>
    </font>
    <font>
      <u/>
      <sz val="8"/>
      <color theme="10"/>
      <name val="Century Gothic"/>
      <family val="2"/>
    </font>
    <font>
      <b/>
      <sz val="10"/>
      <color theme="1"/>
      <name val="Century Gothic"/>
      <family val="2"/>
    </font>
  </fonts>
  <fills count="2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8" tint="0.39997558519241921"/>
        <bgColor indexed="64"/>
      </patternFill>
    </fill>
  </fills>
  <borders count="20">
    <border>
      <left/>
      <right/>
      <top/>
      <bottom/>
      <diagonal/>
    </border>
    <border>
      <left style="dotted">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464">
    <xf numFmtId="0" fontId="0" fillId="0" borderId="0"/>
    <xf numFmtId="0" fontId="2" fillId="0" borderId="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6" fillId="15"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7" fillId="7" borderId="0" applyNumberFormat="0" applyBorder="0" applyAlignment="0" applyProtection="0"/>
    <xf numFmtId="0" fontId="8" fillId="19" borderId="2" applyNumberFormat="0" applyAlignment="0" applyProtection="0"/>
    <xf numFmtId="0" fontId="8" fillId="19" borderId="2" applyNumberFormat="0" applyAlignment="0" applyProtection="0"/>
    <xf numFmtId="0" fontId="8" fillId="19" borderId="2" applyNumberFormat="0" applyAlignment="0" applyProtection="0"/>
    <xf numFmtId="0" fontId="8" fillId="19" borderId="2" applyNumberFormat="0" applyAlignment="0" applyProtection="0"/>
    <xf numFmtId="0" fontId="8" fillId="19" borderId="2" applyNumberFormat="0" applyAlignment="0" applyProtection="0"/>
    <xf numFmtId="0" fontId="8" fillId="19" borderId="2" applyNumberFormat="0" applyAlignment="0" applyProtection="0"/>
    <xf numFmtId="0" fontId="8" fillId="19" borderId="2" applyNumberFormat="0" applyAlignment="0" applyProtection="0"/>
    <xf numFmtId="0" fontId="8" fillId="19" borderId="2" applyNumberFormat="0" applyAlignment="0" applyProtection="0"/>
    <xf numFmtId="0" fontId="8" fillId="19" borderId="2" applyNumberFormat="0" applyAlignment="0" applyProtection="0"/>
    <xf numFmtId="0" fontId="8" fillId="19" borderId="2" applyNumberFormat="0" applyAlignment="0" applyProtection="0"/>
    <xf numFmtId="0" fontId="8" fillId="19" borderId="2" applyNumberFormat="0" applyAlignment="0" applyProtection="0"/>
    <xf numFmtId="0" fontId="8" fillId="19" borderId="2" applyNumberFormat="0" applyAlignment="0" applyProtection="0"/>
    <xf numFmtId="0" fontId="8" fillId="19" borderId="2" applyNumberFormat="0" applyAlignment="0" applyProtection="0"/>
    <xf numFmtId="0" fontId="8" fillId="19" borderId="2" applyNumberFormat="0" applyAlignment="0" applyProtection="0"/>
    <xf numFmtId="0" fontId="8" fillId="19" borderId="2" applyNumberFormat="0" applyAlignment="0" applyProtection="0"/>
    <xf numFmtId="0" fontId="8" fillId="19" borderId="2" applyNumberFormat="0" applyAlignment="0" applyProtection="0"/>
    <xf numFmtId="0" fontId="8" fillId="19" borderId="2" applyNumberFormat="0" applyAlignment="0" applyProtection="0"/>
    <xf numFmtId="0" fontId="8" fillId="19" borderId="2" applyNumberFormat="0" applyAlignment="0" applyProtection="0"/>
    <xf numFmtId="0" fontId="8" fillId="19" borderId="2" applyNumberFormat="0" applyAlignment="0" applyProtection="0"/>
    <xf numFmtId="0" fontId="8" fillId="19" borderId="2" applyNumberFormat="0" applyAlignment="0" applyProtection="0"/>
    <xf numFmtId="0" fontId="8" fillId="19" borderId="2" applyNumberFormat="0" applyAlignment="0" applyProtection="0"/>
    <xf numFmtId="0" fontId="8" fillId="19" borderId="2" applyNumberFormat="0" applyAlignment="0" applyProtection="0"/>
    <xf numFmtId="0" fontId="8" fillId="19" borderId="2" applyNumberFormat="0" applyAlignment="0" applyProtection="0"/>
    <xf numFmtId="0" fontId="8" fillId="19" borderId="2" applyNumberFormat="0" applyAlignment="0" applyProtection="0"/>
    <xf numFmtId="0" fontId="8" fillId="19" borderId="2" applyNumberFormat="0" applyAlignment="0" applyProtection="0"/>
    <xf numFmtId="0" fontId="8" fillId="19" borderId="2" applyNumberFormat="0" applyAlignment="0" applyProtection="0"/>
    <xf numFmtId="0" fontId="8" fillId="19" borderId="2" applyNumberFormat="0" applyAlignment="0" applyProtection="0"/>
    <xf numFmtId="0" fontId="8" fillId="19" borderId="2" applyNumberFormat="0" applyAlignment="0" applyProtection="0"/>
    <xf numFmtId="0" fontId="8" fillId="19" borderId="2" applyNumberFormat="0" applyAlignment="0" applyProtection="0"/>
    <xf numFmtId="0" fontId="8" fillId="19" borderId="2" applyNumberFormat="0" applyAlignment="0" applyProtection="0"/>
    <xf numFmtId="0" fontId="8" fillId="19" borderId="2" applyNumberFormat="0" applyAlignment="0" applyProtection="0"/>
    <xf numFmtId="0" fontId="8" fillId="19" borderId="2" applyNumberFormat="0" applyAlignment="0" applyProtection="0"/>
    <xf numFmtId="0" fontId="8" fillId="19" borderId="2" applyNumberFormat="0" applyAlignment="0" applyProtection="0"/>
    <xf numFmtId="0" fontId="8" fillId="19" borderId="2" applyNumberFormat="0" applyAlignment="0" applyProtection="0"/>
    <xf numFmtId="0" fontId="8" fillId="19" borderId="2" applyNumberFormat="0" applyAlignment="0" applyProtection="0"/>
    <xf numFmtId="0" fontId="8" fillId="19" borderId="2" applyNumberFormat="0" applyAlignment="0" applyProtection="0"/>
    <xf numFmtId="0" fontId="8" fillId="19" borderId="2" applyNumberFormat="0" applyAlignment="0" applyProtection="0"/>
    <xf numFmtId="0" fontId="8" fillId="19" borderId="2" applyNumberFormat="0" applyAlignment="0" applyProtection="0"/>
    <xf numFmtId="0" fontId="8" fillId="19" borderId="2" applyNumberFormat="0" applyAlignment="0" applyProtection="0"/>
    <xf numFmtId="0" fontId="8" fillId="19" borderId="2" applyNumberFormat="0" applyAlignment="0" applyProtection="0"/>
    <xf numFmtId="0" fontId="8" fillId="19" borderId="2" applyNumberFormat="0" applyAlignment="0" applyProtection="0"/>
    <xf numFmtId="0" fontId="8" fillId="19" borderId="2" applyNumberFormat="0" applyAlignment="0" applyProtection="0"/>
    <xf numFmtId="0" fontId="8" fillId="19" borderId="2" applyNumberFormat="0" applyAlignment="0" applyProtection="0"/>
    <xf numFmtId="0" fontId="8" fillId="19" borderId="2" applyNumberFormat="0" applyAlignment="0" applyProtection="0"/>
    <xf numFmtId="0" fontId="8" fillId="19" borderId="2" applyNumberFormat="0" applyAlignment="0" applyProtection="0"/>
    <xf numFmtId="0" fontId="8" fillId="19" borderId="2" applyNumberFormat="0" applyAlignment="0" applyProtection="0"/>
    <xf numFmtId="0" fontId="8" fillId="19" borderId="2" applyNumberFormat="0" applyAlignment="0" applyProtection="0"/>
    <xf numFmtId="0" fontId="8" fillId="19" borderId="2" applyNumberFormat="0" applyAlignment="0" applyProtection="0"/>
    <xf numFmtId="0" fontId="8" fillId="19" borderId="2" applyNumberFormat="0" applyAlignment="0" applyProtection="0"/>
    <xf numFmtId="0" fontId="8" fillId="19" borderId="2" applyNumberFormat="0" applyAlignment="0" applyProtection="0"/>
    <xf numFmtId="0" fontId="8" fillId="19" borderId="2" applyNumberFormat="0" applyAlignment="0" applyProtection="0"/>
    <xf numFmtId="0" fontId="8" fillId="19" borderId="2" applyNumberFormat="0" applyAlignment="0" applyProtection="0"/>
    <xf numFmtId="0" fontId="8" fillId="19" borderId="2" applyNumberFormat="0" applyAlignment="0" applyProtection="0"/>
    <xf numFmtId="0" fontId="8" fillId="19" borderId="2" applyNumberFormat="0" applyAlignment="0" applyProtection="0"/>
    <xf numFmtId="0" fontId="9" fillId="20" borderId="3" applyNumberFormat="0" applyAlignment="0" applyProtection="0"/>
    <xf numFmtId="0" fontId="10" fillId="0" borderId="4" applyNumberFormat="0" applyFill="0" applyAlignment="0" applyProtection="0"/>
    <xf numFmtId="43" fontId="1" fillId="0" borderId="0" applyFont="0" applyFill="0" applyBorder="0" applyAlignment="0" applyProtection="0"/>
    <xf numFmtId="43" fontId="1" fillId="0" borderId="0" applyFont="0" applyFill="0" applyBorder="0" applyAlignment="0" applyProtection="0"/>
    <xf numFmtId="44" fontId="11" fillId="0" borderId="0" applyFont="0" applyFill="0" applyBorder="0" applyAlignment="0" applyProtection="0"/>
    <xf numFmtId="0" fontId="12" fillId="0" borderId="0" applyNumberFormat="0" applyFill="0" applyBorder="0" applyAlignment="0" applyProtection="0"/>
    <xf numFmtId="0" fontId="13" fillId="21"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4" borderId="0" applyNumberFormat="0" applyBorder="0" applyAlignment="0" applyProtection="0"/>
    <xf numFmtId="0" fontId="14" fillId="10" borderId="2" applyNumberFormat="0" applyAlignment="0" applyProtection="0"/>
    <xf numFmtId="0" fontId="14" fillId="10" borderId="2" applyNumberFormat="0" applyAlignment="0" applyProtection="0"/>
    <xf numFmtId="0" fontId="14" fillId="10" borderId="2" applyNumberFormat="0" applyAlignment="0" applyProtection="0"/>
    <xf numFmtId="0" fontId="14" fillId="10" borderId="2" applyNumberFormat="0" applyAlignment="0" applyProtection="0"/>
    <xf numFmtId="0" fontId="14" fillId="10" borderId="2" applyNumberFormat="0" applyAlignment="0" applyProtection="0"/>
    <xf numFmtId="0" fontId="14" fillId="10" borderId="2" applyNumberFormat="0" applyAlignment="0" applyProtection="0"/>
    <xf numFmtId="0" fontId="14" fillId="10" borderId="2" applyNumberFormat="0" applyAlignment="0" applyProtection="0"/>
    <xf numFmtId="0" fontId="14" fillId="10" borderId="2" applyNumberFormat="0" applyAlignment="0" applyProtection="0"/>
    <xf numFmtId="0" fontId="14" fillId="10" borderId="2" applyNumberFormat="0" applyAlignment="0" applyProtection="0"/>
    <xf numFmtId="0" fontId="14" fillId="10" borderId="2" applyNumberFormat="0" applyAlignment="0" applyProtection="0"/>
    <xf numFmtId="0" fontId="14" fillId="10" borderId="2" applyNumberFormat="0" applyAlignment="0" applyProtection="0"/>
    <xf numFmtId="0" fontId="14" fillId="10" borderId="2" applyNumberFormat="0" applyAlignment="0" applyProtection="0"/>
    <xf numFmtId="0" fontId="14" fillId="10" borderId="2" applyNumberFormat="0" applyAlignment="0" applyProtection="0"/>
    <xf numFmtId="0" fontId="14" fillId="10" borderId="2" applyNumberFormat="0" applyAlignment="0" applyProtection="0"/>
    <xf numFmtId="0" fontId="14" fillId="10" borderId="2" applyNumberFormat="0" applyAlignment="0" applyProtection="0"/>
    <xf numFmtId="0" fontId="14" fillId="10" borderId="2" applyNumberFormat="0" applyAlignment="0" applyProtection="0"/>
    <xf numFmtId="0" fontId="14" fillId="10" borderId="2" applyNumberFormat="0" applyAlignment="0" applyProtection="0"/>
    <xf numFmtId="0" fontId="14" fillId="10" borderId="2" applyNumberFormat="0" applyAlignment="0" applyProtection="0"/>
    <xf numFmtId="0" fontId="14" fillId="10" borderId="2" applyNumberFormat="0" applyAlignment="0" applyProtection="0"/>
    <xf numFmtId="0" fontId="14" fillId="10" borderId="2" applyNumberFormat="0" applyAlignment="0" applyProtection="0"/>
    <xf numFmtId="0" fontId="14" fillId="10" borderId="2" applyNumberFormat="0" applyAlignment="0" applyProtection="0"/>
    <xf numFmtId="0" fontId="14" fillId="10" borderId="2" applyNumberFormat="0" applyAlignment="0" applyProtection="0"/>
    <xf numFmtId="0" fontId="14" fillId="10" borderId="2" applyNumberFormat="0" applyAlignment="0" applyProtection="0"/>
    <xf numFmtId="0" fontId="14" fillId="10" borderId="2" applyNumberFormat="0" applyAlignment="0" applyProtection="0"/>
    <xf numFmtId="0" fontId="14" fillId="10" borderId="2" applyNumberFormat="0" applyAlignment="0" applyProtection="0"/>
    <xf numFmtId="0" fontId="14" fillId="10" borderId="2" applyNumberFormat="0" applyAlignment="0" applyProtection="0"/>
    <xf numFmtId="0" fontId="14" fillId="10" borderId="2" applyNumberFormat="0" applyAlignment="0" applyProtection="0"/>
    <xf numFmtId="0" fontId="14" fillId="10" borderId="2" applyNumberFormat="0" applyAlignment="0" applyProtection="0"/>
    <xf numFmtId="0" fontId="14" fillId="10" borderId="2" applyNumberFormat="0" applyAlignment="0" applyProtection="0"/>
    <xf numFmtId="0" fontId="14" fillId="10" borderId="2" applyNumberFormat="0" applyAlignment="0" applyProtection="0"/>
    <xf numFmtId="0" fontId="14" fillId="10" borderId="2" applyNumberFormat="0" applyAlignment="0" applyProtection="0"/>
    <xf numFmtId="0" fontId="14" fillId="10" borderId="2" applyNumberFormat="0" applyAlignment="0" applyProtection="0"/>
    <xf numFmtId="0" fontId="14" fillId="10" borderId="2" applyNumberFormat="0" applyAlignment="0" applyProtection="0"/>
    <xf numFmtId="0" fontId="14" fillId="10" borderId="2" applyNumberFormat="0" applyAlignment="0" applyProtection="0"/>
    <xf numFmtId="0" fontId="14" fillId="10" borderId="2" applyNumberFormat="0" applyAlignment="0" applyProtection="0"/>
    <xf numFmtId="0" fontId="14" fillId="10" borderId="2" applyNumberFormat="0" applyAlignment="0" applyProtection="0"/>
    <xf numFmtId="0" fontId="14" fillId="10" borderId="2" applyNumberFormat="0" applyAlignment="0" applyProtection="0"/>
    <xf numFmtId="0" fontId="14" fillId="10" borderId="2" applyNumberFormat="0" applyAlignment="0" applyProtection="0"/>
    <xf numFmtId="0" fontId="14" fillId="10" borderId="2" applyNumberFormat="0" applyAlignment="0" applyProtection="0"/>
    <xf numFmtId="0" fontId="14" fillId="10" borderId="2" applyNumberFormat="0" applyAlignment="0" applyProtection="0"/>
    <xf numFmtId="0" fontId="14" fillId="10" borderId="2" applyNumberFormat="0" applyAlignment="0" applyProtection="0"/>
    <xf numFmtId="0" fontId="14" fillId="10" borderId="2" applyNumberFormat="0" applyAlignment="0" applyProtection="0"/>
    <xf numFmtId="0" fontId="14" fillId="10" borderId="2" applyNumberFormat="0" applyAlignment="0" applyProtection="0"/>
    <xf numFmtId="0" fontId="14" fillId="10" borderId="2" applyNumberFormat="0" applyAlignment="0" applyProtection="0"/>
    <xf numFmtId="0" fontId="14" fillId="10" borderId="2" applyNumberFormat="0" applyAlignment="0" applyProtection="0"/>
    <xf numFmtId="0" fontId="14" fillId="10" borderId="2" applyNumberFormat="0" applyAlignment="0" applyProtection="0"/>
    <xf numFmtId="0" fontId="14" fillId="10" borderId="2" applyNumberFormat="0" applyAlignment="0" applyProtection="0"/>
    <xf numFmtId="0" fontId="14" fillId="10" borderId="2" applyNumberFormat="0" applyAlignment="0" applyProtection="0"/>
    <xf numFmtId="0" fontId="14" fillId="10" borderId="2" applyNumberFormat="0" applyAlignment="0" applyProtection="0"/>
    <xf numFmtId="0" fontId="14" fillId="10" borderId="2" applyNumberFormat="0" applyAlignment="0" applyProtection="0"/>
    <xf numFmtId="0" fontId="14" fillId="10" borderId="2" applyNumberFormat="0" applyAlignment="0" applyProtection="0"/>
    <xf numFmtId="0" fontId="14" fillId="10" borderId="2" applyNumberFormat="0" applyAlignment="0" applyProtection="0"/>
    <xf numFmtId="0" fontId="14" fillId="10" borderId="2" applyNumberFormat="0" applyAlignment="0" applyProtection="0"/>
    <xf numFmtId="0" fontId="14" fillId="10" borderId="2" applyNumberFormat="0" applyAlignment="0" applyProtection="0"/>
    <xf numFmtId="165"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0" fontId="15" fillId="0" borderId="0" applyFont="0" applyFill="0" applyBorder="0" applyAlignment="0" applyProtection="0"/>
    <xf numFmtId="165" fontId="15" fillId="0" borderId="0" applyFont="0" applyFill="0" applyBorder="0" applyAlignment="0" applyProtection="0"/>
    <xf numFmtId="166"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0" fontId="15" fillId="0" borderId="0" applyFont="0" applyFill="0" applyBorder="0" applyAlignment="0" applyProtection="0"/>
    <xf numFmtId="166" fontId="15" fillId="0" borderId="0" applyFont="0" applyFill="0" applyBorder="0" applyAlignment="0" applyProtection="0"/>
    <xf numFmtId="0" fontId="15" fillId="0" borderId="0" applyFont="0" applyFill="0" applyBorder="0" applyAlignment="0" applyProtection="0"/>
    <xf numFmtId="166" fontId="15" fillId="0" borderId="0" applyFont="0" applyFill="0" applyBorder="0" applyAlignment="0" applyProtection="0"/>
    <xf numFmtId="0"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5" fontId="15" fillId="0" borderId="0" applyFont="0" applyFill="0" applyBorder="0" applyAlignment="0" applyProtection="0"/>
    <xf numFmtId="0" fontId="16" fillId="0" borderId="0" applyNumberFormat="0" applyFill="0" applyBorder="0" applyAlignment="0" applyProtection="0">
      <alignment vertical="top"/>
      <protection locked="0"/>
    </xf>
    <xf numFmtId="0" fontId="17" fillId="0" borderId="0" applyNumberFormat="0" applyFill="0" applyBorder="0" applyAlignment="0" applyProtection="0"/>
    <xf numFmtId="0" fontId="18" fillId="6" borderId="0" applyNumberFormat="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7"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168" fontId="15" fillId="0" borderId="0" applyFont="0" applyFill="0" applyBorder="0" applyAlignment="0" applyProtection="0"/>
    <xf numFmtId="167" fontId="15" fillId="0" borderId="0" applyFont="0" applyFill="0" applyBorder="0" applyAlignment="0" applyProtection="0"/>
    <xf numFmtId="168"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169" fontId="15" fillId="0" borderId="0" applyFill="0" applyBorder="0" applyAlignment="0" applyProtection="0"/>
    <xf numFmtId="44" fontId="15" fillId="0" borderId="0" applyFont="0" applyFill="0" applyBorder="0" applyAlignment="0" applyProtection="0"/>
    <xf numFmtId="170"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71" fontId="15" fillId="0" borderId="0" applyFont="0" applyFill="0" applyBorder="0" applyAlignment="0" applyProtection="0"/>
    <xf numFmtId="44" fontId="15" fillId="0" borderId="0" applyFont="0" applyFill="0" applyBorder="0" applyAlignment="0" applyProtection="0"/>
    <xf numFmtId="171" fontId="15" fillId="0" borderId="0" applyFont="0" applyFill="0" applyBorder="0" applyAlignment="0" applyProtection="0"/>
    <xf numFmtId="44"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0" fontId="15" fillId="0" borderId="0" applyFont="0" applyFill="0" applyBorder="0" applyAlignment="0" applyProtection="0"/>
    <xf numFmtId="44"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2" fontId="15" fillId="0" borderId="0" applyFont="0" applyFill="0" applyBorder="0" applyAlignment="0" applyProtection="0"/>
    <xf numFmtId="173" fontId="15" fillId="0" borderId="0" applyFont="0" applyFill="0" applyBorder="0" applyAlignment="0" applyProtection="0"/>
    <xf numFmtId="166" fontId="15" fillId="0" borderId="0" applyFont="0" applyFill="0" applyBorder="0" applyAlignment="0" applyProtection="0"/>
    <xf numFmtId="0"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7" fontId="15" fillId="0" borderId="0" applyFont="0" applyFill="0" applyBorder="0" applyAlignment="0" applyProtection="0"/>
    <xf numFmtId="0" fontId="19" fillId="25"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5" fillId="0" borderId="0"/>
    <xf numFmtId="0" fontId="15" fillId="0" borderId="0"/>
    <xf numFmtId="0" fontId="15" fillId="0" borderId="0"/>
    <xf numFmtId="0" fontId="15" fillId="0" borderId="0"/>
    <xf numFmtId="0" fontId="15"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15" fillId="0" borderId="0"/>
    <xf numFmtId="0" fontId="15" fillId="0" borderId="0"/>
    <xf numFmtId="0" fontId="15" fillId="26" borderId="5" applyNumberFormat="0" applyFont="0" applyAlignment="0" applyProtection="0"/>
    <xf numFmtId="0" fontId="15" fillId="26" borderId="5" applyNumberFormat="0" applyFont="0" applyAlignment="0" applyProtection="0"/>
    <xf numFmtId="0" fontId="15" fillId="26" borderId="5" applyNumberFormat="0" applyFont="0" applyAlignment="0" applyProtection="0"/>
    <xf numFmtId="0" fontId="15" fillId="26" borderId="5" applyNumberFormat="0" applyFont="0" applyAlignment="0" applyProtection="0"/>
    <xf numFmtId="0" fontId="15" fillId="26" borderId="5" applyNumberFormat="0" applyFont="0" applyAlignment="0" applyProtection="0"/>
    <xf numFmtId="0" fontId="15" fillId="26" borderId="5" applyNumberFormat="0" applyFont="0" applyAlignment="0" applyProtection="0"/>
    <xf numFmtId="0" fontId="15" fillId="26" borderId="5" applyNumberFormat="0" applyFont="0" applyAlignment="0" applyProtection="0"/>
    <xf numFmtId="0" fontId="15" fillId="26" borderId="5" applyNumberFormat="0" applyFont="0" applyAlignment="0" applyProtection="0"/>
    <xf numFmtId="0" fontId="15" fillId="26" borderId="5" applyNumberFormat="0" applyFont="0" applyAlignment="0" applyProtection="0"/>
    <xf numFmtId="0" fontId="15" fillId="26" borderId="5" applyNumberFormat="0" applyFont="0" applyAlignment="0" applyProtection="0"/>
    <xf numFmtId="0" fontId="15" fillId="26" borderId="5" applyNumberFormat="0" applyFont="0" applyAlignment="0" applyProtection="0"/>
    <xf numFmtId="0" fontId="15" fillId="26" borderId="5" applyNumberFormat="0" applyFont="0" applyAlignment="0" applyProtection="0"/>
    <xf numFmtId="0" fontId="15" fillId="26" borderId="5" applyNumberFormat="0" applyFont="0" applyAlignment="0" applyProtection="0"/>
    <xf numFmtId="0" fontId="15" fillId="26" borderId="5" applyNumberFormat="0" applyFont="0" applyAlignment="0" applyProtection="0"/>
    <xf numFmtId="0" fontId="15" fillId="26" borderId="5" applyNumberFormat="0" applyFont="0" applyAlignment="0" applyProtection="0"/>
    <xf numFmtId="0" fontId="15" fillId="26" borderId="5" applyNumberFormat="0" applyFont="0" applyAlignment="0" applyProtection="0"/>
    <xf numFmtId="0" fontId="15" fillId="26" borderId="5" applyNumberFormat="0" applyFont="0" applyAlignment="0" applyProtection="0"/>
    <xf numFmtId="0" fontId="15" fillId="26" borderId="5" applyNumberFormat="0" applyFont="0" applyAlignment="0" applyProtection="0"/>
    <xf numFmtId="0" fontId="15" fillId="26" borderId="5" applyNumberFormat="0" applyFont="0" applyAlignment="0" applyProtection="0"/>
    <xf numFmtId="0" fontId="15" fillId="26" borderId="5" applyNumberFormat="0" applyFont="0" applyAlignment="0" applyProtection="0"/>
    <xf numFmtId="0" fontId="15" fillId="26" borderId="5" applyNumberFormat="0" applyFont="0" applyAlignment="0" applyProtection="0"/>
    <xf numFmtId="0" fontId="15" fillId="26" borderId="5" applyNumberFormat="0" applyFont="0" applyAlignment="0" applyProtection="0"/>
    <xf numFmtId="0" fontId="15" fillId="26" borderId="5" applyNumberFormat="0" applyFont="0" applyAlignment="0" applyProtection="0"/>
    <xf numFmtId="0" fontId="15" fillId="26" borderId="5" applyNumberFormat="0" applyFont="0" applyAlignment="0" applyProtection="0"/>
    <xf numFmtId="0" fontId="15" fillId="26" borderId="5" applyNumberFormat="0" applyFont="0" applyAlignment="0" applyProtection="0"/>
    <xf numFmtId="0" fontId="15" fillId="26" borderId="5" applyNumberFormat="0" applyFont="0" applyAlignment="0" applyProtection="0"/>
    <xf numFmtId="0" fontId="15" fillId="26" borderId="5" applyNumberFormat="0" applyFont="0" applyAlignment="0" applyProtection="0"/>
    <xf numFmtId="0" fontId="15" fillId="26" borderId="5" applyNumberFormat="0" applyFont="0" applyAlignment="0" applyProtection="0"/>
    <xf numFmtId="0" fontId="15" fillId="26" borderId="5" applyNumberFormat="0" applyFont="0" applyAlignment="0" applyProtection="0"/>
    <xf numFmtId="0" fontId="15" fillId="26" borderId="5" applyNumberFormat="0" applyFont="0" applyAlignment="0" applyProtection="0"/>
    <xf numFmtId="0" fontId="15" fillId="26" borderId="5" applyNumberFormat="0" applyFont="0" applyAlignment="0" applyProtection="0"/>
    <xf numFmtId="0" fontId="15" fillId="26" borderId="5" applyNumberFormat="0" applyFont="0" applyAlignment="0" applyProtection="0"/>
    <xf numFmtId="0" fontId="15" fillId="26" borderId="5" applyNumberFormat="0" applyFont="0" applyAlignment="0" applyProtection="0"/>
    <xf numFmtId="0" fontId="15" fillId="26" borderId="5" applyNumberFormat="0" applyFont="0" applyAlignment="0" applyProtection="0"/>
    <xf numFmtId="0" fontId="15" fillId="26" borderId="5" applyNumberFormat="0" applyFont="0" applyAlignment="0" applyProtection="0"/>
    <xf numFmtId="0" fontId="15" fillId="26" borderId="5" applyNumberFormat="0" applyFont="0" applyAlignment="0" applyProtection="0"/>
    <xf numFmtId="0" fontId="15" fillId="26" borderId="5" applyNumberFormat="0" applyFont="0" applyAlignment="0" applyProtection="0"/>
    <xf numFmtId="0" fontId="15" fillId="26" borderId="5" applyNumberFormat="0" applyFont="0" applyAlignment="0" applyProtection="0"/>
    <xf numFmtId="0" fontId="15" fillId="26" borderId="5" applyNumberFormat="0" applyFont="0" applyAlignment="0" applyProtection="0"/>
    <xf numFmtId="0" fontId="15" fillId="26" borderId="5" applyNumberFormat="0" applyFont="0" applyAlignment="0" applyProtection="0"/>
    <xf numFmtId="0" fontId="15" fillId="26" borderId="5" applyNumberFormat="0" applyFont="0" applyAlignment="0" applyProtection="0"/>
    <xf numFmtId="0" fontId="15" fillId="26" borderId="5" applyNumberFormat="0" applyFont="0" applyAlignment="0" applyProtection="0"/>
    <xf numFmtId="0" fontId="15" fillId="26" borderId="5" applyNumberFormat="0" applyFont="0" applyAlignment="0" applyProtection="0"/>
    <xf numFmtId="0" fontId="15" fillId="26" borderId="5" applyNumberFormat="0" applyFont="0" applyAlignment="0" applyProtection="0"/>
    <xf numFmtId="0" fontId="15" fillId="26" borderId="5" applyNumberFormat="0" applyFont="0" applyAlignment="0" applyProtection="0"/>
    <xf numFmtId="0" fontId="15" fillId="26" borderId="5" applyNumberFormat="0" applyFont="0" applyAlignment="0" applyProtection="0"/>
    <xf numFmtId="0" fontId="15" fillId="26" borderId="5" applyNumberFormat="0" applyFont="0" applyAlignment="0" applyProtection="0"/>
    <xf numFmtId="0" fontId="15" fillId="26" borderId="5" applyNumberFormat="0" applyFont="0" applyAlignment="0" applyProtection="0"/>
    <xf numFmtId="0" fontId="15" fillId="26" borderId="5" applyNumberFormat="0" applyFont="0" applyAlignment="0" applyProtection="0"/>
    <xf numFmtId="0" fontId="15" fillId="26" borderId="5" applyNumberFormat="0" applyFont="0" applyAlignment="0" applyProtection="0"/>
    <xf numFmtId="0" fontId="15" fillId="26" borderId="5" applyNumberFormat="0" applyFont="0" applyAlignment="0" applyProtection="0"/>
    <xf numFmtId="0" fontId="15" fillId="26" borderId="5" applyNumberFormat="0" applyFont="0" applyAlignment="0" applyProtection="0"/>
    <xf numFmtId="0" fontId="15" fillId="26" borderId="5" applyNumberFormat="0" applyFont="0" applyAlignment="0" applyProtection="0"/>
    <xf numFmtId="0" fontId="15" fillId="26" borderId="5" applyNumberFormat="0" applyFont="0" applyAlignment="0" applyProtection="0"/>
    <xf numFmtId="9" fontId="15" fillId="0" borderId="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3" fillId="0" borderId="7" applyNumberFormat="0" applyFill="0" applyAlignment="0" applyProtection="0"/>
    <xf numFmtId="0" fontId="24" fillId="0" borderId="8" applyNumberFormat="0" applyFill="0" applyAlignment="0" applyProtection="0"/>
    <xf numFmtId="0" fontId="12" fillId="0" borderId="9" applyNumberFormat="0" applyFill="0" applyAlignment="0" applyProtection="0"/>
    <xf numFmtId="0" fontId="25" fillId="0" borderId="0" applyNumberFormat="0" applyFill="0" applyBorder="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174" fontId="15" fillId="0" borderId="0" applyFont="0" applyFill="0" applyBorder="0" applyAlignment="0" applyProtection="0"/>
    <xf numFmtId="0" fontId="1" fillId="0" borderId="0"/>
    <xf numFmtId="0" fontId="1" fillId="0" borderId="0"/>
    <xf numFmtId="0" fontId="1" fillId="0" borderId="0"/>
    <xf numFmtId="0" fontId="1" fillId="0" borderId="0"/>
    <xf numFmtId="0" fontId="16" fillId="0" borderId="0" applyNumberFormat="0" applyFill="0" applyBorder="0" applyAlignment="0" applyProtection="0">
      <alignment vertical="top"/>
      <protection locked="0"/>
    </xf>
    <xf numFmtId="0" fontId="8" fillId="19" borderId="2" applyNumberFormat="0" applyAlignment="0" applyProtection="0"/>
    <xf numFmtId="0" fontId="8" fillId="19" borderId="2" applyNumberFormat="0" applyAlignment="0" applyProtection="0"/>
    <xf numFmtId="0" fontId="8" fillId="19" borderId="2" applyNumberFormat="0" applyAlignment="0" applyProtection="0"/>
    <xf numFmtId="0" fontId="8" fillId="19" borderId="2" applyNumberFormat="0" applyAlignment="0" applyProtection="0"/>
    <xf numFmtId="0" fontId="8" fillId="19" borderId="2" applyNumberFormat="0" applyAlignment="0" applyProtection="0"/>
    <xf numFmtId="0" fontId="8" fillId="19" borderId="2" applyNumberFormat="0" applyAlignment="0" applyProtection="0"/>
    <xf numFmtId="0" fontId="8" fillId="19" borderId="2" applyNumberFormat="0" applyAlignment="0" applyProtection="0"/>
    <xf numFmtId="0" fontId="8" fillId="19" borderId="2" applyNumberFormat="0" applyAlignment="0" applyProtection="0"/>
    <xf numFmtId="0" fontId="8" fillId="19" borderId="2" applyNumberFormat="0" applyAlignment="0" applyProtection="0"/>
    <xf numFmtId="0" fontId="8" fillId="19" borderId="2" applyNumberFormat="0" applyAlignment="0" applyProtection="0"/>
    <xf numFmtId="0" fontId="8" fillId="19" borderId="2" applyNumberFormat="0" applyAlignment="0" applyProtection="0"/>
    <xf numFmtId="0" fontId="8" fillId="19" borderId="2" applyNumberFormat="0" applyAlignment="0" applyProtection="0"/>
    <xf numFmtId="0" fontId="8" fillId="19" borderId="2" applyNumberFormat="0" applyAlignment="0" applyProtection="0"/>
    <xf numFmtId="0" fontId="8" fillId="19" borderId="2" applyNumberFormat="0" applyAlignment="0" applyProtection="0"/>
    <xf numFmtId="0" fontId="8" fillId="19" borderId="2" applyNumberFormat="0" applyAlignment="0" applyProtection="0"/>
    <xf numFmtId="0" fontId="8" fillId="19" borderId="2" applyNumberFormat="0" applyAlignment="0" applyProtection="0"/>
    <xf numFmtId="0" fontId="8" fillId="19" borderId="2" applyNumberFormat="0" applyAlignment="0" applyProtection="0"/>
    <xf numFmtId="0" fontId="8" fillId="19" borderId="2" applyNumberFormat="0" applyAlignment="0" applyProtection="0"/>
    <xf numFmtId="0" fontId="14" fillId="10" borderId="2" applyNumberFormat="0" applyAlignment="0" applyProtection="0"/>
    <xf numFmtId="0" fontId="14" fillId="10" borderId="2" applyNumberFormat="0" applyAlignment="0" applyProtection="0"/>
    <xf numFmtId="0" fontId="14" fillId="10" borderId="2" applyNumberFormat="0" applyAlignment="0" applyProtection="0"/>
    <xf numFmtId="0" fontId="14" fillId="10" borderId="2" applyNumberFormat="0" applyAlignment="0" applyProtection="0"/>
    <xf numFmtId="0" fontId="14" fillId="10" borderId="2" applyNumberFormat="0" applyAlignment="0" applyProtection="0"/>
    <xf numFmtId="0" fontId="14" fillId="10" borderId="2" applyNumberFormat="0" applyAlignment="0" applyProtection="0"/>
    <xf numFmtId="0" fontId="14" fillId="10" borderId="2" applyNumberFormat="0" applyAlignment="0" applyProtection="0"/>
    <xf numFmtId="0" fontId="14" fillId="10" borderId="2" applyNumberFormat="0" applyAlignment="0" applyProtection="0"/>
    <xf numFmtId="0" fontId="14" fillId="10" borderId="2" applyNumberFormat="0" applyAlignment="0" applyProtection="0"/>
    <xf numFmtId="0" fontId="14" fillId="10" borderId="2" applyNumberFormat="0" applyAlignment="0" applyProtection="0"/>
    <xf numFmtId="0" fontId="14" fillId="10" borderId="2" applyNumberFormat="0" applyAlignment="0" applyProtection="0"/>
    <xf numFmtId="0" fontId="14" fillId="10" borderId="2" applyNumberFormat="0" applyAlignment="0" applyProtection="0"/>
    <xf numFmtId="0" fontId="14" fillId="10" borderId="2" applyNumberFormat="0" applyAlignment="0" applyProtection="0"/>
    <xf numFmtId="0" fontId="14" fillId="10" borderId="2" applyNumberFormat="0" applyAlignment="0" applyProtection="0"/>
    <xf numFmtId="0" fontId="14" fillId="10" borderId="2" applyNumberFormat="0" applyAlignment="0" applyProtection="0"/>
    <xf numFmtId="0" fontId="14" fillId="10" borderId="2" applyNumberFormat="0" applyAlignment="0" applyProtection="0"/>
    <xf numFmtId="0" fontId="14" fillId="10" borderId="2" applyNumberFormat="0" applyAlignment="0" applyProtection="0"/>
    <xf numFmtId="0" fontId="14" fillId="10" borderId="2" applyNumberFormat="0" applyAlignment="0" applyProtection="0"/>
    <xf numFmtId="0" fontId="17" fillId="0" borderId="0" applyNumberFormat="0" applyFill="0" applyBorder="0" applyAlignment="0" applyProtection="0"/>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5" fillId="26" borderId="5" applyNumberFormat="0" applyFont="0" applyAlignment="0" applyProtection="0"/>
    <xf numFmtId="0" fontId="15" fillId="26" borderId="5" applyNumberFormat="0" applyFont="0" applyAlignment="0" applyProtection="0"/>
    <xf numFmtId="0" fontId="15" fillId="26" borderId="5" applyNumberFormat="0" applyFont="0" applyAlignment="0" applyProtection="0"/>
    <xf numFmtId="0" fontId="15" fillId="26" borderId="5" applyNumberFormat="0" applyFont="0" applyAlignment="0" applyProtection="0"/>
    <xf numFmtId="0" fontId="15" fillId="26" borderId="5" applyNumberFormat="0" applyFont="0" applyAlignment="0" applyProtection="0"/>
    <xf numFmtId="0" fontId="15" fillId="26" borderId="5" applyNumberFormat="0" applyFont="0" applyAlignment="0" applyProtection="0"/>
    <xf numFmtId="0" fontId="15" fillId="26" borderId="5" applyNumberFormat="0" applyFont="0" applyAlignment="0" applyProtection="0"/>
    <xf numFmtId="0" fontId="15" fillId="26" borderId="5" applyNumberFormat="0" applyFont="0" applyAlignment="0" applyProtection="0"/>
    <xf numFmtId="0" fontId="15" fillId="26" borderId="5" applyNumberFormat="0" applyFont="0" applyAlignment="0" applyProtection="0"/>
    <xf numFmtId="0" fontId="15" fillId="26" borderId="5" applyNumberFormat="0" applyFont="0" applyAlignment="0" applyProtection="0"/>
    <xf numFmtId="0" fontId="15" fillId="26" borderId="5" applyNumberFormat="0" applyFont="0" applyAlignment="0" applyProtection="0"/>
    <xf numFmtId="0" fontId="15" fillId="26" borderId="5" applyNumberFormat="0" applyFont="0" applyAlignment="0" applyProtection="0"/>
    <xf numFmtId="0" fontId="15" fillId="26" borderId="5" applyNumberFormat="0" applyFont="0" applyAlignment="0" applyProtection="0"/>
    <xf numFmtId="0" fontId="15" fillId="26" borderId="5" applyNumberFormat="0" applyFont="0" applyAlignment="0" applyProtection="0"/>
    <xf numFmtId="0" fontId="15" fillId="26" borderId="5" applyNumberFormat="0" applyFont="0" applyAlignment="0" applyProtection="0"/>
    <xf numFmtId="0" fontId="15" fillId="26" borderId="5" applyNumberFormat="0" applyFont="0" applyAlignment="0" applyProtection="0"/>
    <xf numFmtId="0" fontId="15" fillId="26" borderId="5" applyNumberFormat="0" applyFont="0" applyAlignment="0" applyProtection="0"/>
    <xf numFmtId="0" fontId="15" fillId="26" borderId="5" applyNumberFormat="0" applyFon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43" fontId="15" fillId="0" borderId="0" applyFont="0" applyFill="0" applyBorder="0" applyAlignment="0" applyProtection="0"/>
  </cellStyleXfs>
  <cellXfs count="36">
    <xf numFmtId="0" fontId="0" fillId="0" borderId="0" xfId="0"/>
    <xf numFmtId="0" fontId="0" fillId="4" borderId="0" xfId="0" applyFill="1"/>
    <xf numFmtId="0" fontId="0" fillId="0" borderId="1" xfId="0" applyBorder="1"/>
    <xf numFmtId="0" fontId="0" fillId="0" borderId="0" xfId="0" applyBorder="1"/>
    <xf numFmtId="0" fontId="27" fillId="3"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4" fillId="0" borderId="11" xfId="0" applyFont="1" applyBorder="1" applyAlignment="1">
      <alignment horizontal="center" vertical="center"/>
    </xf>
    <xf numFmtId="14" fontId="4" fillId="0" borderId="11" xfId="0" applyNumberFormat="1" applyFont="1" applyBorder="1" applyAlignment="1">
      <alignment horizontal="center" vertical="center"/>
    </xf>
    <xf numFmtId="0" fontId="4" fillId="0" borderId="11" xfId="0" applyFont="1" applyBorder="1" applyAlignment="1">
      <alignment horizontal="center" vertical="center" wrapText="1"/>
    </xf>
    <xf numFmtId="164" fontId="4" fillId="0" borderId="11" xfId="0" applyNumberFormat="1" applyFont="1" applyBorder="1" applyAlignment="1">
      <alignment horizontal="center" vertical="center"/>
    </xf>
    <xf numFmtId="0" fontId="4" fillId="2" borderId="11" xfId="0" applyFont="1" applyFill="1" applyBorder="1" applyAlignment="1">
      <alignment horizontal="center" vertical="center"/>
    </xf>
    <xf numFmtId="164" fontId="4" fillId="2" borderId="11" xfId="0" applyNumberFormat="1" applyFont="1" applyFill="1" applyBorder="1" applyAlignment="1">
      <alignment horizontal="center" vertical="center"/>
    </xf>
    <xf numFmtId="3" fontId="4" fillId="0" borderId="11" xfId="0" applyNumberFormat="1" applyFont="1" applyBorder="1" applyAlignment="1">
      <alignment horizontal="center" vertical="center"/>
    </xf>
    <xf numFmtId="14" fontId="4" fillId="2" borderId="11" xfId="0" applyNumberFormat="1" applyFont="1" applyFill="1" applyBorder="1" applyAlignment="1">
      <alignment horizontal="center" vertical="center"/>
    </xf>
    <xf numFmtId="3" fontId="4" fillId="2" borderId="11" xfId="0" applyNumberFormat="1" applyFont="1" applyFill="1" applyBorder="1" applyAlignment="1">
      <alignment horizontal="center" vertical="center"/>
    </xf>
    <xf numFmtId="4" fontId="4" fillId="2" borderId="11" xfId="0" applyNumberFormat="1" applyFont="1" applyFill="1" applyBorder="1" applyAlignment="1">
      <alignment horizontal="center" vertical="center"/>
    </xf>
    <xf numFmtId="0" fontId="4" fillId="2" borderId="11" xfId="0" applyFont="1" applyFill="1" applyBorder="1" applyAlignment="1">
      <alignment horizontal="center" vertical="center" wrapText="1"/>
    </xf>
    <xf numFmtId="0" fontId="29" fillId="2" borderId="11" xfId="1369" applyFont="1" applyFill="1" applyBorder="1" applyAlignment="1" applyProtection="1">
      <alignment horizontal="center" vertical="center"/>
    </xf>
    <xf numFmtId="0" fontId="29" fillId="2" borderId="11" xfId="1369" applyFont="1" applyFill="1" applyBorder="1" applyAlignment="1" applyProtection="1">
      <alignment horizontal="center" vertical="center" wrapText="1"/>
    </xf>
    <xf numFmtId="0" fontId="29" fillId="0" borderId="11" xfId="1369" applyFont="1" applyBorder="1" applyAlignment="1" applyProtection="1">
      <alignment horizontal="center" vertical="center"/>
    </xf>
    <xf numFmtId="0" fontId="0" fillId="2" borderId="0" xfId="0" applyFill="1"/>
    <xf numFmtId="0" fontId="0" fillId="2" borderId="0" xfId="0" applyFill="1" applyBorder="1"/>
    <xf numFmtId="0" fontId="29" fillId="0" borderId="11" xfId="1369" applyFont="1" applyBorder="1" applyAlignment="1" applyProtection="1">
      <alignment horizontal="center" vertical="center" wrapText="1"/>
    </xf>
    <xf numFmtId="0" fontId="28" fillId="2" borderId="12" xfId="1" applyFont="1" applyFill="1" applyBorder="1" applyAlignment="1">
      <alignment horizontal="center" vertical="center"/>
    </xf>
    <xf numFmtId="0" fontId="28" fillId="2" borderId="13" xfId="1" applyFont="1" applyFill="1" applyBorder="1" applyAlignment="1">
      <alignment horizontal="center" vertical="center"/>
    </xf>
    <xf numFmtId="0" fontId="28" fillId="2" borderId="14" xfId="1" applyFont="1" applyFill="1" applyBorder="1" applyAlignment="1">
      <alignment horizontal="center" vertical="center"/>
    </xf>
    <xf numFmtId="0" fontId="28" fillId="2" borderId="15" xfId="1" applyFont="1" applyFill="1" applyBorder="1" applyAlignment="1">
      <alignment horizontal="center" vertical="center" wrapText="1"/>
    </xf>
    <xf numFmtId="0" fontId="28" fillId="2" borderId="0" xfId="1" applyFont="1" applyFill="1" applyBorder="1" applyAlignment="1">
      <alignment horizontal="center" vertical="center" wrapText="1"/>
    </xf>
    <xf numFmtId="0" fontId="28" fillId="2" borderId="16" xfId="1" applyFont="1" applyFill="1" applyBorder="1" applyAlignment="1">
      <alignment horizontal="center" vertical="center" wrapText="1"/>
    </xf>
    <xf numFmtId="0" fontId="28" fillId="2" borderId="17" xfId="1" applyFont="1" applyFill="1" applyBorder="1" applyAlignment="1">
      <alignment horizontal="center" vertical="center"/>
    </xf>
    <xf numFmtId="0" fontId="28" fillId="2" borderId="18" xfId="1" applyFont="1" applyFill="1" applyBorder="1" applyAlignment="1">
      <alignment horizontal="center" vertical="center"/>
    </xf>
    <xf numFmtId="0" fontId="28" fillId="2" borderId="19" xfId="1" applyFont="1" applyFill="1" applyBorder="1" applyAlignment="1">
      <alignment horizontal="center" vertical="center"/>
    </xf>
    <xf numFmtId="0" fontId="27" fillId="3" borderId="11" xfId="0" applyFont="1" applyFill="1" applyBorder="1" applyAlignment="1">
      <alignment horizontal="center" vertical="center" wrapText="1"/>
    </xf>
    <xf numFmtId="0" fontId="4" fillId="0" borderId="11" xfId="0" applyFont="1" applyBorder="1" applyAlignment="1">
      <alignment horizontal="justify" vertical="center" wrapText="1"/>
    </xf>
    <xf numFmtId="0" fontId="30" fillId="27" borderId="11" xfId="0" applyFont="1" applyFill="1" applyBorder="1" applyAlignment="1">
      <alignment horizontal="left" vertical="center" wrapText="1"/>
    </xf>
    <xf numFmtId="0" fontId="0" fillId="0" borderId="0" xfId="0"/>
  </cellXfs>
  <cellStyles count="1464">
    <cellStyle name="20% - Énfasis1 2" xfId="2"/>
    <cellStyle name="20% - Énfasis2 2" xfId="3"/>
    <cellStyle name="20% - Énfasis3 2" xfId="4"/>
    <cellStyle name="20% - Énfasis4 2" xfId="5"/>
    <cellStyle name="20% - Énfasis5 2" xfId="6"/>
    <cellStyle name="20% - Énfasis6 2" xfId="7"/>
    <cellStyle name="40% - Énfasis1 2" xfId="8"/>
    <cellStyle name="40% - Énfasis2 2" xfId="9"/>
    <cellStyle name="40% - Énfasis3 2" xfId="10"/>
    <cellStyle name="40% - Énfasis4 2" xfId="11"/>
    <cellStyle name="40% - Énfasis5 2" xfId="12"/>
    <cellStyle name="40% - Énfasis6 2" xfId="13"/>
    <cellStyle name="60% - Énfasis1 2" xfId="14"/>
    <cellStyle name="60% - Énfasis2 2" xfId="15"/>
    <cellStyle name="60% - Énfasis3 2" xfId="16"/>
    <cellStyle name="60% - Énfasis4 2" xfId="17"/>
    <cellStyle name="60% - Énfasis5 2" xfId="18"/>
    <cellStyle name="60% - Énfasis6 2" xfId="19"/>
    <cellStyle name="Buena 2" xfId="20"/>
    <cellStyle name="Cálculo 2" xfId="21"/>
    <cellStyle name="Cálculo 2 10" xfId="22"/>
    <cellStyle name="Cálculo 2 10 2" xfId="23"/>
    <cellStyle name="Cálculo 2 10 2 2" xfId="1370"/>
    <cellStyle name="Cálculo 2 10 3" xfId="24"/>
    <cellStyle name="Cálculo 2 11" xfId="25"/>
    <cellStyle name="Cálculo 2 11 2" xfId="26"/>
    <cellStyle name="Cálculo 2 11 2 2" xfId="1371"/>
    <cellStyle name="Cálculo 2 11 3" xfId="27"/>
    <cellStyle name="Cálculo 2 12" xfId="28"/>
    <cellStyle name="Cálculo 2 12 2" xfId="29"/>
    <cellStyle name="Cálculo 2 12 2 2" xfId="1372"/>
    <cellStyle name="Cálculo 2 12 3" xfId="30"/>
    <cellStyle name="Cálculo 2 13" xfId="31"/>
    <cellStyle name="Cálculo 2 13 2" xfId="32"/>
    <cellStyle name="Cálculo 2 13 2 2" xfId="1373"/>
    <cellStyle name="Cálculo 2 13 3" xfId="33"/>
    <cellStyle name="Cálculo 2 14" xfId="34"/>
    <cellStyle name="Cálculo 2 14 2" xfId="35"/>
    <cellStyle name="Cálculo 2 14 2 2" xfId="1374"/>
    <cellStyle name="Cálculo 2 14 3" xfId="36"/>
    <cellStyle name="Cálculo 2 15" xfId="37"/>
    <cellStyle name="Cálculo 2 15 2" xfId="38"/>
    <cellStyle name="Cálculo 2 15 2 2" xfId="1375"/>
    <cellStyle name="Cálculo 2 15 3" xfId="39"/>
    <cellStyle name="Cálculo 2 16" xfId="40"/>
    <cellStyle name="Cálculo 2 16 2" xfId="41"/>
    <cellStyle name="Cálculo 2 16 2 2" xfId="1376"/>
    <cellStyle name="Cálculo 2 16 3" xfId="42"/>
    <cellStyle name="Cálculo 2 17" xfId="43"/>
    <cellStyle name="Cálculo 2 17 2" xfId="44"/>
    <cellStyle name="Cálculo 2 17 2 2" xfId="1377"/>
    <cellStyle name="Cálculo 2 17 3" xfId="45"/>
    <cellStyle name="Cálculo 2 18" xfId="46"/>
    <cellStyle name="Cálculo 2 18 2" xfId="47"/>
    <cellStyle name="Cálculo 2 18 2 2" xfId="1378"/>
    <cellStyle name="Cálculo 2 18 3" xfId="48"/>
    <cellStyle name="Cálculo 2 19" xfId="49"/>
    <cellStyle name="Cálculo 2 19 2" xfId="1379"/>
    <cellStyle name="Cálculo 2 2" xfId="50"/>
    <cellStyle name="Cálculo 2 2 2" xfId="51"/>
    <cellStyle name="Cálculo 2 2 2 2" xfId="1380"/>
    <cellStyle name="Cálculo 2 2 3" xfId="52"/>
    <cellStyle name="Cálculo 2 20" xfId="53"/>
    <cellStyle name="Cálculo 2 3" xfId="54"/>
    <cellStyle name="Cálculo 2 3 2" xfId="55"/>
    <cellStyle name="Cálculo 2 3 2 2" xfId="1381"/>
    <cellStyle name="Cálculo 2 3 3" xfId="56"/>
    <cellStyle name="Cálculo 2 4" xfId="57"/>
    <cellStyle name="Cálculo 2 4 2" xfId="58"/>
    <cellStyle name="Cálculo 2 4 2 2" xfId="1382"/>
    <cellStyle name="Cálculo 2 4 3" xfId="59"/>
    <cellStyle name="Cálculo 2 5" xfId="60"/>
    <cellStyle name="Cálculo 2 5 2" xfId="61"/>
    <cellStyle name="Cálculo 2 5 2 2" xfId="1383"/>
    <cellStyle name="Cálculo 2 5 3" xfId="62"/>
    <cellStyle name="Cálculo 2 6" xfId="63"/>
    <cellStyle name="Cálculo 2 6 2" xfId="64"/>
    <cellStyle name="Cálculo 2 6 2 2" xfId="1384"/>
    <cellStyle name="Cálculo 2 6 3" xfId="65"/>
    <cellStyle name="Cálculo 2 7" xfId="66"/>
    <cellStyle name="Cálculo 2 7 2" xfId="67"/>
    <cellStyle name="Cálculo 2 7 2 2" xfId="1385"/>
    <cellStyle name="Cálculo 2 7 3" xfId="68"/>
    <cellStyle name="Cálculo 2 8" xfId="69"/>
    <cellStyle name="Cálculo 2 8 2" xfId="70"/>
    <cellStyle name="Cálculo 2 8 2 2" xfId="1386"/>
    <cellStyle name="Cálculo 2 8 3" xfId="71"/>
    <cellStyle name="Cálculo 2 9" xfId="72"/>
    <cellStyle name="Cálculo 2 9 2" xfId="73"/>
    <cellStyle name="Cálculo 2 9 2 2" xfId="1387"/>
    <cellStyle name="Cálculo 2 9 3" xfId="74"/>
    <cellStyle name="Celda de comprobación 2" xfId="75"/>
    <cellStyle name="Celda vinculada 2" xfId="76"/>
    <cellStyle name="Comma 2" xfId="77"/>
    <cellStyle name="Comma 3" xfId="78"/>
    <cellStyle name="Currency 2" xfId="79"/>
    <cellStyle name="Encabezado 4 2" xfId="80"/>
    <cellStyle name="Énfasis1 2" xfId="81"/>
    <cellStyle name="Énfasis1 3" xfId="82"/>
    <cellStyle name="Énfasis2 2" xfId="83"/>
    <cellStyle name="Énfasis3 2" xfId="84"/>
    <cellStyle name="Énfasis4 2" xfId="85"/>
    <cellStyle name="Énfasis5 2" xfId="86"/>
    <cellStyle name="Énfasis6 2" xfId="87"/>
    <cellStyle name="Entrada 2" xfId="88"/>
    <cellStyle name="Entrada 2 10" xfId="89"/>
    <cellStyle name="Entrada 2 10 2" xfId="90"/>
    <cellStyle name="Entrada 2 10 2 2" xfId="1388"/>
    <cellStyle name="Entrada 2 10 3" xfId="91"/>
    <cellStyle name="Entrada 2 11" xfId="92"/>
    <cellStyle name="Entrada 2 11 2" xfId="93"/>
    <cellStyle name="Entrada 2 11 2 2" xfId="1389"/>
    <cellStyle name="Entrada 2 11 3" xfId="94"/>
    <cellStyle name="Entrada 2 12" xfId="95"/>
    <cellStyle name="Entrada 2 12 2" xfId="96"/>
    <cellStyle name="Entrada 2 12 2 2" xfId="1390"/>
    <cellStyle name="Entrada 2 12 3" xfId="97"/>
    <cellStyle name="Entrada 2 13" xfId="98"/>
    <cellStyle name="Entrada 2 13 2" xfId="99"/>
    <cellStyle name="Entrada 2 13 2 2" xfId="1391"/>
    <cellStyle name="Entrada 2 13 3" xfId="100"/>
    <cellStyle name="Entrada 2 14" xfId="101"/>
    <cellStyle name="Entrada 2 14 2" xfId="102"/>
    <cellStyle name="Entrada 2 14 2 2" xfId="1392"/>
    <cellStyle name="Entrada 2 14 3" xfId="103"/>
    <cellStyle name="Entrada 2 15" xfId="104"/>
    <cellStyle name="Entrada 2 15 2" xfId="105"/>
    <cellStyle name="Entrada 2 15 2 2" xfId="1393"/>
    <cellStyle name="Entrada 2 15 3" xfId="106"/>
    <cellStyle name="Entrada 2 16" xfId="107"/>
    <cellStyle name="Entrada 2 16 2" xfId="108"/>
    <cellStyle name="Entrada 2 16 2 2" xfId="1394"/>
    <cellStyle name="Entrada 2 16 3" xfId="109"/>
    <cellStyle name="Entrada 2 17" xfId="110"/>
    <cellStyle name="Entrada 2 17 2" xfId="111"/>
    <cellStyle name="Entrada 2 17 2 2" xfId="1395"/>
    <cellStyle name="Entrada 2 17 3" xfId="112"/>
    <cellStyle name="Entrada 2 18" xfId="113"/>
    <cellStyle name="Entrada 2 18 2" xfId="114"/>
    <cellStyle name="Entrada 2 18 2 2" xfId="1396"/>
    <cellStyle name="Entrada 2 18 3" xfId="115"/>
    <cellStyle name="Entrada 2 19" xfId="116"/>
    <cellStyle name="Entrada 2 19 2" xfId="1397"/>
    <cellStyle name="Entrada 2 2" xfId="117"/>
    <cellStyle name="Entrada 2 2 2" xfId="118"/>
    <cellStyle name="Entrada 2 2 2 2" xfId="1398"/>
    <cellStyle name="Entrada 2 2 3" xfId="119"/>
    <cellStyle name="Entrada 2 20" xfId="120"/>
    <cellStyle name="Entrada 2 3" xfId="121"/>
    <cellStyle name="Entrada 2 3 2" xfId="122"/>
    <cellStyle name="Entrada 2 3 2 2" xfId="1399"/>
    <cellStyle name="Entrada 2 3 3" xfId="123"/>
    <cellStyle name="Entrada 2 4" xfId="124"/>
    <cellStyle name="Entrada 2 4 2" xfId="125"/>
    <cellStyle name="Entrada 2 4 2 2" xfId="1400"/>
    <cellStyle name="Entrada 2 4 3" xfId="126"/>
    <cellStyle name="Entrada 2 5" xfId="127"/>
    <cellStyle name="Entrada 2 5 2" xfId="128"/>
    <cellStyle name="Entrada 2 5 2 2" xfId="1401"/>
    <cellStyle name="Entrada 2 5 3" xfId="129"/>
    <cellStyle name="Entrada 2 6" xfId="130"/>
    <cellStyle name="Entrada 2 6 2" xfId="131"/>
    <cellStyle name="Entrada 2 6 2 2" xfId="1402"/>
    <cellStyle name="Entrada 2 6 3" xfId="132"/>
    <cellStyle name="Entrada 2 7" xfId="133"/>
    <cellStyle name="Entrada 2 7 2" xfId="134"/>
    <cellStyle name="Entrada 2 7 2 2" xfId="1403"/>
    <cellStyle name="Entrada 2 7 3" xfId="135"/>
    <cellStyle name="Entrada 2 8" xfId="136"/>
    <cellStyle name="Entrada 2 8 2" xfId="137"/>
    <cellStyle name="Entrada 2 8 2 2" xfId="1404"/>
    <cellStyle name="Entrada 2 8 3" xfId="138"/>
    <cellStyle name="Entrada 2 9" xfId="139"/>
    <cellStyle name="Entrada 2 9 2" xfId="140"/>
    <cellStyle name="Entrada 2 9 2 2" xfId="1405"/>
    <cellStyle name="Entrada 2 9 3" xfId="141"/>
    <cellStyle name="Euro" xfId="142"/>
    <cellStyle name="Euro 2" xfId="143"/>
    <cellStyle name="Euro 2 2" xfId="144"/>
    <cellStyle name="Euro 2 3" xfId="145"/>
    <cellStyle name="Euro 2 4" xfId="146"/>
    <cellStyle name="Euro 2 5" xfId="147"/>
    <cellStyle name="Euro 3" xfId="148"/>
    <cellStyle name="Euro 3 2" xfId="149"/>
    <cellStyle name="Euro 3 2 2" xfId="150"/>
    <cellStyle name="Euro 3 3" xfId="151"/>
    <cellStyle name="Euro 3 4" xfId="152"/>
    <cellStyle name="Euro 4" xfId="153"/>
    <cellStyle name="Euro 4 2" xfId="154"/>
    <cellStyle name="Euro 5" xfId="155"/>
    <cellStyle name="Euro 5 2" xfId="156"/>
    <cellStyle name="Euro 6" xfId="157"/>
    <cellStyle name="Euro 7" xfId="158"/>
    <cellStyle name="Euro 8" xfId="159"/>
    <cellStyle name="Euro_2009 BASE DE DATOS obras vigentes" xfId="160"/>
    <cellStyle name="Hipervínculo" xfId="1369" builtinId="8"/>
    <cellStyle name="Hipervínculo 2" xfId="161"/>
    <cellStyle name="Hipervínculo 2 2" xfId="1406"/>
    <cellStyle name="Hipervínculo 3" xfId="1407"/>
    <cellStyle name="Hipervínculo 4" xfId="1408"/>
    <cellStyle name="Hyperlink 2" xfId="162"/>
    <cellStyle name="Incorrecto 2" xfId="163"/>
    <cellStyle name="Millares 2" xfId="164"/>
    <cellStyle name="Millares 2 10" xfId="1463"/>
    <cellStyle name="Millares 2 13" xfId="165"/>
    <cellStyle name="Millares 2 14" xfId="166"/>
    <cellStyle name="Millares 2 2" xfId="167"/>
    <cellStyle name="Millares 2 3" xfId="168"/>
    <cellStyle name="Millares 2 4" xfId="169"/>
    <cellStyle name="Millares 2 5" xfId="170"/>
    <cellStyle name="Millares 2 6" xfId="171"/>
    <cellStyle name="Millares 2 6 2" xfId="172"/>
    <cellStyle name="Millares 2 7" xfId="173"/>
    <cellStyle name="Millares 2 8" xfId="174"/>
    <cellStyle name="Millares 3" xfId="175"/>
    <cellStyle name="Millares 3 2" xfId="176"/>
    <cellStyle name="Millares 3 3" xfId="177"/>
    <cellStyle name="Millares 3 4" xfId="178"/>
    <cellStyle name="Millares 4" xfId="179"/>
    <cellStyle name="Millares 4 10" xfId="180"/>
    <cellStyle name="Millares 4 11" xfId="181"/>
    <cellStyle name="Millares 4 12" xfId="182"/>
    <cellStyle name="Millares 4 13" xfId="183"/>
    <cellStyle name="Millares 4 14" xfId="184"/>
    <cellStyle name="Millares 4 15" xfId="185"/>
    <cellStyle name="Millares 4 16" xfId="186"/>
    <cellStyle name="Millares 4 17" xfId="187"/>
    <cellStyle name="Millares 4 18" xfId="188"/>
    <cellStyle name="Millares 4 19" xfId="189"/>
    <cellStyle name="Millares 4 2" xfId="190"/>
    <cellStyle name="Millares 4 2 10" xfId="191"/>
    <cellStyle name="Millares 4 2 11" xfId="192"/>
    <cellStyle name="Millares 4 2 12" xfId="193"/>
    <cellStyle name="Millares 4 2 13" xfId="194"/>
    <cellStyle name="Millares 4 2 14" xfId="195"/>
    <cellStyle name="Millares 4 2 15" xfId="196"/>
    <cellStyle name="Millares 4 2 16" xfId="197"/>
    <cellStyle name="Millares 4 2 17" xfId="198"/>
    <cellStyle name="Millares 4 2 18" xfId="199"/>
    <cellStyle name="Millares 4 2 19" xfId="200"/>
    <cellStyle name="Millares 4 2 2" xfId="201"/>
    <cellStyle name="Millares 4 2 2 10" xfId="202"/>
    <cellStyle name="Millares 4 2 2 11" xfId="203"/>
    <cellStyle name="Millares 4 2 2 12" xfId="204"/>
    <cellStyle name="Millares 4 2 2 13" xfId="205"/>
    <cellStyle name="Millares 4 2 2 14" xfId="206"/>
    <cellStyle name="Millares 4 2 2 15" xfId="207"/>
    <cellStyle name="Millares 4 2 2 16" xfId="208"/>
    <cellStyle name="Millares 4 2 2 17" xfId="209"/>
    <cellStyle name="Millares 4 2 2 18" xfId="210"/>
    <cellStyle name="Millares 4 2 2 2" xfId="211"/>
    <cellStyle name="Millares 4 2 2 3" xfId="212"/>
    <cellStyle name="Millares 4 2 2 4" xfId="213"/>
    <cellStyle name="Millares 4 2 2 5" xfId="214"/>
    <cellStyle name="Millares 4 2 2 6" xfId="215"/>
    <cellStyle name="Millares 4 2 2 7" xfId="216"/>
    <cellStyle name="Millares 4 2 2 8" xfId="217"/>
    <cellStyle name="Millares 4 2 2 9" xfId="218"/>
    <cellStyle name="Millares 4 2 3" xfId="219"/>
    <cellStyle name="Millares 4 2 3 2" xfId="220"/>
    <cellStyle name="Millares 4 2 3 3" xfId="221"/>
    <cellStyle name="Millares 4 2 3 4" xfId="222"/>
    <cellStyle name="Millares 4 2 3 5" xfId="223"/>
    <cellStyle name="Millares 4 2 4" xfId="224"/>
    <cellStyle name="Millares 4 2 5" xfId="225"/>
    <cellStyle name="Millares 4 2 6" xfId="226"/>
    <cellStyle name="Millares 4 2 7" xfId="227"/>
    <cellStyle name="Millares 4 2 8" xfId="228"/>
    <cellStyle name="Millares 4 2 9" xfId="229"/>
    <cellStyle name="Millares 4 20" xfId="230"/>
    <cellStyle name="Millares 4 21" xfId="231"/>
    <cellStyle name="Millares 4 22" xfId="232"/>
    <cellStyle name="Millares 4 3" xfId="233"/>
    <cellStyle name="Millares 4 3 10" xfId="234"/>
    <cellStyle name="Millares 4 3 11" xfId="235"/>
    <cellStyle name="Millares 4 3 12" xfId="236"/>
    <cellStyle name="Millares 4 3 13" xfId="237"/>
    <cellStyle name="Millares 4 3 14" xfId="238"/>
    <cellStyle name="Millares 4 3 15" xfId="239"/>
    <cellStyle name="Millares 4 3 16" xfId="240"/>
    <cellStyle name="Millares 4 3 17" xfId="241"/>
    <cellStyle name="Millares 4 3 18" xfId="242"/>
    <cellStyle name="Millares 4 3 19" xfId="243"/>
    <cellStyle name="Millares 4 3 2" xfId="244"/>
    <cellStyle name="Millares 4 3 2 10" xfId="245"/>
    <cellStyle name="Millares 4 3 2 11" xfId="246"/>
    <cellStyle name="Millares 4 3 2 12" xfId="247"/>
    <cellStyle name="Millares 4 3 2 13" xfId="248"/>
    <cellStyle name="Millares 4 3 2 14" xfId="249"/>
    <cellStyle name="Millares 4 3 2 15" xfId="250"/>
    <cellStyle name="Millares 4 3 2 16" xfId="251"/>
    <cellStyle name="Millares 4 3 2 17" xfId="252"/>
    <cellStyle name="Millares 4 3 2 18" xfId="253"/>
    <cellStyle name="Millares 4 3 2 2" xfId="254"/>
    <cellStyle name="Millares 4 3 2 3" xfId="255"/>
    <cellStyle name="Millares 4 3 2 4" xfId="256"/>
    <cellStyle name="Millares 4 3 2 5" xfId="257"/>
    <cellStyle name="Millares 4 3 2 6" xfId="258"/>
    <cellStyle name="Millares 4 3 2 7" xfId="259"/>
    <cellStyle name="Millares 4 3 2 8" xfId="260"/>
    <cellStyle name="Millares 4 3 2 9" xfId="261"/>
    <cellStyle name="Millares 4 3 3" xfId="262"/>
    <cellStyle name="Millares 4 3 4" xfId="263"/>
    <cellStyle name="Millares 4 3 5" xfId="264"/>
    <cellStyle name="Millares 4 3 6" xfId="265"/>
    <cellStyle name="Millares 4 3 7" xfId="266"/>
    <cellStyle name="Millares 4 3 8" xfId="267"/>
    <cellStyle name="Millares 4 3 9" xfId="268"/>
    <cellStyle name="Millares 4 4" xfId="269"/>
    <cellStyle name="Millares 4 4 10" xfId="270"/>
    <cellStyle name="Millares 4 4 11" xfId="271"/>
    <cellStyle name="Millares 4 4 12" xfId="272"/>
    <cellStyle name="Millares 4 4 13" xfId="273"/>
    <cellStyle name="Millares 4 4 14" xfId="274"/>
    <cellStyle name="Millares 4 4 15" xfId="275"/>
    <cellStyle name="Millares 4 4 16" xfId="276"/>
    <cellStyle name="Millares 4 4 17" xfId="277"/>
    <cellStyle name="Millares 4 4 18" xfId="278"/>
    <cellStyle name="Millares 4 4 2" xfId="279"/>
    <cellStyle name="Millares 4 4 3" xfId="280"/>
    <cellStyle name="Millares 4 4 4" xfId="281"/>
    <cellStyle name="Millares 4 4 5" xfId="282"/>
    <cellStyle name="Millares 4 4 6" xfId="283"/>
    <cellStyle name="Millares 4 4 7" xfId="284"/>
    <cellStyle name="Millares 4 4 8" xfId="285"/>
    <cellStyle name="Millares 4 4 9" xfId="286"/>
    <cellStyle name="Millares 4 5" xfId="287"/>
    <cellStyle name="Millares 4 6" xfId="288"/>
    <cellStyle name="Millares 4 7" xfId="289"/>
    <cellStyle name="Millares 4 8" xfId="290"/>
    <cellStyle name="Millares 4 9" xfId="291"/>
    <cellStyle name="Moneda 10 2" xfId="292"/>
    <cellStyle name="Moneda 11" xfId="293"/>
    <cellStyle name="Moneda 11 10" xfId="294"/>
    <cellStyle name="Moneda 11 11" xfId="295"/>
    <cellStyle name="Moneda 11 12" xfId="296"/>
    <cellStyle name="Moneda 11 13" xfId="297"/>
    <cellStyle name="Moneda 11 14" xfId="298"/>
    <cellStyle name="Moneda 11 15" xfId="299"/>
    <cellStyle name="Moneda 11 16" xfId="300"/>
    <cellStyle name="Moneda 11 17" xfId="301"/>
    <cellStyle name="Moneda 11 18" xfId="302"/>
    <cellStyle name="Moneda 11 19" xfId="303"/>
    <cellStyle name="Moneda 11 2" xfId="304"/>
    <cellStyle name="Moneda 11 20" xfId="305"/>
    <cellStyle name="Moneda 11 21" xfId="306"/>
    <cellStyle name="Moneda 11 22" xfId="307"/>
    <cellStyle name="Moneda 11 23" xfId="308"/>
    <cellStyle name="Moneda 11 24" xfId="309"/>
    <cellStyle name="Moneda 11 25" xfId="310"/>
    <cellStyle name="Moneda 11 26" xfId="311"/>
    <cellStyle name="Moneda 11 27" xfId="312"/>
    <cellStyle name="Moneda 11 28" xfId="313"/>
    <cellStyle name="Moneda 11 29" xfId="314"/>
    <cellStyle name="Moneda 11 3" xfId="315"/>
    <cellStyle name="Moneda 11 30" xfId="316"/>
    <cellStyle name="Moneda 11 31" xfId="317"/>
    <cellStyle name="Moneda 11 32" xfId="318"/>
    <cellStyle name="Moneda 11 33" xfId="319"/>
    <cellStyle name="Moneda 11 4" xfId="320"/>
    <cellStyle name="Moneda 11 5" xfId="321"/>
    <cellStyle name="Moneda 11 6" xfId="322"/>
    <cellStyle name="Moneda 11 7" xfId="323"/>
    <cellStyle name="Moneda 11 8" xfId="324"/>
    <cellStyle name="Moneda 11 9" xfId="325"/>
    <cellStyle name="Moneda 12" xfId="326"/>
    <cellStyle name="Moneda 12 10" xfId="327"/>
    <cellStyle name="Moneda 12 11" xfId="328"/>
    <cellStyle name="Moneda 12 12" xfId="329"/>
    <cellStyle name="Moneda 12 13" xfId="330"/>
    <cellStyle name="Moneda 12 14" xfId="331"/>
    <cellStyle name="Moneda 12 15" xfId="332"/>
    <cellStyle name="Moneda 12 15 2" xfId="333"/>
    <cellStyle name="Moneda 12 15 2 2" xfId="334"/>
    <cellStyle name="Moneda 12 15 3" xfId="335"/>
    <cellStyle name="Moneda 12 16" xfId="336"/>
    <cellStyle name="Moneda 12 17" xfId="337"/>
    <cellStyle name="Moneda 12 18" xfId="338"/>
    <cellStyle name="Moneda 12 19" xfId="339"/>
    <cellStyle name="Moneda 12 2" xfId="340"/>
    <cellStyle name="Moneda 12 20" xfId="341"/>
    <cellStyle name="Moneda 12 21" xfId="342"/>
    <cellStyle name="Moneda 12 22" xfId="343"/>
    <cellStyle name="Moneda 12 23" xfId="344"/>
    <cellStyle name="Moneda 12 24" xfId="345"/>
    <cellStyle name="Moneda 12 25" xfId="346"/>
    <cellStyle name="Moneda 12 26" xfId="347"/>
    <cellStyle name="Moneda 12 27" xfId="348"/>
    <cellStyle name="Moneda 12 28" xfId="349"/>
    <cellStyle name="Moneda 12 29" xfId="350"/>
    <cellStyle name="Moneda 12 3" xfId="351"/>
    <cellStyle name="Moneda 12 30" xfId="352"/>
    <cellStyle name="Moneda 12 31" xfId="353"/>
    <cellStyle name="Moneda 12 32" xfId="354"/>
    <cellStyle name="Moneda 12 33" xfId="355"/>
    <cellStyle name="Moneda 12 4" xfId="356"/>
    <cellStyle name="Moneda 12 5" xfId="357"/>
    <cellStyle name="Moneda 12 6" xfId="358"/>
    <cellStyle name="Moneda 12 7" xfId="359"/>
    <cellStyle name="Moneda 12 8" xfId="360"/>
    <cellStyle name="Moneda 12 9" xfId="361"/>
    <cellStyle name="Moneda 13" xfId="1364"/>
    <cellStyle name="Moneda 14" xfId="362"/>
    <cellStyle name="Moneda 14 2" xfId="363"/>
    <cellStyle name="Moneda 2" xfId="364"/>
    <cellStyle name="Moneda 2 10" xfId="365"/>
    <cellStyle name="Moneda 2 11" xfId="366"/>
    <cellStyle name="Moneda 2 12" xfId="367"/>
    <cellStyle name="Moneda 2 13" xfId="368"/>
    <cellStyle name="Moneda 2 14" xfId="369"/>
    <cellStyle name="Moneda 2 15" xfId="370"/>
    <cellStyle name="Moneda 2 16" xfId="371"/>
    <cellStyle name="Moneda 2 17" xfId="372"/>
    <cellStyle name="Moneda 2 18" xfId="373"/>
    <cellStyle name="Moneda 2 19" xfId="374"/>
    <cellStyle name="Moneda 2 2" xfId="375"/>
    <cellStyle name="Moneda 2 2 12" xfId="376"/>
    <cellStyle name="Moneda 2 20" xfId="377"/>
    <cellStyle name="Moneda 2 21" xfId="378"/>
    <cellStyle name="Moneda 2 22" xfId="379"/>
    <cellStyle name="Moneda 2 23" xfId="380"/>
    <cellStyle name="Moneda 2 24" xfId="381"/>
    <cellStyle name="Moneda 2 25" xfId="382"/>
    <cellStyle name="Moneda 2 26" xfId="383"/>
    <cellStyle name="Moneda 2 27" xfId="384"/>
    <cellStyle name="Moneda 2 28" xfId="385"/>
    <cellStyle name="Moneda 2 29" xfId="386"/>
    <cellStyle name="Moneda 2 3" xfId="387"/>
    <cellStyle name="Moneda 2 30" xfId="388"/>
    <cellStyle name="Moneda 2 31" xfId="389"/>
    <cellStyle name="Moneda 2 32" xfId="390"/>
    <cellStyle name="Moneda 2 33" xfId="391"/>
    <cellStyle name="Moneda 2 4" xfId="392"/>
    <cellStyle name="Moneda 2 5" xfId="393"/>
    <cellStyle name="Moneda 2 6" xfId="394"/>
    <cellStyle name="Moneda 2 7" xfId="395"/>
    <cellStyle name="Moneda 2 8" xfId="396"/>
    <cellStyle name="Moneda 2 9" xfId="397"/>
    <cellStyle name="Moneda 3" xfId="398"/>
    <cellStyle name="Moneda 3 2" xfId="399"/>
    <cellStyle name="Moneda 3 3" xfId="400"/>
    <cellStyle name="Moneda 3 4" xfId="401"/>
    <cellStyle name="Moneda 3 5" xfId="402"/>
    <cellStyle name="Moneda 3 6" xfId="403"/>
    <cellStyle name="Moneda 4" xfId="404"/>
    <cellStyle name="Moneda 4 2" xfId="405"/>
    <cellStyle name="Moneda 4 3" xfId="406"/>
    <cellStyle name="Moneda 4 4" xfId="407"/>
    <cellStyle name="Moneda 5" xfId="408"/>
    <cellStyle name="Moneda 5 2" xfId="409"/>
    <cellStyle name="Moneda 6" xfId="410"/>
    <cellStyle name="Moneda 6 2" xfId="411"/>
    <cellStyle name="Moneda 6 2 2" xfId="412"/>
    <cellStyle name="Moneda 6 2 4" xfId="413"/>
    <cellStyle name="Moneda 6 2 4 2" xfId="414"/>
    <cellStyle name="Moneda 6 3" xfId="415"/>
    <cellStyle name="Moneda 6 3 2" xfId="416"/>
    <cellStyle name="Moneda 6 4" xfId="417"/>
    <cellStyle name="Moneda 6 4 2" xfId="418"/>
    <cellStyle name="Moneda 6 4 2 2" xfId="419"/>
    <cellStyle name="Moneda 6 5" xfId="420"/>
    <cellStyle name="Moneda 6 5 2" xfId="421"/>
    <cellStyle name="Moneda 6 5 2 2" xfId="422"/>
    <cellStyle name="Moneda 6 6" xfId="423"/>
    <cellStyle name="Moneda 6 7" xfId="424"/>
    <cellStyle name="Moneda 6 8" xfId="425"/>
    <cellStyle name="Moneda 6 9" xfId="426"/>
    <cellStyle name="Moneda 7" xfId="427"/>
    <cellStyle name="Moneda 7 2" xfId="428"/>
    <cellStyle name="Moneda 7 3" xfId="429"/>
    <cellStyle name="Moneda 7 3 2" xfId="430"/>
    <cellStyle name="Moneda 7 4" xfId="431"/>
    <cellStyle name="Moneda 7 5" xfId="432"/>
    <cellStyle name="Moneda 7 6" xfId="433"/>
    <cellStyle name="Moneda 9 2" xfId="434"/>
    <cellStyle name="Neutral 2" xfId="435"/>
    <cellStyle name="Normal" xfId="0" builtinId="0"/>
    <cellStyle name="Normal 10" xfId="436"/>
    <cellStyle name="Normal 11" xfId="437"/>
    <cellStyle name="Normal 12" xfId="438"/>
    <cellStyle name="Normal 12 2" xfId="439"/>
    <cellStyle name="Normal 12 2 10" xfId="440"/>
    <cellStyle name="Normal 12 2 2" xfId="441"/>
    <cellStyle name="Normal 12 2 2 2" xfId="442"/>
    <cellStyle name="Normal 13" xfId="443"/>
    <cellStyle name="Normal 14" xfId="444"/>
    <cellStyle name="Normal 16" xfId="445"/>
    <cellStyle name="Normal 17" xfId="446"/>
    <cellStyle name="Normal 18" xfId="447"/>
    <cellStyle name="Normal 2" xfId="448"/>
    <cellStyle name="Normal 2 10" xfId="449"/>
    <cellStyle name="Normal 2 10 2" xfId="450"/>
    <cellStyle name="Normal 2 11" xfId="451"/>
    <cellStyle name="Normal 2 12" xfId="452"/>
    <cellStyle name="Normal 2 13" xfId="453"/>
    <cellStyle name="Normal 2 14" xfId="454"/>
    <cellStyle name="Normal 2 15" xfId="455"/>
    <cellStyle name="Normal 2 16" xfId="456"/>
    <cellStyle name="Normal 2 17" xfId="457"/>
    <cellStyle name="Normal 2 18" xfId="458"/>
    <cellStyle name="Normal 2 19" xfId="459"/>
    <cellStyle name="Normal 2 2" xfId="460"/>
    <cellStyle name="Normal 2 2 2" xfId="461"/>
    <cellStyle name="Normal 2 2 3" xfId="462"/>
    <cellStyle name="Normal 2 20" xfId="463"/>
    <cellStyle name="Normal 2 21" xfId="464"/>
    <cellStyle name="Normal 2 22" xfId="465"/>
    <cellStyle name="Normal 2 23" xfId="466"/>
    <cellStyle name="Normal 2 24" xfId="467"/>
    <cellStyle name="Normal 2 25" xfId="468"/>
    <cellStyle name="Normal 2 26" xfId="469"/>
    <cellStyle name="Normal 2 27" xfId="470"/>
    <cellStyle name="Normal 2 28" xfId="471"/>
    <cellStyle name="Normal 2 29" xfId="472"/>
    <cellStyle name="Normal 2 3" xfId="473"/>
    <cellStyle name="Normal 2 30" xfId="474"/>
    <cellStyle name="Normal 2 31" xfId="475"/>
    <cellStyle name="Normal 2 32" xfId="476"/>
    <cellStyle name="Normal 2 33" xfId="477"/>
    <cellStyle name="Normal 2 34" xfId="478"/>
    <cellStyle name="Normal 2 4" xfId="479"/>
    <cellStyle name="Normal 2 4 2" xfId="480"/>
    <cellStyle name="Normal 2 4 3" xfId="481"/>
    <cellStyle name="Normal 2 5" xfId="482"/>
    <cellStyle name="Normal 2 6" xfId="483"/>
    <cellStyle name="Normal 2 7" xfId="484"/>
    <cellStyle name="Normal 2 8" xfId="485"/>
    <cellStyle name="Normal 2 9" xfId="486"/>
    <cellStyle name="Normal 20" xfId="487"/>
    <cellStyle name="Normal 21" xfId="488"/>
    <cellStyle name="Normal 23" xfId="489"/>
    <cellStyle name="Normal 24" xfId="490"/>
    <cellStyle name="Normal 25" xfId="491"/>
    <cellStyle name="Normal 27" xfId="492"/>
    <cellStyle name="Normal 29" xfId="493"/>
    <cellStyle name="Normal 3" xfId="494"/>
    <cellStyle name="Normal 3 10" xfId="495"/>
    <cellStyle name="Normal 3 11" xfId="496"/>
    <cellStyle name="Normal 3 12" xfId="497"/>
    <cellStyle name="Normal 3 13" xfId="498"/>
    <cellStyle name="Normal 3 14" xfId="499"/>
    <cellStyle name="Normal 3 15" xfId="500"/>
    <cellStyle name="Normal 3 16" xfId="501"/>
    <cellStyle name="Normal 3 17" xfId="502"/>
    <cellStyle name="Normal 3 18" xfId="503"/>
    <cellStyle name="Normal 3 19" xfId="504"/>
    <cellStyle name="Normal 3 2" xfId="505"/>
    <cellStyle name="Normal 3 2 2" xfId="506"/>
    <cellStyle name="Normal 3 20" xfId="507"/>
    <cellStyle name="Normal 3 21" xfId="508"/>
    <cellStyle name="Normal 3 22" xfId="509"/>
    <cellStyle name="Normal 3 23" xfId="510"/>
    <cellStyle name="Normal 3 24" xfId="511"/>
    <cellStyle name="Normal 3 25" xfId="512"/>
    <cellStyle name="Normal 3 26" xfId="513"/>
    <cellStyle name="Normal 3 27" xfId="514"/>
    <cellStyle name="Normal 3 28" xfId="515"/>
    <cellStyle name="Normal 3 29" xfId="516"/>
    <cellStyle name="Normal 3 3" xfId="517"/>
    <cellStyle name="Normal 3 30" xfId="518"/>
    <cellStyle name="Normal 3 31" xfId="519"/>
    <cellStyle name="Normal 3 4" xfId="520"/>
    <cellStyle name="Normal 3 5" xfId="521"/>
    <cellStyle name="Normal 3 6" xfId="522"/>
    <cellStyle name="Normal 3 7" xfId="523"/>
    <cellStyle name="Normal 3 8" xfId="524"/>
    <cellStyle name="Normal 3 9" xfId="525"/>
    <cellStyle name="Normal 30" xfId="526"/>
    <cellStyle name="Normal 31" xfId="527"/>
    <cellStyle name="Normal 33" xfId="528"/>
    <cellStyle name="Normal 34" xfId="529"/>
    <cellStyle name="Normal 36" xfId="530"/>
    <cellStyle name="Normal 36 10" xfId="531"/>
    <cellStyle name="Normal 36 11" xfId="532"/>
    <cellStyle name="Normal 36 12" xfId="533"/>
    <cellStyle name="Normal 36 13" xfId="534"/>
    <cellStyle name="Normal 36 14" xfId="535"/>
    <cellStyle name="Normal 36 15" xfId="536"/>
    <cellStyle name="Normal 36 16" xfId="537"/>
    <cellStyle name="Normal 36 17" xfId="538"/>
    <cellStyle name="Normal 36 18" xfId="539"/>
    <cellStyle name="Normal 36 19" xfId="540"/>
    <cellStyle name="Normal 36 2" xfId="541"/>
    <cellStyle name="Normal 36 20" xfId="542"/>
    <cellStyle name="Normal 36 3" xfId="543"/>
    <cellStyle name="Normal 36 4" xfId="544"/>
    <cellStyle name="Normal 36 5" xfId="545"/>
    <cellStyle name="Normal 36 6" xfId="546"/>
    <cellStyle name="Normal 36 7" xfId="547"/>
    <cellStyle name="Normal 36 8" xfId="548"/>
    <cellStyle name="Normal 36 9" xfId="549"/>
    <cellStyle name="Normal 39" xfId="550"/>
    <cellStyle name="Normal 39 10" xfId="551"/>
    <cellStyle name="Normal 39 11" xfId="552"/>
    <cellStyle name="Normal 39 12" xfId="553"/>
    <cellStyle name="Normal 39 13" xfId="554"/>
    <cellStyle name="Normal 39 14" xfId="555"/>
    <cellStyle name="Normal 39 15" xfId="556"/>
    <cellStyle name="Normal 39 16" xfId="557"/>
    <cellStyle name="Normal 39 17" xfId="558"/>
    <cellStyle name="Normal 39 18" xfId="559"/>
    <cellStyle name="Normal 39 19" xfId="560"/>
    <cellStyle name="Normal 39 2" xfId="561"/>
    <cellStyle name="Normal 39 20" xfId="562"/>
    <cellStyle name="Normal 39 3" xfId="563"/>
    <cellStyle name="Normal 39 4" xfId="564"/>
    <cellStyle name="Normal 39 5" xfId="565"/>
    <cellStyle name="Normal 39 6" xfId="566"/>
    <cellStyle name="Normal 39 7" xfId="567"/>
    <cellStyle name="Normal 39 8" xfId="568"/>
    <cellStyle name="Normal 39 9" xfId="569"/>
    <cellStyle name="Normal 4" xfId="1"/>
    <cellStyle name="Normal 4 2" xfId="570"/>
    <cellStyle name="Normal 4 3" xfId="571"/>
    <cellStyle name="Normal 41" xfId="572"/>
    <cellStyle name="Normal 5" xfId="573"/>
    <cellStyle name="Normal 5 2" xfId="574"/>
    <cellStyle name="Normal 5 3" xfId="575"/>
    <cellStyle name="Normal 5 4" xfId="576"/>
    <cellStyle name="Normal 5 5" xfId="577"/>
    <cellStyle name="Normal 5 6" xfId="578"/>
    <cellStyle name="Normal 6" xfId="579"/>
    <cellStyle name="Normal 6 10" xfId="580"/>
    <cellStyle name="Normal 6 11" xfId="581"/>
    <cellStyle name="Normal 6 12" xfId="582"/>
    <cellStyle name="Normal 6 13" xfId="583"/>
    <cellStyle name="Normal 6 14" xfId="584"/>
    <cellStyle name="Normal 6 15" xfId="585"/>
    <cellStyle name="Normal 6 16" xfId="586"/>
    <cellStyle name="Normal 6 17" xfId="587"/>
    <cellStyle name="Normal 6 18" xfId="588"/>
    <cellStyle name="Normal 6 19" xfId="589"/>
    <cellStyle name="Normal 6 2" xfId="590"/>
    <cellStyle name="Normal 6 2 10" xfId="591"/>
    <cellStyle name="Normal 6 2 11" xfId="592"/>
    <cellStyle name="Normal 6 2 12" xfId="593"/>
    <cellStyle name="Normal 6 2 13" xfId="594"/>
    <cellStyle name="Normal 6 2 14" xfId="595"/>
    <cellStyle name="Normal 6 2 15" xfId="596"/>
    <cellStyle name="Normal 6 2 16" xfId="597"/>
    <cellStyle name="Normal 6 2 17" xfId="598"/>
    <cellStyle name="Normal 6 2 18" xfId="599"/>
    <cellStyle name="Normal 6 2 19" xfId="600"/>
    <cellStyle name="Normal 6 2 2" xfId="601"/>
    <cellStyle name="Normal 6 2 2 10" xfId="602"/>
    <cellStyle name="Normal 6 2 2 11" xfId="603"/>
    <cellStyle name="Normal 6 2 2 12" xfId="604"/>
    <cellStyle name="Normal 6 2 2 13" xfId="605"/>
    <cellStyle name="Normal 6 2 2 14" xfId="606"/>
    <cellStyle name="Normal 6 2 2 15" xfId="607"/>
    <cellStyle name="Normal 6 2 2 16" xfId="608"/>
    <cellStyle name="Normal 6 2 2 17" xfId="609"/>
    <cellStyle name="Normal 6 2 2 18" xfId="610"/>
    <cellStyle name="Normal 6 2 2 19" xfId="611"/>
    <cellStyle name="Normal 6 2 2 2" xfId="612"/>
    <cellStyle name="Normal 6 2 2 2 2" xfId="613"/>
    <cellStyle name="Normal 6 2 2 2 2 10" xfId="614"/>
    <cellStyle name="Normal 6 2 2 2 2 11" xfId="615"/>
    <cellStyle name="Normal 6 2 2 2 2 12" xfId="616"/>
    <cellStyle name="Normal 6 2 2 2 2 13" xfId="617"/>
    <cellStyle name="Normal 6 2 2 2 2 14" xfId="618"/>
    <cellStyle name="Normal 6 2 2 2 2 15" xfId="619"/>
    <cellStyle name="Normal 6 2 2 2 2 16" xfId="620"/>
    <cellStyle name="Normal 6 2 2 2 2 17" xfId="621"/>
    <cellStyle name="Normal 6 2 2 2 2 18" xfId="622"/>
    <cellStyle name="Normal 6 2 2 2 2 19" xfId="623"/>
    <cellStyle name="Normal 6 2 2 2 2 2" xfId="624"/>
    <cellStyle name="Normal 6 2 2 2 2 2 2" xfId="625"/>
    <cellStyle name="Normal 6 2 2 2 2 2 2 10" xfId="626"/>
    <cellStyle name="Normal 6 2 2 2 2 2 2 11" xfId="627"/>
    <cellStyle name="Normal 6 2 2 2 2 2 2 12" xfId="628"/>
    <cellStyle name="Normal 6 2 2 2 2 2 2 13" xfId="629"/>
    <cellStyle name="Normal 6 2 2 2 2 2 2 14" xfId="630"/>
    <cellStyle name="Normal 6 2 2 2 2 2 2 15" xfId="631"/>
    <cellStyle name="Normal 6 2 2 2 2 2 2 16" xfId="632"/>
    <cellStyle name="Normal 6 2 2 2 2 2 2 17" xfId="633"/>
    <cellStyle name="Normal 6 2 2 2 2 2 2 18" xfId="634"/>
    <cellStyle name="Normal 6 2 2 2 2 2 2 2" xfId="635"/>
    <cellStyle name="Normal 6 2 2 2 2 2 2 3" xfId="636"/>
    <cellStyle name="Normal 6 2 2 2 2 2 2 4" xfId="637"/>
    <cellStyle name="Normal 6 2 2 2 2 2 2 5" xfId="638"/>
    <cellStyle name="Normal 6 2 2 2 2 2 2 6" xfId="639"/>
    <cellStyle name="Normal 6 2 2 2 2 2 2 7" xfId="640"/>
    <cellStyle name="Normal 6 2 2 2 2 2 2 8" xfId="641"/>
    <cellStyle name="Normal 6 2 2 2 2 2 2 9" xfId="642"/>
    <cellStyle name="Normal 6 2 2 2 2 2 3" xfId="643"/>
    <cellStyle name="Normal 6 2 2 2 2 3" xfId="644"/>
    <cellStyle name="Normal 6 2 2 2 2 4" xfId="645"/>
    <cellStyle name="Normal 6 2 2 2 2 5" xfId="646"/>
    <cellStyle name="Normal 6 2 2 2 2 6" xfId="647"/>
    <cellStyle name="Normal 6 2 2 2 2 7" xfId="648"/>
    <cellStyle name="Normal 6 2 2 2 2 8" xfId="649"/>
    <cellStyle name="Normal 6 2 2 2 2 9" xfId="650"/>
    <cellStyle name="Normal 6 2 2 2 3" xfId="651"/>
    <cellStyle name="Normal 6 2 2 2 4" xfId="652"/>
    <cellStyle name="Normal 6 2 2 20" xfId="653"/>
    <cellStyle name="Normal 6 2 2 3" xfId="654"/>
    <cellStyle name="Normal 6 2 2 3 10" xfId="655"/>
    <cellStyle name="Normal 6 2 2 3 11" xfId="656"/>
    <cellStyle name="Normal 6 2 2 3 12" xfId="657"/>
    <cellStyle name="Normal 6 2 2 3 13" xfId="658"/>
    <cellStyle name="Normal 6 2 2 3 14" xfId="659"/>
    <cellStyle name="Normal 6 2 2 3 15" xfId="660"/>
    <cellStyle name="Normal 6 2 2 3 16" xfId="661"/>
    <cellStyle name="Normal 6 2 2 3 17" xfId="662"/>
    <cellStyle name="Normal 6 2 2 3 18" xfId="663"/>
    <cellStyle name="Normal 6 2 2 3 2" xfId="664"/>
    <cellStyle name="Normal 6 2 2 3 3" xfId="665"/>
    <cellStyle name="Normal 6 2 2 3 4" xfId="666"/>
    <cellStyle name="Normal 6 2 2 3 5" xfId="667"/>
    <cellStyle name="Normal 6 2 2 3 6" xfId="668"/>
    <cellStyle name="Normal 6 2 2 3 7" xfId="669"/>
    <cellStyle name="Normal 6 2 2 3 8" xfId="670"/>
    <cellStyle name="Normal 6 2 2 3 9" xfId="671"/>
    <cellStyle name="Normal 6 2 2 4" xfId="672"/>
    <cellStyle name="Normal 6 2 2 5" xfId="673"/>
    <cellStyle name="Normal 6 2 2 6" xfId="674"/>
    <cellStyle name="Normal 6 2 2 7" xfId="675"/>
    <cellStyle name="Normal 6 2 2 8" xfId="676"/>
    <cellStyle name="Normal 6 2 2 9" xfId="677"/>
    <cellStyle name="Normal 6 2 20" xfId="678"/>
    <cellStyle name="Normal 6 2 3" xfId="679"/>
    <cellStyle name="Normal 6 2 3 10" xfId="680"/>
    <cellStyle name="Normal 6 2 3 11" xfId="681"/>
    <cellStyle name="Normal 6 2 3 12" xfId="682"/>
    <cellStyle name="Normal 6 2 3 13" xfId="683"/>
    <cellStyle name="Normal 6 2 3 14" xfId="684"/>
    <cellStyle name="Normal 6 2 3 15" xfId="685"/>
    <cellStyle name="Normal 6 2 3 16" xfId="686"/>
    <cellStyle name="Normal 6 2 3 17" xfId="687"/>
    <cellStyle name="Normal 6 2 3 18" xfId="688"/>
    <cellStyle name="Normal 6 2 3 19" xfId="689"/>
    <cellStyle name="Normal 6 2 3 2" xfId="690"/>
    <cellStyle name="Normal 6 2 3 3" xfId="691"/>
    <cellStyle name="Normal 6 2 3 4" xfId="692"/>
    <cellStyle name="Normal 6 2 3 5" xfId="693"/>
    <cellStyle name="Normal 6 2 3 6" xfId="694"/>
    <cellStyle name="Normal 6 2 3 7" xfId="695"/>
    <cellStyle name="Normal 6 2 3 8" xfId="696"/>
    <cellStyle name="Normal 6 2 3 9" xfId="697"/>
    <cellStyle name="Normal 6 2 4" xfId="698"/>
    <cellStyle name="Normal 6 2 5" xfId="699"/>
    <cellStyle name="Normal 6 2 6" xfId="700"/>
    <cellStyle name="Normal 6 2 7" xfId="701"/>
    <cellStyle name="Normal 6 2 8" xfId="702"/>
    <cellStyle name="Normal 6 2 9" xfId="703"/>
    <cellStyle name="Normal 6 20" xfId="704"/>
    <cellStyle name="Normal 6 21" xfId="705"/>
    <cellStyle name="Normal 6 22" xfId="706"/>
    <cellStyle name="Normal 6 23" xfId="707"/>
    <cellStyle name="Normal 6 3" xfId="708"/>
    <cellStyle name="Normal 6 3 10" xfId="709"/>
    <cellStyle name="Normal 6 3 11" xfId="710"/>
    <cellStyle name="Normal 6 3 12" xfId="711"/>
    <cellStyle name="Normal 6 3 13" xfId="712"/>
    <cellStyle name="Normal 6 3 14" xfId="713"/>
    <cellStyle name="Normal 6 3 15" xfId="714"/>
    <cellStyle name="Normal 6 3 16" xfId="715"/>
    <cellStyle name="Normal 6 3 17" xfId="716"/>
    <cellStyle name="Normal 6 3 18" xfId="717"/>
    <cellStyle name="Normal 6 3 19" xfId="718"/>
    <cellStyle name="Normal 6 3 2" xfId="719"/>
    <cellStyle name="Normal 6 3 2 10" xfId="720"/>
    <cellStyle name="Normal 6 3 2 11" xfId="721"/>
    <cellStyle name="Normal 6 3 2 12" xfId="722"/>
    <cellStyle name="Normal 6 3 2 13" xfId="723"/>
    <cellStyle name="Normal 6 3 2 14" xfId="724"/>
    <cellStyle name="Normal 6 3 2 15" xfId="725"/>
    <cellStyle name="Normal 6 3 2 16" xfId="726"/>
    <cellStyle name="Normal 6 3 2 17" xfId="727"/>
    <cellStyle name="Normal 6 3 2 18" xfId="728"/>
    <cellStyle name="Normal 6 3 2 2" xfId="729"/>
    <cellStyle name="Normal 6 3 2 3" xfId="730"/>
    <cellStyle name="Normal 6 3 2 4" xfId="731"/>
    <cellStyle name="Normal 6 3 2 5" xfId="732"/>
    <cellStyle name="Normal 6 3 2 6" xfId="733"/>
    <cellStyle name="Normal 6 3 2 7" xfId="734"/>
    <cellStyle name="Normal 6 3 2 8" xfId="735"/>
    <cellStyle name="Normal 6 3 2 9" xfId="736"/>
    <cellStyle name="Normal 6 3 3" xfId="737"/>
    <cellStyle name="Normal 6 3 4" xfId="738"/>
    <cellStyle name="Normal 6 3 5" xfId="739"/>
    <cellStyle name="Normal 6 3 6" xfId="740"/>
    <cellStyle name="Normal 6 3 7" xfId="741"/>
    <cellStyle name="Normal 6 3 8" xfId="742"/>
    <cellStyle name="Normal 6 3 9" xfId="743"/>
    <cellStyle name="Normal 6 4" xfId="744"/>
    <cellStyle name="Normal 6 4 10" xfId="745"/>
    <cellStyle name="Normal 6 4 11" xfId="746"/>
    <cellStyle name="Normal 6 4 12" xfId="747"/>
    <cellStyle name="Normal 6 4 13" xfId="748"/>
    <cellStyle name="Normal 6 4 14" xfId="749"/>
    <cellStyle name="Normal 6 4 15" xfId="750"/>
    <cellStyle name="Normal 6 4 16" xfId="751"/>
    <cellStyle name="Normal 6 4 17" xfId="752"/>
    <cellStyle name="Normal 6 4 18" xfId="753"/>
    <cellStyle name="Normal 6 4 2" xfId="754"/>
    <cellStyle name="Normal 6 4 3" xfId="755"/>
    <cellStyle name="Normal 6 4 4" xfId="756"/>
    <cellStyle name="Normal 6 4 5" xfId="757"/>
    <cellStyle name="Normal 6 4 6" xfId="758"/>
    <cellStyle name="Normal 6 4 7" xfId="759"/>
    <cellStyle name="Normal 6 4 8" xfId="760"/>
    <cellStyle name="Normal 6 4 9" xfId="761"/>
    <cellStyle name="Normal 6 5" xfId="762"/>
    <cellStyle name="Normal 6 6" xfId="763"/>
    <cellStyle name="Normal 6 7" xfId="764"/>
    <cellStyle name="Normal 6 8" xfId="765"/>
    <cellStyle name="Normal 6 9" xfId="766"/>
    <cellStyle name="Normal 7" xfId="767"/>
    <cellStyle name="Normal 7 10" xfId="768"/>
    <cellStyle name="Normal 7 11" xfId="769"/>
    <cellStyle name="Normal 7 12" xfId="770"/>
    <cellStyle name="Normal 7 13" xfId="771"/>
    <cellStyle name="Normal 7 14" xfId="772"/>
    <cellStyle name="Normal 7 15" xfId="773"/>
    <cellStyle name="Normal 7 16" xfId="774"/>
    <cellStyle name="Normal 7 17" xfId="775"/>
    <cellStyle name="Normal 7 18" xfId="776"/>
    <cellStyle name="Normal 7 19" xfId="777"/>
    <cellStyle name="Normal 7 2" xfId="778"/>
    <cellStyle name="Normal 7 2 10" xfId="779"/>
    <cellStyle name="Normal 7 2 11" xfId="780"/>
    <cellStyle name="Normal 7 2 12" xfId="781"/>
    <cellStyle name="Normal 7 2 13" xfId="782"/>
    <cellStyle name="Normal 7 2 14" xfId="783"/>
    <cellStyle name="Normal 7 2 15" xfId="784"/>
    <cellStyle name="Normal 7 2 16" xfId="785"/>
    <cellStyle name="Normal 7 2 17" xfId="786"/>
    <cellStyle name="Normal 7 2 18" xfId="787"/>
    <cellStyle name="Normal 7 2 19" xfId="788"/>
    <cellStyle name="Normal 7 2 2" xfId="789"/>
    <cellStyle name="Normal 7 2 2 10" xfId="790"/>
    <cellStyle name="Normal 7 2 2 11" xfId="791"/>
    <cellStyle name="Normal 7 2 2 12" xfId="792"/>
    <cellStyle name="Normal 7 2 2 13" xfId="793"/>
    <cellStyle name="Normal 7 2 2 14" xfId="794"/>
    <cellStyle name="Normal 7 2 2 15" xfId="795"/>
    <cellStyle name="Normal 7 2 2 16" xfId="796"/>
    <cellStyle name="Normal 7 2 2 17" xfId="797"/>
    <cellStyle name="Normal 7 2 2 18" xfId="798"/>
    <cellStyle name="Normal 7 2 2 19" xfId="799"/>
    <cellStyle name="Normal 7 2 2 2" xfId="800"/>
    <cellStyle name="Normal 7 2 2 2 2" xfId="801"/>
    <cellStyle name="Normal 7 2 2 2 3" xfId="802"/>
    <cellStyle name="Normal 7 2 2 2 4" xfId="803"/>
    <cellStyle name="Normal 7 2 2 2 5" xfId="804"/>
    <cellStyle name="Normal 7 2 2 3" xfId="805"/>
    <cellStyle name="Normal 7 2 2 3 2" xfId="806"/>
    <cellStyle name="Normal 7 2 2 3 3" xfId="807"/>
    <cellStyle name="Normal 7 2 2 3 4" xfId="808"/>
    <cellStyle name="Normal 7 2 2 3 5" xfId="809"/>
    <cellStyle name="Normal 7 2 2 4" xfId="810"/>
    <cellStyle name="Normal 7 2 2 5" xfId="811"/>
    <cellStyle name="Normal 7 2 2 6" xfId="812"/>
    <cellStyle name="Normal 7 2 2 7" xfId="813"/>
    <cellStyle name="Normal 7 2 2 8" xfId="814"/>
    <cellStyle name="Normal 7 2 2 9" xfId="815"/>
    <cellStyle name="Normal 7 2 3" xfId="816"/>
    <cellStyle name="Normal 7 2 3 2" xfId="817"/>
    <cellStyle name="Normal 7 2 3 3" xfId="818"/>
    <cellStyle name="Normal 7 2 3 4" xfId="819"/>
    <cellStyle name="Normal 7 2 3 5" xfId="820"/>
    <cellStyle name="Normal 7 2 4" xfId="821"/>
    <cellStyle name="Normal 7 2 4 2" xfId="822"/>
    <cellStyle name="Normal 7 2 4 3" xfId="823"/>
    <cellStyle name="Normal 7 2 4 4" xfId="824"/>
    <cellStyle name="Normal 7 2 4 5" xfId="825"/>
    <cellStyle name="Normal 7 2 5" xfId="826"/>
    <cellStyle name="Normal 7 2 6" xfId="827"/>
    <cellStyle name="Normal 7 2 7" xfId="828"/>
    <cellStyle name="Normal 7 2 8" xfId="829"/>
    <cellStyle name="Normal 7 2 9" xfId="830"/>
    <cellStyle name="Normal 7 20" xfId="831"/>
    <cellStyle name="Normal 7 21" xfId="832"/>
    <cellStyle name="Normal 7 3" xfId="833"/>
    <cellStyle name="Normal 7 3 10" xfId="834"/>
    <cellStyle name="Normal 7 3 11" xfId="835"/>
    <cellStyle name="Normal 7 3 12" xfId="836"/>
    <cellStyle name="Normal 7 3 13" xfId="837"/>
    <cellStyle name="Normal 7 3 14" xfId="838"/>
    <cellStyle name="Normal 7 3 15" xfId="839"/>
    <cellStyle name="Normal 7 3 16" xfId="840"/>
    <cellStyle name="Normal 7 3 17" xfId="841"/>
    <cellStyle name="Normal 7 3 18" xfId="842"/>
    <cellStyle name="Normal 7 3 19" xfId="843"/>
    <cellStyle name="Normal 7 3 2" xfId="844"/>
    <cellStyle name="Normal 7 3 2 10" xfId="845"/>
    <cellStyle name="Normal 7 3 2 11" xfId="846"/>
    <cellStyle name="Normal 7 3 2 12" xfId="847"/>
    <cellStyle name="Normal 7 3 2 13" xfId="848"/>
    <cellStyle name="Normal 7 3 2 14" xfId="849"/>
    <cellStyle name="Normal 7 3 2 15" xfId="850"/>
    <cellStyle name="Normal 7 3 2 16" xfId="851"/>
    <cellStyle name="Normal 7 3 2 17" xfId="852"/>
    <cellStyle name="Normal 7 3 2 18" xfId="853"/>
    <cellStyle name="Normal 7 3 2 19" xfId="854"/>
    <cellStyle name="Normal 7 3 2 2" xfId="855"/>
    <cellStyle name="Normal 7 3 2 2 10" xfId="856"/>
    <cellStyle name="Normal 7 3 2 2 11" xfId="857"/>
    <cellStyle name="Normal 7 3 2 2 12" xfId="858"/>
    <cellStyle name="Normal 7 3 2 2 13" xfId="859"/>
    <cellStyle name="Normal 7 3 2 2 14" xfId="860"/>
    <cellStyle name="Normal 7 3 2 2 15" xfId="861"/>
    <cellStyle name="Normal 7 3 2 2 16" xfId="862"/>
    <cellStyle name="Normal 7 3 2 2 17" xfId="863"/>
    <cellStyle name="Normal 7 3 2 2 18" xfId="864"/>
    <cellStyle name="Normal 7 3 2 2 2" xfId="865"/>
    <cellStyle name="Normal 7 3 2 2 2 2" xfId="866"/>
    <cellStyle name="Normal 7 3 2 2 2 2 2" xfId="867"/>
    <cellStyle name="Normal 7 3 2 2 2 2 2 2" xfId="868"/>
    <cellStyle name="Normal 7 3 2 2 2 2 2 2 2" xfId="869"/>
    <cellStyle name="Normal 7 3 2 2 2 2 2 2 2 2" xfId="870"/>
    <cellStyle name="Normal 7 3 2 2 2 2 2 2 2 3" xfId="871"/>
    <cellStyle name="Normal 7 3 2 2 2 2 2 2 2 4" xfId="872"/>
    <cellStyle name="Normal 7 3 2 2 2 2 2 2 2 5" xfId="873"/>
    <cellStyle name="Normal 7 3 2 2 2 2 2 2 3" xfId="874"/>
    <cellStyle name="Normal 7 3 2 2 2 2 2 2 3 2" xfId="875"/>
    <cellStyle name="Normal 7 3 2 2 2 2 2 2 3 3" xfId="876"/>
    <cellStyle name="Normal 7 3 2 2 2 2 2 2 3 4" xfId="877"/>
    <cellStyle name="Normal 7 3 2 2 2 2 2 2 3 5" xfId="878"/>
    <cellStyle name="Normal 7 3 2 2 2 2 2 2 4" xfId="879"/>
    <cellStyle name="Normal 7 3 2 2 2 2 2 2 5" xfId="880"/>
    <cellStyle name="Normal 7 3 2 2 2 2 2 2 6" xfId="881"/>
    <cellStyle name="Normal 7 3 2 2 2 2 2 2 7" xfId="882"/>
    <cellStyle name="Normal 7 3 2 2 2 2 2 3" xfId="883"/>
    <cellStyle name="Normal 7 3 2 2 2 2 2 3 2" xfId="884"/>
    <cellStyle name="Normal 7 3 2 2 2 2 2 3 3" xfId="885"/>
    <cellStyle name="Normal 7 3 2 2 2 2 2 3 4" xfId="886"/>
    <cellStyle name="Normal 7 3 2 2 2 2 2 3 5" xfId="887"/>
    <cellStyle name="Normal 7 3 2 2 2 2 2 4" xfId="888"/>
    <cellStyle name="Normal 7 3 2 2 2 2 2 4 2" xfId="889"/>
    <cellStyle name="Normal 7 3 2 2 2 2 2 4 3" xfId="890"/>
    <cellStyle name="Normal 7 3 2 2 2 2 2 4 4" xfId="891"/>
    <cellStyle name="Normal 7 3 2 2 2 2 2 4 5" xfId="892"/>
    <cellStyle name="Normal 7 3 2 2 2 2 2 5" xfId="893"/>
    <cellStyle name="Normal 7 3 2 2 2 2 2 6" xfId="894"/>
    <cellStyle name="Normal 7 3 2 2 2 2 2 7" xfId="895"/>
    <cellStyle name="Normal 7 3 2 2 2 2 2 8" xfId="896"/>
    <cellStyle name="Normal 7 3 2 2 2 2 3" xfId="897"/>
    <cellStyle name="Normal 7 3 2 2 2 2 4" xfId="898"/>
    <cellStyle name="Normal 7 3 2 2 2 2 5" xfId="899"/>
    <cellStyle name="Normal 7 3 2 2 2 2 6" xfId="900"/>
    <cellStyle name="Normal 7 3 2 2 2 3" xfId="901"/>
    <cellStyle name="Normal 7 3 2 2 2 3 2" xfId="902"/>
    <cellStyle name="Normal 7 3 2 2 2 3 3" xfId="903"/>
    <cellStyle name="Normal 7 3 2 2 2 3 4" xfId="904"/>
    <cellStyle name="Normal 7 3 2 2 2 3 5" xfId="905"/>
    <cellStyle name="Normal 7 3 2 2 2 4" xfId="906"/>
    <cellStyle name="Normal 7 3 2 2 2 5" xfId="907"/>
    <cellStyle name="Normal 7 3 2 2 2 6" xfId="908"/>
    <cellStyle name="Normal 7 3 2 2 2 7" xfId="909"/>
    <cellStyle name="Normal 7 3 2 2 3" xfId="910"/>
    <cellStyle name="Normal 7 3 2 2 3 2" xfId="911"/>
    <cellStyle name="Normal 7 3 2 2 3 2 2" xfId="912"/>
    <cellStyle name="Normal 7 3 2 2 3 2 2 10" xfId="913"/>
    <cellStyle name="Normal 7 3 2 2 3 2 2 11" xfId="914"/>
    <cellStyle name="Normal 7 3 2 2 3 2 2 12" xfId="915"/>
    <cellStyle name="Normal 7 3 2 2 3 2 2 13" xfId="916"/>
    <cellStyle name="Normal 7 3 2 2 3 2 2 14" xfId="917"/>
    <cellStyle name="Normal 7 3 2 2 3 2 2 15" xfId="918"/>
    <cellStyle name="Normal 7 3 2 2 3 2 2 16" xfId="919"/>
    <cellStyle name="Normal 7 3 2 2 3 2 2 17" xfId="920"/>
    <cellStyle name="Normal 7 3 2 2 3 2 2 18" xfId="921"/>
    <cellStyle name="Normal 7 3 2 2 3 2 2 19" xfId="922"/>
    <cellStyle name="Normal 7 3 2 2 3 2 2 2" xfId="923"/>
    <cellStyle name="Normal 7 3 2 2 3 2 2 2 2" xfId="924"/>
    <cellStyle name="Normal 7 3 2 2 3 2 2 2 3" xfId="925"/>
    <cellStyle name="Normal 7 3 2 2 3 2 2 2 3 2 2 2 2 8 2 2 2 3 2 3 3" xfId="1365"/>
    <cellStyle name="Normal 7 3 2 2 3 2 2 2 4" xfId="926"/>
    <cellStyle name="Normal 7 3 2 2 3 2 2 2 5" xfId="927"/>
    <cellStyle name="Normal 7 3 2 2 3 2 2 2 99 2 3 3 2 2 3" xfId="1366"/>
    <cellStyle name="Normal 7 3 2 2 3 2 2 3" xfId="928"/>
    <cellStyle name="Normal 7 3 2 2 3 2 2 3 2" xfId="929"/>
    <cellStyle name="Normal 7 3 2 2 3 2 2 3 2 2 28 2 2 2 3 2" xfId="1367"/>
    <cellStyle name="Normal 7 3 2 2 3 2 2 3 2 2 28 2 2 2 3 2 2" xfId="1368"/>
    <cellStyle name="Normal 7 3 2 2 3 2 2 3 3" xfId="930"/>
    <cellStyle name="Normal 7 3 2 2 3 2 2 3 4" xfId="931"/>
    <cellStyle name="Normal 7 3 2 2 3 2 2 3 5" xfId="932"/>
    <cellStyle name="Normal 7 3 2 2 3 2 2 4" xfId="933"/>
    <cellStyle name="Normal 7 3 2 2 3 2 2 5" xfId="934"/>
    <cellStyle name="Normal 7 3 2 2 3 2 2 6" xfId="935"/>
    <cellStyle name="Normal 7 3 2 2 3 2 2 7" xfId="936"/>
    <cellStyle name="Normal 7 3 2 2 3 2 2 8" xfId="937"/>
    <cellStyle name="Normal 7 3 2 2 3 2 2 9" xfId="938"/>
    <cellStyle name="Normal 7 3 2 2 3 2 3" xfId="939"/>
    <cellStyle name="Normal 7 3 2 2 3 2 3 2" xfId="940"/>
    <cellStyle name="Normal 7 3 2 2 3 2 3 3" xfId="941"/>
    <cellStyle name="Normal 7 3 2 2 3 2 3 4" xfId="942"/>
    <cellStyle name="Normal 7 3 2 2 3 2 3 5" xfId="943"/>
    <cellStyle name="Normal 7 3 2 2 3 2 4" xfId="944"/>
    <cellStyle name="Normal 7 3 2 2 3 2 4 2" xfId="945"/>
    <cellStyle name="Normal 7 3 2 2 3 2 4 3" xfId="946"/>
    <cellStyle name="Normal 7 3 2 2 3 2 4 4" xfId="947"/>
    <cellStyle name="Normal 7 3 2 2 3 2 4 5" xfId="948"/>
    <cellStyle name="Normal 7 3 2 2 3 2 5" xfId="949"/>
    <cellStyle name="Normal 7 3 2 2 3 2 6" xfId="950"/>
    <cellStyle name="Normal 7 3 2 2 3 2 7" xfId="951"/>
    <cellStyle name="Normal 7 3 2 2 3 2 8" xfId="952"/>
    <cellStyle name="Normal 7 3 2 2 3 3" xfId="953"/>
    <cellStyle name="Normal 7 3 2 2 3 3 2" xfId="954"/>
    <cellStyle name="Normal 7 3 2 2 3 3 2 2" xfId="955"/>
    <cellStyle name="Normal 7 3 2 2 3 3 2 3" xfId="956"/>
    <cellStyle name="Normal 7 3 2 2 3 3 2 4" xfId="957"/>
    <cellStyle name="Normal 7 3 2 2 3 3 2 5" xfId="958"/>
    <cellStyle name="Normal 7 3 2 2 3 3 3" xfId="959"/>
    <cellStyle name="Normal 7 3 2 2 3 3 3 2" xfId="960"/>
    <cellStyle name="Normal 7 3 2 2 3 3 3 3" xfId="961"/>
    <cellStyle name="Normal 7 3 2 2 3 3 3 4" xfId="962"/>
    <cellStyle name="Normal 7 3 2 2 3 3 3 5" xfId="963"/>
    <cellStyle name="Normal 7 3 2 2 3 3 4" xfId="964"/>
    <cellStyle name="Normal 7 3 2 2 3 3 5" xfId="965"/>
    <cellStyle name="Normal 7 3 2 2 3 3 6" xfId="966"/>
    <cellStyle name="Normal 7 3 2 2 3 3 7" xfId="967"/>
    <cellStyle name="Normal 7 3 2 2 3 4" xfId="968"/>
    <cellStyle name="Normal 7 3 2 2 3 4 2" xfId="969"/>
    <cellStyle name="Normal 7 3 2 2 3 4 3" xfId="970"/>
    <cellStyle name="Normal 7 3 2 2 3 4 4" xfId="971"/>
    <cellStyle name="Normal 7 3 2 2 3 4 5" xfId="972"/>
    <cellStyle name="Normal 7 3 2 2 3 5" xfId="973"/>
    <cellStyle name="Normal 7 3 2 2 3 5 2" xfId="974"/>
    <cellStyle name="Normal 7 3 2 2 3 5 3" xfId="975"/>
    <cellStyle name="Normal 7 3 2 2 3 5 4" xfId="976"/>
    <cellStyle name="Normal 7 3 2 2 3 5 5" xfId="977"/>
    <cellStyle name="Normal 7 3 2 2 3 6" xfId="978"/>
    <cellStyle name="Normal 7 3 2 2 3 7" xfId="979"/>
    <cellStyle name="Normal 7 3 2 2 3 8" xfId="980"/>
    <cellStyle name="Normal 7 3 2 2 3 9" xfId="981"/>
    <cellStyle name="Normal 7 3 2 2 4" xfId="982"/>
    <cellStyle name="Normal 7 3 2 2 4 2" xfId="983"/>
    <cellStyle name="Normal 7 3 2 2 4 3" xfId="984"/>
    <cellStyle name="Normal 7 3 2 2 4 4" xfId="985"/>
    <cellStyle name="Normal 7 3 2 2 4 5" xfId="986"/>
    <cellStyle name="Normal 7 3 2 2 5" xfId="987"/>
    <cellStyle name="Normal 7 3 2 2 5 2" xfId="988"/>
    <cellStyle name="Normal 7 3 2 2 5 3" xfId="989"/>
    <cellStyle name="Normal 7 3 2 2 5 4" xfId="990"/>
    <cellStyle name="Normal 7 3 2 2 5 5" xfId="991"/>
    <cellStyle name="Normal 7 3 2 2 6" xfId="992"/>
    <cellStyle name="Normal 7 3 2 2 7" xfId="993"/>
    <cellStyle name="Normal 7 3 2 2 8" xfId="994"/>
    <cellStyle name="Normal 7 3 2 2 9" xfId="995"/>
    <cellStyle name="Normal 7 3 2 3" xfId="996"/>
    <cellStyle name="Normal 7 3 2 3 2" xfId="997"/>
    <cellStyle name="Normal 7 3 2 3 2 2" xfId="998"/>
    <cellStyle name="Normal 7 3 2 3 2 2 2" xfId="999"/>
    <cellStyle name="Normal 7 3 2 3 2 2 3" xfId="1000"/>
    <cellStyle name="Normal 7 3 2 3 2 2 4" xfId="1001"/>
    <cellStyle name="Normal 7 3 2 3 2 2 5" xfId="1002"/>
    <cellStyle name="Normal 7 3 2 3 2 3" xfId="1003"/>
    <cellStyle name="Normal 7 3 2 3 2 3 2" xfId="1004"/>
    <cellStyle name="Normal 7 3 2 3 2 3 3" xfId="1005"/>
    <cellStyle name="Normal 7 3 2 3 2 3 4" xfId="1006"/>
    <cellStyle name="Normal 7 3 2 3 2 3 5" xfId="1007"/>
    <cellStyle name="Normal 7 3 2 3 2 4" xfId="1008"/>
    <cellStyle name="Normal 7 3 2 3 2 5" xfId="1009"/>
    <cellStyle name="Normal 7 3 2 3 2 6" xfId="1010"/>
    <cellStyle name="Normal 7 3 2 3 2 7" xfId="1011"/>
    <cellStyle name="Normal 7 3 2 3 3" xfId="1012"/>
    <cellStyle name="Normal 7 3 2 3 3 2" xfId="1013"/>
    <cellStyle name="Normal 7 3 2 3 3 3" xfId="1014"/>
    <cellStyle name="Normal 7 3 2 3 3 4" xfId="1015"/>
    <cellStyle name="Normal 7 3 2 3 3 5" xfId="1016"/>
    <cellStyle name="Normal 7 3 2 3 4" xfId="1017"/>
    <cellStyle name="Normal 7 3 2 3 4 2" xfId="1018"/>
    <cellStyle name="Normal 7 3 2 3 4 3" xfId="1019"/>
    <cellStyle name="Normal 7 3 2 3 4 4" xfId="1020"/>
    <cellStyle name="Normal 7 3 2 3 4 5" xfId="1021"/>
    <cellStyle name="Normal 7 3 2 3 5" xfId="1022"/>
    <cellStyle name="Normal 7 3 2 3 6" xfId="1023"/>
    <cellStyle name="Normal 7 3 2 3 7" xfId="1024"/>
    <cellStyle name="Normal 7 3 2 3 8" xfId="1025"/>
    <cellStyle name="Normal 7 3 2 4" xfId="1026"/>
    <cellStyle name="Normal 7 3 2 4 2" xfId="1027"/>
    <cellStyle name="Normal 7 3 2 4 2 2" xfId="1028"/>
    <cellStyle name="Normal 7 3 2 4 2 3" xfId="1029"/>
    <cellStyle name="Normal 7 3 2 4 2 4" xfId="1030"/>
    <cellStyle name="Normal 7 3 2 4 2 5" xfId="1031"/>
    <cellStyle name="Normal 7 3 2 4 3" xfId="1032"/>
    <cellStyle name="Normal 7 3 2 4 3 2" xfId="1033"/>
    <cellStyle name="Normal 7 3 2 4 3 3" xfId="1034"/>
    <cellStyle name="Normal 7 3 2 4 3 4" xfId="1035"/>
    <cellStyle name="Normal 7 3 2 4 3 5" xfId="1036"/>
    <cellStyle name="Normal 7 3 2 4 4" xfId="1037"/>
    <cellStyle name="Normal 7 3 2 4 5" xfId="1038"/>
    <cellStyle name="Normal 7 3 2 4 6" xfId="1039"/>
    <cellStyle name="Normal 7 3 2 4 7" xfId="1040"/>
    <cellStyle name="Normal 7 3 2 5" xfId="1041"/>
    <cellStyle name="Normal 7 3 2 5 2" xfId="1042"/>
    <cellStyle name="Normal 7 3 2 5 3" xfId="1043"/>
    <cellStyle name="Normal 7 3 2 5 4" xfId="1044"/>
    <cellStyle name="Normal 7 3 2 5 5" xfId="1045"/>
    <cellStyle name="Normal 7 3 2 6" xfId="1046"/>
    <cellStyle name="Normal 7 3 2 6 2" xfId="1047"/>
    <cellStyle name="Normal 7 3 2 6 3" xfId="1048"/>
    <cellStyle name="Normal 7 3 2 6 4" xfId="1049"/>
    <cellStyle name="Normal 7 3 2 6 5" xfId="1050"/>
    <cellStyle name="Normal 7 3 2 7" xfId="1051"/>
    <cellStyle name="Normal 7 3 2 8" xfId="1052"/>
    <cellStyle name="Normal 7 3 2 9" xfId="1053"/>
    <cellStyle name="Normal 7 3 20" xfId="1054"/>
    <cellStyle name="Normal 7 3 21" xfId="1055"/>
    <cellStyle name="Normal 7 3 22" xfId="1056"/>
    <cellStyle name="Normal 7 3 23" xfId="1057"/>
    <cellStyle name="Normal 7 3 3" xfId="1058"/>
    <cellStyle name="Normal 7 3 3 10" xfId="1059"/>
    <cellStyle name="Normal 7 3 3 11" xfId="1060"/>
    <cellStyle name="Normal 7 3 3 12" xfId="1061"/>
    <cellStyle name="Normal 7 3 3 13" xfId="1062"/>
    <cellStyle name="Normal 7 3 3 14" xfId="1063"/>
    <cellStyle name="Normal 7 3 3 15" xfId="1064"/>
    <cellStyle name="Normal 7 3 3 16" xfId="1065"/>
    <cellStyle name="Normal 7 3 3 17" xfId="1066"/>
    <cellStyle name="Normal 7 3 3 18" xfId="1067"/>
    <cellStyle name="Normal 7 3 3 2" xfId="1068"/>
    <cellStyle name="Normal 7 3 3 2 2" xfId="1069"/>
    <cellStyle name="Normal 7 3 3 2 3" xfId="1070"/>
    <cellStyle name="Normal 7 3 3 2 4" xfId="1071"/>
    <cellStyle name="Normal 7 3 3 2 5" xfId="1072"/>
    <cellStyle name="Normal 7 3 3 3" xfId="1073"/>
    <cellStyle name="Normal 7 3 3 3 2" xfId="1074"/>
    <cellStyle name="Normal 7 3 3 3 3" xfId="1075"/>
    <cellStyle name="Normal 7 3 3 3 4" xfId="1076"/>
    <cellStyle name="Normal 7 3 3 3 5" xfId="1077"/>
    <cellStyle name="Normal 7 3 3 4" xfId="1078"/>
    <cellStyle name="Normal 7 3 3 5" xfId="1079"/>
    <cellStyle name="Normal 7 3 3 6" xfId="1080"/>
    <cellStyle name="Normal 7 3 3 7" xfId="1081"/>
    <cellStyle name="Normal 7 3 3 8" xfId="1082"/>
    <cellStyle name="Normal 7 3 3 9" xfId="1083"/>
    <cellStyle name="Normal 7 3 4" xfId="1084"/>
    <cellStyle name="Normal 7 3 4 10" xfId="1085"/>
    <cellStyle name="Normal 7 3 4 11" xfId="1086"/>
    <cellStyle name="Normal 7 3 4 12" xfId="1087"/>
    <cellStyle name="Normal 7 3 4 13" xfId="1088"/>
    <cellStyle name="Normal 7 3 4 14" xfId="1089"/>
    <cellStyle name="Normal 7 3 4 15" xfId="1090"/>
    <cellStyle name="Normal 7 3 4 16" xfId="1091"/>
    <cellStyle name="Normal 7 3 4 17" xfId="1092"/>
    <cellStyle name="Normal 7 3 4 18" xfId="1093"/>
    <cellStyle name="Normal 7 3 4 2" xfId="1094"/>
    <cellStyle name="Normal 7 3 4 3" xfId="1095"/>
    <cellStyle name="Normal 7 3 4 4" xfId="1096"/>
    <cellStyle name="Normal 7 3 4 5" xfId="1097"/>
    <cellStyle name="Normal 7 3 4 6" xfId="1098"/>
    <cellStyle name="Normal 7 3 4 7" xfId="1099"/>
    <cellStyle name="Normal 7 3 4 8" xfId="1100"/>
    <cellStyle name="Normal 7 3 4 9" xfId="1101"/>
    <cellStyle name="Normal 7 3 5" xfId="1102"/>
    <cellStyle name="Normal 7 3 5 2" xfId="1103"/>
    <cellStyle name="Normal 7 3 5 3" xfId="1104"/>
    <cellStyle name="Normal 7 3 5 4" xfId="1105"/>
    <cellStyle name="Normal 7 3 5 5" xfId="1106"/>
    <cellStyle name="Normal 7 3 6" xfId="1107"/>
    <cellStyle name="Normal 7 3 7" xfId="1108"/>
    <cellStyle name="Normal 7 3 8" xfId="1109"/>
    <cellStyle name="Normal 7 3 9" xfId="1110"/>
    <cellStyle name="Normal 7 4" xfId="1111"/>
    <cellStyle name="Normal 7 4 10" xfId="1112"/>
    <cellStyle name="Normal 7 4 11" xfId="1113"/>
    <cellStyle name="Normal 7 4 12" xfId="1114"/>
    <cellStyle name="Normal 7 4 13" xfId="1115"/>
    <cellStyle name="Normal 7 4 14" xfId="1116"/>
    <cellStyle name="Normal 7 4 15" xfId="1117"/>
    <cellStyle name="Normal 7 4 16" xfId="1118"/>
    <cellStyle name="Normal 7 4 17" xfId="1119"/>
    <cellStyle name="Normal 7 4 18" xfId="1120"/>
    <cellStyle name="Normal 7 4 2" xfId="1121"/>
    <cellStyle name="Normal 7 4 2 2" xfId="1122"/>
    <cellStyle name="Normal 7 4 2 3" xfId="1123"/>
    <cellStyle name="Normal 7 4 2 4" xfId="1124"/>
    <cellStyle name="Normal 7 4 2 5" xfId="1125"/>
    <cellStyle name="Normal 7 4 3" xfId="1126"/>
    <cellStyle name="Normal 7 4 3 2" xfId="1127"/>
    <cellStyle name="Normal 7 4 3 3" xfId="1128"/>
    <cellStyle name="Normal 7 4 3 4" xfId="1129"/>
    <cellStyle name="Normal 7 4 3 5" xfId="1130"/>
    <cellStyle name="Normal 7 4 4" xfId="1131"/>
    <cellStyle name="Normal 7 4 5" xfId="1132"/>
    <cellStyle name="Normal 7 4 6" xfId="1133"/>
    <cellStyle name="Normal 7 4 7" xfId="1134"/>
    <cellStyle name="Normal 7 4 8" xfId="1135"/>
    <cellStyle name="Normal 7 4 9" xfId="1136"/>
    <cellStyle name="Normal 7 5" xfId="1137"/>
    <cellStyle name="Normal 7 5 2" xfId="1138"/>
    <cellStyle name="Normal 7 5 3" xfId="1139"/>
    <cellStyle name="Normal 7 5 4" xfId="1140"/>
    <cellStyle name="Normal 7 5 5" xfId="1141"/>
    <cellStyle name="Normal 7 6" xfId="1142"/>
    <cellStyle name="Normal 7 6 2" xfId="1143"/>
    <cellStyle name="Normal 7 6 3" xfId="1144"/>
    <cellStyle name="Normal 7 6 4" xfId="1145"/>
    <cellStyle name="Normal 7 6 5" xfId="1146"/>
    <cellStyle name="Normal 7 7" xfId="1147"/>
    <cellStyle name="Normal 7 8" xfId="1148"/>
    <cellStyle name="Normal 7 9" xfId="1149"/>
    <cellStyle name="Normal 8" xfId="1150"/>
    <cellStyle name="Normal 8 2" xfId="1151"/>
    <cellStyle name="Normal 8 3" xfId="1152"/>
    <cellStyle name="Normal 9" xfId="1153"/>
    <cellStyle name="Notas 2" xfId="1154"/>
    <cellStyle name="Notas 2 10" xfId="1155"/>
    <cellStyle name="Notas 2 10 2" xfId="1156"/>
    <cellStyle name="Notas 2 10 2 2" xfId="1409"/>
    <cellStyle name="Notas 2 10 3" xfId="1157"/>
    <cellStyle name="Notas 2 11" xfId="1158"/>
    <cellStyle name="Notas 2 11 2" xfId="1159"/>
    <cellStyle name="Notas 2 11 2 2" xfId="1410"/>
    <cellStyle name="Notas 2 11 3" xfId="1160"/>
    <cellStyle name="Notas 2 12" xfId="1161"/>
    <cellStyle name="Notas 2 12 2" xfId="1162"/>
    <cellStyle name="Notas 2 12 2 2" xfId="1411"/>
    <cellStyle name="Notas 2 12 3" xfId="1163"/>
    <cellStyle name="Notas 2 13" xfId="1164"/>
    <cellStyle name="Notas 2 13 2" xfId="1165"/>
    <cellStyle name="Notas 2 13 2 2" xfId="1412"/>
    <cellStyle name="Notas 2 13 3" xfId="1166"/>
    <cellStyle name="Notas 2 14" xfId="1167"/>
    <cellStyle name="Notas 2 14 2" xfId="1168"/>
    <cellStyle name="Notas 2 14 2 2" xfId="1413"/>
    <cellStyle name="Notas 2 14 3" xfId="1169"/>
    <cellStyle name="Notas 2 15" xfId="1170"/>
    <cellStyle name="Notas 2 15 2" xfId="1171"/>
    <cellStyle name="Notas 2 15 2 2" xfId="1414"/>
    <cellStyle name="Notas 2 15 3" xfId="1172"/>
    <cellStyle name="Notas 2 16" xfId="1173"/>
    <cellStyle name="Notas 2 16 2" xfId="1174"/>
    <cellStyle name="Notas 2 16 2 2" xfId="1415"/>
    <cellStyle name="Notas 2 16 3" xfId="1175"/>
    <cellStyle name="Notas 2 17" xfId="1176"/>
    <cellStyle name="Notas 2 17 2" xfId="1177"/>
    <cellStyle name="Notas 2 17 2 2" xfId="1416"/>
    <cellStyle name="Notas 2 17 3" xfId="1178"/>
    <cellStyle name="Notas 2 18" xfId="1179"/>
    <cellStyle name="Notas 2 18 2" xfId="1180"/>
    <cellStyle name="Notas 2 18 2 2" xfId="1417"/>
    <cellStyle name="Notas 2 18 3" xfId="1181"/>
    <cellStyle name="Notas 2 19" xfId="1182"/>
    <cellStyle name="Notas 2 19 2" xfId="1418"/>
    <cellStyle name="Notas 2 2" xfId="1183"/>
    <cellStyle name="Notas 2 2 2" xfId="1184"/>
    <cellStyle name="Notas 2 2 2 2" xfId="1419"/>
    <cellStyle name="Notas 2 2 3" xfId="1185"/>
    <cellStyle name="Notas 2 20" xfId="1186"/>
    <cellStyle name="Notas 2 3" xfId="1187"/>
    <cellStyle name="Notas 2 3 2" xfId="1188"/>
    <cellStyle name="Notas 2 3 2 2" xfId="1420"/>
    <cellStyle name="Notas 2 3 3" xfId="1189"/>
    <cellStyle name="Notas 2 4" xfId="1190"/>
    <cellStyle name="Notas 2 4 2" xfId="1191"/>
    <cellStyle name="Notas 2 4 2 2" xfId="1421"/>
    <cellStyle name="Notas 2 4 3" xfId="1192"/>
    <cellStyle name="Notas 2 5" xfId="1193"/>
    <cellStyle name="Notas 2 5 2" xfId="1194"/>
    <cellStyle name="Notas 2 5 2 2" xfId="1422"/>
    <cellStyle name="Notas 2 5 3" xfId="1195"/>
    <cellStyle name="Notas 2 6" xfId="1196"/>
    <cellStyle name="Notas 2 6 2" xfId="1197"/>
    <cellStyle name="Notas 2 6 2 2" xfId="1423"/>
    <cellStyle name="Notas 2 6 3" xfId="1198"/>
    <cellStyle name="Notas 2 7" xfId="1199"/>
    <cellStyle name="Notas 2 7 2" xfId="1200"/>
    <cellStyle name="Notas 2 7 2 2" xfId="1424"/>
    <cellStyle name="Notas 2 7 3" xfId="1201"/>
    <cellStyle name="Notas 2 8" xfId="1202"/>
    <cellStyle name="Notas 2 8 2" xfId="1203"/>
    <cellStyle name="Notas 2 8 2 2" xfId="1425"/>
    <cellStyle name="Notas 2 8 3" xfId="1204"/>
    <cellStyle name="Notas 2 9" xfId="1205"/>
    <cellStyle name="Notas 2 9 2" xfId="1206"/>
    <cellStyle name="Notas 2 9 2 2" xfId="1426"/>
    <cellStyle name="Notas 2 9 3" xfId="1207"/>
    <cellStyle name="Porcentaje 2" xfId="1208"/>
    <cellStyle name="Porcentual 2" xfId="1209"/>
    <cellStyle name="Porcentual 2 10" xfId="1210"/>
    <cellStyle name="Porcentual 2 11" xfId="1211"/>
    <cellStyle name="Porcentual 2 12" xfId="1212"/>
    <cellStyle name="Porcentual 2 13" xfId="1213"/>
    <cellStyle name="Porcentual 2 14" xfId="1214"/>
    <cellStyle name="Porcentual 2 15" xfId="1215"/>
    <cellStyle name="Porcentual 2 16" xfId="1216"/>
    <cellStyle name="Porcentual 2 17" xfId="1217"/>
    <cellStyle name="Porcentual 2 18" xfId="1218"/>
    <cellStyle name="Porcentual 2 19" xfId="1219"/>
    <cellStyle name="Porcentual 2 2" xfId="1220"/>
    <cellStyle name="Porcentual 2 20" xfId="1221"/>
    <cellStyle name="Porcentual 2 21" xfId="1222"/>
    <cellStyle name="Porcentual 2 22" xfId="1223"/>
    <cellStyle name="Porcentual 2 23" xfId="1224"/>
    <cellStyle name="Porcentual 2 24" xfId="1225"/>
    <cellStyle name="Porcentual 2 25" xfId="1226"/>
    <cellStyle name="Porcentual 2 26" xfId="1227"/>
    <cellStyle name="Porcentual 2 27" xfId="1228"/>
    <cellStyle name="Porcentual 2 28" xfId="1229"/>
    <cellStyle name="Porcentual 2 29" xfId="1230"/>
    <cellStyle name="Porcentual 2 3" xfId="1231"/>
    <cellStyle name="Porcentual 2 30" xfId="1232"/>
    <cellStyle name="Porcentual 2 31" xfId="1233"/>
    <cellStyle name="Porcentual 2 32" xfId="1234"/>
    <cellStyle name="Porcentual 2 4" xfId="1235"/>
    <cellStyle name="Porcentual 2 5" xfId="1236"/>
    <cellStyle name="Porcentual 2 6" xfId="1237"/>
    <cellStyle name="Porcentual 2 7" xfId="1238"/>
    <cellStyle name="Porcentual 2 8" xfId="1239"/>
    <cellStyle name="Porcentual 2 9" xfId="1240"/>
    <cellStyle name="Porcentual 3" xfId="1241"/>
    <cellStyle name="Porcentual 3 2" xfId="1242"/>
    <cellStyle name="Porcentual 3 3" xfId="1243"/>
    <cellStyle name="Porcentual 3 4" xfId="1244"/>
    <cellStyle name="Porcentual 3 5" xfId="1245"/>
    <cellStyle name="Porcentual 3 6" xfId="1246"/>
    <cellStyle name="Porcentual 4" xfId="1247"/>
    <cellStyle name="Porcentual 4 2" xfId="1248"/>
    <cellStyle name="Porcentual 4 3" xfId="1249"/>
    <cellStyle name="Salida 2" xfId="1250"/>
    <cellStyle name="Salida 2 10" xfId="1251"/>
    <cellStyle name="Salida 2 10 2" xfId="1252"/>
    <cellStyle name="Salida 2 10 2 2" xfId="1427"/>
    <cellStyle name="Salida 2 10 3" xfId="1253"/>
    <cellStyle name="Salida 2 11" xfId="1254"/>
    <cellStyle name="Salida 2 11 2" xfId="1255"/>
    <cellStyle name="Salida 2 11 2 2" xfId="1428"/>
    <cellStyle name="Salida 2 11 3" xfId="1256"/>
    <cellStyle name="Salida 2 12" xfId="1257"/>
    <cellStyle name="Salida 2 12 2" xfId="1258"/>
    <cellStyle name="Salida 2 12 2 2" xfId="1429"/>
    <cellStyle name="Salida 2 12 3" xfId="1259"/>
    <cellStyle name="Salida 2 13" xfId="1260"/>
    <cellStyle name="Salida 2 13 2" xfId="1261"/>
    <cellStyle name="Salida 2 13 2 2" xfId="1430"/>
    <cellStyle name="Salida 2 13 3" xfId="1262"/>
    <cellStyle name="Salida 2 14" xfId="1263"/>
    <cellStyle name="Salida 2 14 2" xfId="1264"/>
    <cellStyle name="Salida 2 14 2 2" xfId="1431"/>
    <cellStyle name="Salida 2 14 3" xfId="1265"/>
    <cellStyle name="Salida 2 15" xfId="1266"/>
    <cellStyle name="Salida 2 15 2" xfId="1267"/>
    <cellStyle name="Salida 2 15 2 2" xfId="1432"/>
    <cellStyle name="Salida 2 15 3" xfId="1268"/>
    <cellStyle name="Salida 2 16" xfId="1269"/>
    <cellStyle name="Salida 2 16 2" xfId="1270"/>
    <cellStyle name="Salida 2 16 2 2" xfId="1433"/>
    <cellStyle name="Salida 2 16 3" xfId="1271"/>
    <cellStyle name="Salida 2 17" xfId="1272"/>
    <cellStyle name="Salida 2 17 2" xfId="1273"/>
    <cellStyle name="Salida 2 17 2 2" xfId="1434"/>
    <cellStyle name="Salida 2 17 3" xfId="1274"/>
    <cellStyle name="Salida 2 18" xfId="1275"/>
    <cellStyle name="Salida 2 18 2" xfId="1276"/>
    <cellStyle name="Salida 2 18 2 2" xfId="1435"/>
    <cellStyle name="Salida 2 18 3" xfId="1277"/>
    <cellStyle name="Salida 2 19" xfId="1278"/>
    <cellStyle name="Salida 2 19 2" xfId="1436"/>
    <cellStyle name="Salida 2 2" xfId="1279"/>
    <cellStyle name="Salida 2 2 2" xfId="1280"/>
    <cellStyle name="Salida 2 2 2 2" xfId="1437"/>
    <cellStyle name="Salida 2 2 3" xfId="1281"/>
    <cellStyle name="Salida 2 20" xfId="1282"/>
    <cellStyle name="Salida 2 3" xfId="1283"/>
    <cellStyle name="Salida 2 3 2" xfId="1284"/>
    <cellStyle name="Salida 2 3 2 2" xfId="1438"/>
    <cellStyle name="Salida 2 3 3" xfId="1285"/>
    <cellStyle name="Salida 2 4" xfId="1286"/>
    <cellStyle name="Salida 2 4 2" xfId="1287"/>
    <cellStyle name="Salida 2 4 2 2" xfId="1439"/>
    <cellStyle name="Salida 2 4 3" xfId="1288"/>
    <cellStyle name="Salida 2 5" xfId="1289"/>
    <cellStyle name="Salida 2 5 2" xfId="1290"/>
    <cellStyle name="Salida 2 5 2 2" xfId="1440"/>
    <cellStyle name="Salida 2 5 3" xfId="1291"/>
    <cellStyle name="Salida 2 6" xfId="1292"/>
    <cellStyle name="Salida 2 6 2" xfId="1293"/>
    <cellStyle name="Salida 2 6 2 2" xfId="1441"/>
    <cellStyle name="Salida 2 6 3" xfId="1294"/>
    <cellStyle name="Salida 2 7" xfId="1295"/>
    <cellStyle name="Salida 2 7 2" xfId="1296"/>
    <cellStyle name="Salida 2 7 2 2" xfId="1442"/>
    <cellStyle name="Salida 2 7 3" xfId="1297"/>
    <cellStyle name="Salida 2 8" xfId="1298"/>
    <cellStyle name="Salida 2 8 2" xfId="1299"/>
    <cellStyle name="Salida 2 8 2 2" xfId="1443"/>
    <cellStyle name="Salida 2 8 3" xfId="1300"/>
    <cellStyle name="Salida 2 9" xfId="1301"/>
    <cellStyle name="Salida 2 9 2" xfId="1302"/>
    <cellStyle name="Salida 2 9 2 2" xfId="1444"/>
    <cellStyle name="Salida 2 9 3" xfId="1303"/>
    <cellStyle name="Texto de advertencia 2" xfId="1304"/>
    <cellStyle name="Texto explicativo 2" xfId="1305"/>
    <cellStyle name="Título 1 2" xfId="1306"/>
    <cellStyle name="Título 2 2" xfId="1307"/>
    <cellStyle name="Título 3 2" xfId="1308"/>
    <cellStyle name="Título 4" xfId="1309"/>
    <cellStyle name="Total 2" xfId="1310"/>
    <cellStyle name="Total 2 10" xfId="1311"/>
    <cellStyle name="Total 2 10 2" xfId="1312"/>
    <cellStyle name="Total 2 10 2 2" xfId="1445"/>
    <cellStyle name="Total 2 10 3" xfId="1313"/>
    <cellStyle name="Total 2 11" xfId="1314"/>
    <cellStyle name="Total 2 11 2" xfId="1315"/>
    <cellStyle name="Total 2 11 2 2" xfId="1446"/>
    <cellStyle name="Total 2 11 3" xfId="1316"/>
    <cellStyle name="Total 2 12" xfId="1317"/>
    <cellStyle name="Total 2 12 2" xfId="1318"/>
    <cellStyle name="Total 2 12 2 2" xfId="1447"/>
    <cellStyle name="Total 2 12 3" xfId="1319"/>
    <cellStyle name="Total 2 13" xfId="1320"/>
    <cellStyle name="Total 2 13 2" xfId="1321"/>
    <cellStyle name="Total 2 13 2 2" xfId="1448"/>
    <cellStyle name="Total 2 13 3" xfId="1322"/>
    <cellStyle name="Total 2 14" xfId="1323"/>
    <cellStyle name="Total 2 14 2" xfId="1324"/>
    <cellStyle name="Total 2 14 2 2" xfId="1449"/>
    <cellStyle name="Total 2 14 3" xfId="1325"/>
    <cellStyle name="Total 2 15" xfId="1326"/>
    <cellStyle name="Total 2 15 2" xfId="1327"/>
    <cellStyle name="Total 2 15 2 2" xfId="1450"/>
    <cellStyle name="Total 2 15 3" xfId="1328"/>
    <cellStyle name="Total 2 16" xfId="1329"/>
    <cellStyle name="Total 2 16 2" xfId="1330"/>
    <cellStyle name="Total 2 16 2 2" xfId="1451"/>
    <cellStyle name="Total 2 16 3" xfId="1331"/>
    <cellStyle name="Total 2 17" xfId="1332"/>
    <cellStyle name="Total 2 17 2" xfId="1333"/>
    <cellStyle name="Total 2 17 2 2" xfId="1452"/>
    <cellStyle name="Total 2 17 3" xfId="1334"/>
    <cellStyle name="Total 2 18" xfId="1335"/>
    <cellStyle name="Total 2 18 2" xfId="1336"/>
    <cellStyle name="Total 2 18 2 2" xfId="1453"/>
    <cellStyle name="Total 2 18 3" xfId="1337"/>
    <cellStyle name="Total 2 19" xfId="1338"/>
    <cellStyle name="Total 2 19 2" xfId="1454"/>
    <cellStyle name="Total 2 2" xfId="1339"/>
    <cellStyle name="Total 2 2 2" xfId="1340"/>
    <cellStyle name="Total 2 2 2 2" xfId="1455"/>
    <cellStyle name="Total 2 2 3" xfId="1341"/>
    <cellStyle name="Total 2 20" xfId="1342"/>
    <cellStyle name="Total 2 3" xfId="1343"/>
    <cellStyle name="Total 2 3 2" xfId="1344"/>
    <cellStyle name="Total 2 3 2 2" xfId="1456"/>
    <cellStyle name="Total 2 3 3" xfId="1345"/>
    <cellStyle name="Total 2 4" xfId="1346"/>
    <cellStyle name="Total 2 4 2" xfId="1347"/>
    <cellStyle name="Total 2 4 2 2" xfId="1457"/>
    <cellStyle name="Total 2 4 3" xfId="1348"/>
    <cellStyle name="Total 2 5" xfId="1349"/>
    <cellStyle name="Total 2 5 2" xfId="1350"/>
    <cellStyle name="Total 2 5 2 2" xfId="1458"/>
    <cellStyle name="Total 2 5 3" xfId="1351"/>
    <cellStyle name="Total 2 6" xfId="1352"/>
    <cellStyle name="Total 2 6 2" xfId="1353"/>
    <cellStyle name="Total 2 6 2 2" xfId="1459"/>
    <cellStyle name="Total 2 6 3" xfId="1354"/>
    <cellStyle name="Total 2 7" xfId="1355"/>
    <cellStyle name="Total 2 7 2" xfId="1356"/>
    <cellStyle name="Total 2 7 2 2" xfId="1460"/>
    <cellStyle name="Total 2 7 3" xfId="1357"/>
    <cellStyle name="Total 2 8" xfId="1358"/>
    <cellStyle name="Total 2 8 2" xfId="1359"/>
    <cellStyle name="Total 2 8 2 2" xfId="1461"/>
    <cellStyle name="Total 2 8 3" xfId="1360"/>
    <cellStyle name="Total 2 9" xfId="1361"/>
    <cellStyle name="Total 2 9 2" xfId="1362"/>
    <cellStyle name="Total 2 9 2 2" xfId="1462"/>
    <cellStyle name="Total 2 9 3" xfId="1363"/>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355599</xdr:colOff>
      <xdr:row>0</xdr:row>
      <xdr:rowOff>219075</xdr:rowOff>
    </xdr:from>
    <xdr:to>
      <xdr:col>6</xdr:col>
      <xdr:colOff>228599</xdr:colOff>
      <xdr:row>2</xdr:row>
      <xdr:rowOff>114300</xdr:rowOff>
    </xdr:to>
    <xdr:pic>
      <xdr:nvPicPr>
        <xdr:cNvPr id="2" name="1 Imagen">
          <a:extLst>
            <a:ext uri="{FF2B5EF4-FFF2-40B4-BE49-F238E27FC236}">
              <a16:creationId xmlns="" xmlns:a16="http://schemas.microsoft.com/office/drawing/2014/main" id="{00000000-0008-0000-0300-000002000000}"/>
            </a:ext>
          </a:extLst>
        </xdr:cNvPr>
        <xdr:cNvPicPr/>
      </xdr:nvPicPr>
      <xdr:blipFill>
        <a:blip xmlns:r="http://schemas.openxmlformats.org/officeDocument/2006/relationships" r:embed="rId1" cstate="print"/>
        <a:srcRect/>
        <a:stretch>
          <a:fillRect/>
        </a:stretch>
      </xdr:blipFill>
      <xdr:spPr bwMode="auto">
        <a:xfrm>
          <a:off x="8451849" y="219075"/>
          <a:ext cx="977900" cy="895350"/>
        </a:xfrm>
        <a:prstGeom prst="rect">
          <a:avLst/>
        </a:prstGeom>
        <a:noFill/>
        <a:ln w="9525">
          <a:noFill/>
          <a:miter lim="800000"/>
          <a:headEnd/>
          <a:tailEnd/>
        </a:ln>
      </xdr:spPr>
    </xdr:pic>
    <xdr:clientData/>
  </xdr:twoCellAnchor>
  <xdr:twoCellAnchor editAs="oneCell">
    <xdr:from>
      <xdr:col>19</xdr:col>
      <xdr:colOff>447675</xdr:colOff>
      <xdr:row>0</xdr:row>
      <xdr:rowOff>219075</xdr:rowOff>
    </xdr:from>
    <xdr:to>
      <xdr:col>19</xdr:col>
      <xdr:colOff>1425575</xdr:colOff>
      <xdr:row>2</xdr:row>
      <xdr:rowOff>114300</xdr:rowOff>
    </xdr:to>
    <xdr:pic>
      <xdr:nvPicPr>
        <xdr:cNvPr id="4" name="3 Imagen">
          <a:extLst>
            <a:ext uri="{FF2B5EF4-FFF2-40B4-BE49-F238E27FC236}">
              <a16:creationId xmlns="" xmlns:a16="http://schemas.microsoft.com/office/drawing/2014/main" id="{00000000-0008-0000-0300-000002000000}"/>
            </a:ext>
          </a:extLst>
        </xdr:cNvPr>
        <xdr:cNvPicPr/>
      </xdr:nvPicPr>
      <xdr:blipFill>
        <a:blip xmlns:r="http://schemas.openxmlformats.org/officeDocument/2006/relationships" r:embed="rId1" cstate="print"/>
        <a:srcRect/>
        <a:stretch>
          <a:fillRect/>
        </a:stretch>
      </xdr:blipFill>
      <xdr:spPr bwMode="auto">
        <a:xfrm>
          <a:off x="21974175" y="219075"/>
          <a:ext cx="977900" cy="8953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cisneros\AppData\Roaming\Microsoft\Excel\Formatos%20Obras%20Publicas%20TRANSPARENCIA%20FEBRERO%202017%20(version%201).xlsb"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V, inciso ñ)"/>
      <sheetName val="V, inciso o) (OP)"/>
      <sheetName val="V, inciso p) (OP)"/>
      <sheetName val="V, inciso c) (OP)"/>
      <sheetName val="Artículo 15, frac. XIII"/>
    </sheetNames>
    <sheetDataSet>
      <sheetData sheetId="0"/>
      <sheetData sheetId="1">
        <row r="40">
          <cell r="M40" t="str">
            <v>José Antonio</v>
          </cell>
          <cell r="N40" t="str">
            <v>Álvarez</v>
          </cell>
          <cell r="O40" t="str">
            <v>Garcia</v>
          </cell>
          <cell r="P40" t="str">
            <v>Urcoma 1970, S. A. de C. V. PCZ-041/2016</v>
          </cell>
          <cell r="Q40" t="str">
            <v>UMN160125869</v>
          </cell>
        </row>
        <row r="41">
          <cell r="M41" t="str">
            <v>Juan Francisco</v>
          </cell>
          <cell r="N41" t="str">
            <v>Toscano</v>
          </cell>
          <cell r="O41" t="str">
            <v>Lases</v>
          </cell>
          <cell r="P41" t="str">
            <v>Infografía Digital de Occidente, S. A. de C. V. PCZ-178/2016</v>
          </cell>
          <cell r="Q41" t="str">
            <v>IDO100427QG2</v>
          </cell>
        </row>
        <row r="42">
          <cell r="C42" t="str">
            <v>DOPI-MUN-RM-EM-AD-068-2016</v>
          </cell>
          <cell r="M42" t="str">
            <v>Alfredo</v>
          </cell>
          <cell r="N42" t="str">
            <v>Aguirre</v>
          </cell>
          <cell r="O42" t="str">
            <v>Montoya</v>
          </cell>
          <cell r="P42" t="str">
            <v>Torres Aguirre Ingenieros, S.A. de C.V.</v>
          </cell>
          <cell r="Q42" t="str">
            <v>TAI920312952</v>
          </cell>
          <cell r="V42">
            <v>42545</v>
          </cell>
          <cell r="Y42">
            <v>4496387.16</v>
          </cell>
          <cell r="AA42" t="str">
            <v>Construcción de solución pluvial y de reforzamiento en terreno afectado por deslaves en paredes de terreno natural en terreno anexo a Residencial Poniente, Municipio de Zapopan, Jalisco.</v>
          </cell>
          <cell r="AD42">
            <v>42548</v>
          </cell>
          <cell r="AE42">
            <v>42637</v>
          </cell>
        </row>
        <row r="43">
          <cell r="C43" t="str">
            <v>DOPI-MUN-RM-EM-AD-069-2016</v>
          </cell>
          <cell r="M43" t="str">
            <v>José Antonio</v>
          </cell>
          <cell r="N43" t="str">
            <v>Cuevas</v>
          </cell>
          <cell r="O43" t="str">
            <v>Briseño</v>
          </cell>
          <cell r="P43" t="str">
            <v>José Antonio Cuevas Briseño</v>
          </cell>
          <cell r="Q43" t="str">
            <v>CUBA5705179V8</v>
          </cell>
          <cell r="V43">
            <v>42542</v>
          </cell>
          <cell r="Y43">
            <v>2358235.4400000004</v>
          </cell>
          <cell r="AA43" t="str">
            <v>Reconstrucción de la cimentación, instalaciones, estructura y terminados de viviendas, y construcción de casa habitación afectadas por la explosion sucitada en el fraccionamiento Tabachines en las confluencias de la calle Frambuesos y la Av. Caobas, Municipio de Zapopan, Jalisco.</v>
          </cell>
          <cell r="AD43">
            <v>42543</v>
          </cell>
          <cell r="AE43">
            <v>42632</v>
          </cell>
        </row>
        <row r="44">
          <cell r="C44" t="str">
            <v>DOPI-MUN-RM-CA-AD-070-2016</v>
          </cell>
          <cell r="M44" t="str">
            <v xml:space="preserve">Eduardo </v>
          </cell>
          <cell r="N44" t="str">
            <v>Plascencia</v>
          </cell>
          <cell r="O44" t="str">
            <v>Macias</v>
          </cell>
          <cell r="P44" t="str">
            <v>Constructora y Edificadora Plasma, S.A. de C.V.</v>
          </cell>
          <cell r="Q44" t="str">
            <v>CEP080129EK6</v>
          </cell>
          <cell r="V44">
            <v>42542</v>
          </cell>
          <cell r="Y44">
            <v>1449650.2300000002</v>
          </cell>
          <cell r="AA44" t="str">
            <v>Rehabilitación de daños por sismo en aplanados, impermeabilizantes, pintura, plafones, pisos interiores y exteriores, jardineras, construcción de rampas, cubierta exterior, adecuaciones hidráulicas y acciones varias, en la Cruz Verde Santa Lucía, Municipio de Zapopan, Jalisco.</v>
          </cell>
          <cell r="AD44">
            <v>42543</v>
          </cell>
          <cell r="AE44">
            <v>42632</v>
          </cell>
        </row>
        <row r="45">
          <cell r="C45" t="str">
            <v>DOPI-MUN-RM-CA-AD-071-2016</v>
          </cell>
          <cell r="M45" t="str">
            <v>Ofelia</v>
          </cell>
          <cell r="N45" t="str">
            <v>Reyes</v>
          </cell>
          <cell r="O45" t="str">
            <v>Estrella</v>
          </cell>
          <cell r="P45" t="str">
            <v>Wences Construcciones, S.A. de C.V.</v>
          </cell>
          <cell r="Q45" t="str">
            <v>WCO130628TM3</v>
          </cell>
          <cell r="V45">
            <v>42542</v>
          </cell>
          <cell r="Y45">
            <v>1301258.44</v>
          </cell>
          <cell r="AA45" t="str">
            <v>Construcción de banquetas, guarnición, pasos holandeses, cruces pluviales, muros de mamposteo, renivelaciones asfálticas y alumbrado público sobre Periférico Norte en las confluencias de la calle Parres Arias - Zona  CUCSH, para garantizar el cruce seguro de estudiantes, en zona Belenes, Municipio de Zapopan, Jalisco.</v>
          </cell>
          <cell r="AD45">
            <v>42543</v>
          </cell>
          <cell r="AE45">
            <v>42602</v>
          </cell>
        </row>
        <row r="46">
          <cell r="C46" t="str">
            <v>DOPI-MUN-RM-PAV-AD-072-2016</v>
          </cell>
          <cell r="M46" t="str">
            <v>Elba</v>
          </cell>
          <cell r="N46" t="str">
            <v xml:space="preserve">González </v>
          </cell>
          <cell r="O46" t="str">
            <v>Aguirre</v>
          </cell>
          <cell r="P46" t="str">
            <v>GA Urbanización, S.A. de C.V.</v>
          </cell>
          <cell r="Q46" t="str">
            <v>GUR120612P22</v>
          </cell>
          <cell r="V46">
            <v>42542</v>
          </cell>
          <cell r="Y46">
            <v>1503202.18</v>
          </cell>
          <cell r="AA46" t="str">
            <v>Construcción de pavimento de concreto zampeado, guarniciones y banquetas, instalaciones hidrosanitarias y pluviales, conexión a puente peatonal, preparaciones de red eléctrica y de alumbrado público, en la calle  Venustiano Carranza en la colonia Agua Fría, Municipio de Zapopan, Jalisco.</v>
          </cell>
          <cell r="AD46">
            <v>42543</v>
          </cell>
          <cell r="AE46">
            <v>42632</v>
          </cell>
        </row>
        <row r="47">
          <cell r="C47" t="str">
            <v>DOPI-MUN-RM-IM-AD-073-2016</v>
          </cell>
          <cell r="M47" t="str">
            <v>Hugo Armando</v>
          </cell>
          <cell r="N47" t="str">
            <v>Prieto</v>
          </cell>
          <cell r="O47" t="str">
            <v>Jiménez</v>
          </cell>
          <cell r="P47" t="str">
            <v>Constructora Rural del Pais, S.A. de C.V.</v>
          </cell>
          <cell r="Q47" t="str">
            <v>CRP870708I62</v>
          </cell>
          <cell r="V47">
            <v>42545</v>
          </cell>
          <cell r="Y47">
            <v>1398736.1200000003</v>
          </cell>
          <cell r="AA47" t="str">
            <v>Construcción y rehabilitación de bardas perimetrales en el Centro Comunitario No. 15 del DIF ubicado en San Juan de Ocotán y en la guardería CAIC del DIF ubicado en Miramar, Municipio de Zapopan, Jalisco.</v>
          </cell>
          <cell r="AD47">
            <v>42548</v>
          </cell>
          <cell r="AE47">
            <v>42607</v>
          </cell>
        </row>
        <row r="52">
          <cell r="C52" t="str">
            <v>DOPI-MUN-RM-IM-AD-078-2016</v>
          </cell>
          <cell r="M52" t="str">
            <v>J. Gerardo</v>
          </cell>
          <cell r="N52" t="str">
            <v>Nicanor</v>
          </cell>
          <cell r="O52" t="str">
            <v>Mejia Mariscal</v>
          </cell>
          <cell r="P52" t="str">
            <v>Ineco Construye, S.A. de C.V.</v>
          </cell>
          <cell r="Q52" t="str">
            <v>ICO980722M04</v>
          </cell>
          <cell r="V52">
            <v>42545</v>
          </cell>
          <cell r="Y52">
            <v>1598479.88</v>
          </cell>
          <cell r="AA52" t="str">
            <v>Construcción de estacionamiento con pavimento asfáltico y sello tipo Slurry Seal, guarniciones, banquetas, adecuaciones a la instalación eléctrica y aire acondicionado en el archivo histórico de Zapopan, Municipio de Zapopan, Jalisco.</v>
          </cell>
          <cell r="AD52">
            <v>42548</v>
          </cell>
          <cell r="AE52">
            <v>42607</v>
          </cell>
        </row>
        <row r="53">
          <cell r="C53" t="str">
            <v>DOPI-MUN-RM-PROY-AD-079-2016</v>
          </cell>
          <cell r="M53" t="str">
            <v>Juan Ramón</v>
          </cell>
          <cell r="N53" t="str">
            <v>Ramírez</v>
          </cell>
          <cell r="O53" t="str">
            <v>Alatorre</v>
          </cell>
          <cell r="P53" t="str">
            <v>Quercus Geosoluciones, S.A. de C.V.</v>
          </cell>
          <cell r="Q53" t="str">
            <v>QGE080213988</v>
          </cell>
          <cell r="V53">
            <v>42545</v>
          </cell>
          <cell r="Y53">
            <v>1115518.2</v>
          </cell>
          <cell r="AA53" t="str">
            <v>Proyecto ejecutivo para la construcción de la celda 5 en el relleno sanitario Picachos, Municipio de Zapopan, Jalisco.</v>
          </cell>
          <cell r="AD53">
            <v>42548</v>
          </cell>
          <cell r="AE53">
            <v>42592</v>
          </cell>
        </row>
        <row r="54">
          <cell r="C54" t="str">
            <v>DOPI-MUN-RM-MOV-AD-080-2016</v>
          </cell>
          <cell r="M54" t="str">
            <v>Jorge Alberto</v>
          </cell>
          <cell r="N54" t="str">
            <v>Mena</v>
          </cell>
          <cell r="O54" t="str">
            <v>Adames</v>
          </cell>
          <cell r="P54" t="str">
            <v>Divicon, S.A. de C.V.</v>
          </cell>
          <cell r="Q54" t="str">
            <v>DIV010905510</v>
          </cell>
          <cell r="V54">
            <v>42552</v>
          </cell>
          <cell r="Y54">
            <v>1250236.98</v>
          </cell>
          <cell r="AA54" t="str">
            <v>Señalización vertical y horizontal en diferentes obras del municipio de Zapopan, Jalisco, frente 1.</v>
          </cell>
          <cell r="AD54">
            <v>42555</v>
          </cell>
          <cell r="AE54">
            <v>42724</v>
          </cell>
        </row>
        <row r="55">
          <cell r="C55" t="str">
            <v>DOPI-MUN-RM-PAV-AD-081-2016</v>
          </cell>
          <cell r="M55" t="str">
            <v>Miguel</v>
          </cell>
          <cell r="N55" t="str">
            <v>Rodríguez</v>
          </cell>
          <cell r="O55" t="str">
            <v>Rosas</v>
          </cell>
          <cell r="P55" t="str">
            <v>Stella Construcciones, S.A. de C.V.</v>
          </cell>
          <cell r="Q55" t="str">
            <v>SCO0102137E1</v>
          </cell>
          <cell r="V55">
            <v>42552</v>
          </cell>
          <cell r="Y55">
            <v>1475028.6100000003</v>
          </cell>
          <cell r="AA55" t="str">
            <v>Construcción de pavimento de concreto hidráulico MR45, machuelos, banquetas e instalaciones hidráulicas en la calle Canal del Andador a la calle General Arteaga de la calle General Arteaga, de la calle Canal a la calle Agustín Rivera, colonia el Batán, municipio de Zapopan, Jalisco.</v>
          </cell>
          <cell r="AD55">
            <v>42555</v>
          </cell>
          <cell r="AE55">
            <v>42613</v>
          </cell>
        </row>
        <row r="56">
          <cell r="C56" t="str">
            <v>DOPI-MUN-RM-PAV-AD-082-2016</v>
          </cell>
          <cell r="M56" t="str">
            <v xml:space="preserve">José Luis </v>
          </cell>
          <cell r="N56" t="str">
            <v xml:space="preserve">Castillo </v>
          </cell>
          <cell r="O56" t="str">
            <v>Rodríguez</v>
          </cell>
          <cell r="P56" t="str">
            <v>Felal Construcciones, S.A. de C.V.</v>
          </cell>
          <cell r="Q56" t="str">
            <v>FCO9911092V5</v>
          </cell>
          <cell r="V56">
            <v>42555</v>
          </cell>
          <cell r="Y56">
            <v>1497852.13</v>
          </cell>
          <cell r="AA56" t="str">
            <v>Construcción de pavimento de concreto hidráulico MR45, adecuaciones de pavimentos asfálticos, adecuaciones pluviales, corrección vial, muros de contención, banquetas, corrección de flujos viales y paso seguro de peatones, en el paso a desnivel aéreo y subterráneo de Juan Palomar y Arias y Periférico Poniente; y Construcción de banquetas en la calle Guillermo González Camarena y Av. Paseo Valle Real, municipio de Zapopan, Jalisco.</v>
          </cell>
          <cell r="AD56">
            <v>42556</v>
          </cell>
          <cell r="AE56">
            <v>42585</v>
          </cell>
        </row>
        <row r="57">
          <cell r="C57" t="str">
            <v>DOPI-MUN-RM-OC-AD-083-2016</v>
          </cell>
          <cell r="M57" t="str">
            <v>José Gilberto</v>
          </cell>
          <cell r="N57" t="str">
            <v>Luján</v>
          </cell>
          <cell r="O57" t="str">
            <v>Barajas</v>
          </cell>
          <cell r="P57" t="str">
            <v>Gilco Ingeniería, S.A. de C.V.</v>
          </cell>
          <cell r="Q57" t="str">
            <v>GIN1202272F9</v>
          </cell>
          <cell r="V57">
            <v>42555</v>
          </cell>
          <cell r="Y57">
            <v>1394254.6600000001</v>
          </cell>
          <cell r="AA57" t="str">
            <v>Corrección de canal pluvial, construcción de mamposteos, zampeados, puente peatonal, accesos y aproches en el cruce del arroyo ubicado en la colonia Las Higueras, municipio de Zapopan, Jalisco.</v>
          </cell>
          <cell r="AD57">
            <v>42556</v>
          </cell>
          <cell r="AE57">
            <v>42615</v>
          </cell>
        </row>
        <row r="58">
          <cell r="C58" t="str">
            <v>DOPI-MUN-RM-BAN-AD-126-2016</v>
          </cell>
          <cell r="M58" t="str">
            <v>Guillermo</v>
          </cell>
          <cell r="N58" t="str">
            <v>Lara</v>
          </cell>
          <cell r="O58" t="str">
            <v>Vargas</v>
          </cell>
          <cell r="P58" t="str">
            <v>Desarrolladora Glar, S.A. de C.V.</v>
          </cell>
          <cell r="Q58" t="str">
            <v>DGL060620SUA</v>
          </cell>
          <cell r="V58">
            <v>42559</v>
          </cell>
          <cell r="Y58">
            <v>1497870.11</v>
          </cell>
          <cell r="AA58" t="str">
            <v>Peatonalización, construcción de banquetas, sustitución de guarniciones, bolardos, complemento de reencarpetado y sello tramo 1 de la Av. Pablo Neruda, municipio de Zapopan, Jalisco</v>
          </cell>
          <cell r="AD58">
            <v>42562</v>
          </cell>
          <cell r="AE58">
            <v>42598</v>
          </cell>
        </row>
        <row r="59">
          <cell r="C59" t="str">
            <v>DOPI-MUN-RM-PAV-AD-127-2016</v>
          </cell>
          <cell r="M59" t="str">
            <v>David Eduardo</v>
          </cell>
          <cell r="N59" t="str">
            <v>Lara</v>
          </cell>
          <cell r="O59" t="str">
            <v>Ochoa</v>
          </cell>
          <cell r="P59" t="str">
            <v xml:space="preserve">Construcciones ICU, S.A. de C.V. </v>
          </cell>
          <cell r="Q59" t="str">
            <v>CIC080626ER2</v>
          </cell>
          <cell r="V59">
            <v>42559</v>
          </cell>
          <cell r="Y59">
            <v>1439130.15</v>
          </cell>
          <cell r="AA59" t="str">
            <v>Peatonalización, construcción de banquetas, sustitución de guarniciones, bolardos, complemento de reencarpetado y sello tramo 2 de la Av. Pablo Neruda, municipio de Zapopan, Jalisco</v>
          </cell>
          <cell r="AD59">
            <v>42562</v>
          </cell>
          <cell r="AE59">
            <v>42598</v>
          </cell>
        </row>
        <row r="60">
          <cell r="C60" t="str">
            <v>DOPI-MUN-RM-PAV-AD-128-2016</v>
          </cell>
          <cell r="M60" t="str">
            <v>Adalberto</v>
          </cell>
          <cell r="N60" t="str">
            <v>Medina</v>
          </cell>
          <cell r="O60" t="str">
            <v>Morales</v>
          </cell>
          <cell r="P60" t="str">
            <v>Urdem, S.A. de C.V.</v>
          </cell>
          <cell r="Q60" t="str">
            <v>URD130830U21</v>
          </cell>
          <cell r="V60">
            <v>42566</v>
          </cell>
          <cell r="Y60">
            <v>1497520.4400000002</v>
          </cell>
          <cell r="AA60" t="str">
            <v>Construcción de banquetas, bolardos, sustitución de rejillas pluviales, rehabilitación de bocas de tormenta, aproches y arbolado en el tramo poniente de la Glorieta Venustiano Carranza en la colonia Constitución, municipio de Zapopan, Jalisco</v>
          </cell>
          <cell r="AD60">
            <v>42569</v>
          </cell>
          <cell r="AE60">
            <v>42613</v>
          </cell>
        </row>
        <row r="61">
          <cell r="C61" t="str">
            <v>DOPI-MUN-RM-PAV-AD-129-2016</v>
          </cell>
          <cell r="M61" t="str">
            <v>Arturo Rafael</v>
          </cell>
          <cell r="N61" t="str">
            <v>Salazar</v>
          </cell>
          <cell r="O61" t="str">
            <v>Martín del Campo</v>
          </cell>
          <cell r="P61" t="str">
            <v>Kalmani Constructora, S.A. de C.V.</v>
          </cell>
          <cell r="Q61" t="str">
            <v>KCO030922UM6</v>
          </cell>
          <cell r="V61">
            <v>42566</v>
          </cell>
          <cell r="Y61">
            <v>1499415.54</v>
          </cell>
          <cell r="AA61" t="str">
            <v>Construcción de banquetas, bolardos, sustitución de rejillas pluviales, rehabilitación de bocas de tormenta, aproches y arbolado en el tramo oriente de la Glorieta Venustiano Carranza en la colonia Constitución, municipio de Zapopan, Jalisco</v>
          </cell>
          <cell r="AD61">
            <v>42569</v>
          </cell>
          <cell r="AE61">
            <v>42613</v>
          </cell>
        </row>
        <row r="62">
          <cell r="C62" t="str">
            <v>DOPI-MUN-RM-PAV-AD-130-2016</v>
          </cell>
          <cell r="M62" t="str">
            <v>Sergio Cesar</v>
          </cell>
          <cell r="N62" t="str">
            <v>Díaz</v>
          </cell>
          <cell r="O62" t="str">
            <v>Quiroz</v>
          </cell>
          <cell r="P62" t="str">
            <v>Transcreto S.A. de C.V.</v>
          </cell>
          <cell r="Q62" t="str">
            <v>TRA750528286</v>
          </cell>
          <cell r="V62">
            <v>42566</v>
          </cell>
          <cell r="Y62">
            <v>1373625.4800000002</v>
          </cell>
          <cell r="AA62" t="str">
            <v>Construcción de Motor Lobby con concreto hidráulico en la plazoleta, plazoleta de acceso, acceso a estacionamiento y colocación de arbolado en la Glorieta Venustiano Carranza colonia Constitución, municipio de Zapopan, Jalisco</v>
          </cell>
          <cell r="AD62">
            <v>42569</v>
          </cell>
          <cell r="AE62">
            <v>42613</v>
          </cell>
        </row>
        <row r="63">
          <cell r="C63" t="str">
            <v>DOPI-MUN-RM-PAV-AD-131-2016</v>
          </cell>
          <cell r="M63" t="str">
            <v>Aurora Lucia</v>
          </cell>
          <cell r="N63" t="str">
            <v xml:space="preserve">Brenez </v>
          </cell>
          <cell r="O63" t="str">
            <v>Garnica</v>
          </cell>
          <cell r="P63" t="str">
            <v>Karol Urbanizaciones y Construcciones, S.A. de C.V.</v>
          </cell>
          <cell r="Q63" t="str">
            <v>KUC070424344</v>
          </cell>
          <cell r="V63">
            <v>42566</v>
          </cell>
          <cell r="Y63">
            <v>1498232.17</v>
          </cell>
          <cell r="AA63" t="str">
            <v>Repavimentación, sello Slurry Seal, nivelación de pozos de visita y cajas de válvulas, sustitución de rejillas pluviales y señalética horizontal y vertical en la calle Lomas Altas de límite municipal y la glorieta del paseo de la Canadá y en la calle La Cima de la calle Lomas Altas a Glorieta, en la colonia Lomas Altas, municipio de Zapopan, Jalisco.</v>
          </cell>
          <cell r="AD63">
            <v>42569</v>
          </cell>
          <cell r="AE63">
            <v>42628</v>
          </cell>
        </row>
        <row r="64">
          <cell r="C64" t="str">
            <v>DOPI-MUN-RM-OC-AD-132-2016</v>
          </cell>
          <cell r="M64" t="str">
            <v>Alberto</v>
          </cell>
          <cell r="N64" t="str">
            <v>Bañuelos</v>
          </cell>
          <cell r="O64" t="str">
            <v>García</v>
          </cell>
          <cell r="P64" t="str">
            <v>Grial Construcciones, S.A. de C.V.</v>
          </cell>
          <cell r="Q64" t="str">
            <v>GCO100226SU6</v>
          </cell>
          <cell r="V64">
            <v>42566</v>
          </cell>
          <cell r="Y64">
            <v>940138.27</v>
          </cell>
          <cell r="AA64" t="str">
            <v>Demolición de viviendas abandonadas, reforzamiento de taludes y adecuaciones sanitarias en la zona de inundación y canal de la Martinica, municipio de Zapopan Jalisco.</v>
          </cell>
          <cell r="AD64">
            <v>42569</v>
          </cell>
          <cell r="AE64">
            <v>42598</v>
          </cell>
        </row>
        <row r="65">
          <cell r="C65" t="str">
            <v>DOPI-MUN-RM-OC-AD-133-2016</v>
          </cell>
          <cell r="M65" t="str">
            <v>Hector Eugenio</v>
          </cell>
          <cell r="N65" t="str">
            <v>De la Torre</v>
          </cell>
          <cell r="O65" t="str">
            <v>Menchaca</v>
          </cell>
          <cell r="P65" t="str">
            <v>Ingenieros De la Torre, S.A. de C.V.</v>
          </cell>
          <cell r="Q65" t="str">
            <v>ITO951005HY5</v>
          </cell>
          <cell r="V65">
            <v>42566</v>
          </cell>
          <cell r="Y65">
            <v>1450005.23</v>
          </cell>
          <cell r="AA65" t="str">
            <v>Rectificación, rehabilitación y desazolve del arroyo La Campana; Adecuaciones hidráulicas y pluviales en las colindancias del nodo vial Santa Esther y Periférico; y reconstrucción de banquetas en Avenida Central, municipio de Zapopan, Jalisco</v>
          </cell>
          <cell r="AD65">
            <v>42569</v>
          </cell>
          <cell r="AE65">
            <v>42614</v>
          </cell>
        </row>
        <row r="66">
          <cell r="C66" t="str">
            <v>DOPI-MUN-RM-OC-AD-134-2016</v>
          </cell>
          <cell r="M66" t="str">
            <v>Heliodoro Nicolás</v>
          </cell>
          <cell r="N66" t="str">
            <v>Aceves</v>
          </cell>
          <cell r="O66" t="str">
            <v>Orozco</v>
          </cell>
          <cell r="P66" t="str">
            <v>Imaqsa, S.A. de C.V.</v>
          </cell>
          <cell r="Q66" t="str">
            <v>IMA050204LA9</v>
          </cell>
          <cell r="V66">
            <v>42578</v>
          </cell>
          <cell r="Y66">
            <v>1501235.7800000003</v>
          </cell>
          <cell r="AA66" t="str">
            <v>Construcción y reforzamiento de bordos primera etapa en el ejido de Santa Lucia, municipio de Zapopan, Jalisco.</v>
          </cell>
          <cell r="AD66">
            <v>42579</v>
          </cell>
          <cell r="AE66">
            <v>42698</v>
          </cell>
        </row>
        <row r="67">
          <cell r="C67" t="str">
            <v>DOPI-MUN-RM-EP-AD-135-2016</v>
          </cell>
          <cell r="M67" t="str">
            <v>Maria Eugenia</v>
          </cell>
          <cell r="N67" t="str">
            <v>Cortés</v>
          </cell>
          <cell r="O67" t="str">
            <v>González</v>
          </cell>
          <cell r="P67" t="str">
            <v>Aspavi, S.A. de C.V.</v>
          </cell>
          <cell r="Q67" t="str">
            <v>ASP100215RH9</v>
          </cell>
          <cell r="V67">
            <v>42587</v>
          </cell>
          <cell r="Y67">
            <v>1494650.15</v>
          </cell>
          <cell r="AA67" t="str">
            <v>Obra complementaria en el parque El Polvorin II, municipio de Zapopan, Jalisco.</v>
          </cell>
          <cell r="AD67">
            <v>42591</v>
          </cell>
          <cell r="AE67">
            <v>42613</v>
          </cell>
        </row>
        <row r="68">
          <cell r="C68" t="str">
            <v>DOPI-MUN-RM-PROY-AD-136-2016</v>
          </cell>
          <cell r="M68" t="str">
            <v>José Alejandro</v>
          </cell>
          <cell r="N68" t="str">
            <v>Alva</v>
          </cell>
          <cell r="O68" t="str">
            <v>Delgado</v>
          </cell>
          <cell r="P68" t="str">
            <v>Servicios de Obras Civiles Serco, S.A. de C.V.</v>
          </cell>
          <cell r="Q68" t="str">
            <v>SOC150806E69</v>
          </cell>
          <cell r="V68">
            <v>42586</v>
          </cell>
          <cell r="Y68">
            <v>602435.48</v>
          </cell>
          <cell r="AA68" t="str">
            <v>Estudios de mecánica de suelos y diseño de pavimentos de diferentes obras 2016, segunda etapa, del municipio de Zapopan, Jalisco.</v>
          </cell>
          <cell r="AD68">
            <v>42591</v>
          </cell>
          <cell r="AE68">
            <v>42735</v>
          </cell>
        </row>
        <row r="69">
          <cell r="C69" t="str">
            <v>DOPI-MUN-RM-AP-AD-137-2016</v>
          </cell>
          <cell r="M69" t="str">
            <v>Javier</v>
          </cell>
          <cell r="N69" t="str">
            <v xml:space="preserve">Ávila </v>
          </cell>
          <cell r="O69" t="str">
            <v>Flores</v>
          </cell>
          <cell r="P69" t="str">
            <v>Savho Consultoría y Construcción, S.A. de C.V.</v>
          </cell>
          <cell r="Q69" t="str">
            <v>SCC060622HZ3</v>
          </cell>
          <cell r="V69">
            <v>42594</v>
          </cell>
          <cell r="Y69">
            <v>1435250.48</v>
          </cell>
          <cell r="AA69" t="str">
            <v>Complemento de red de agua potable y tomas domiciliarias en la localidad de Milpillas, municipio de Zapopan, Jalisco</v>
          </cell>
          <cell r="AD69">
            <v>42597</v>
          </cell>
          <cell r="AE69">
            <v>42643</v>
          </cell>
        </row>
        <row r="70">
          <cell r="C70" t="str">
            <v>DOPI-MUN-RM-IM-AD-138-2016</v>
          </cell>
          <cell r="M70" t="str">
            <v>Oscar Luis</v>
          </cell>
          <cell r="N70" t="str">
            <v xml:space="preserve"> Chávez</v>
          </cell>
          <cell r="O70" t="str">
            <v>González</v>
          </cell>
          <cell r="P70" t="str">
            <v>Euro Trade, S.A. de C.V.</v>
          </cell>
          <cell r="Q70" t="str">
            <v>ETR070417NS8</v>
          </cell>
          <cell r="V70">
            <v>42607</v>
          </cell>
          <cell r="Y70">
            <v>1308547.98</v>
          </cell>
          <cell r="AA70" t="str">
            <v>Complemento de la construcción de muro oriente, rehabilitación de banquetas e instalación de malla ciclón en el Panteón Municipal ubicado en la localidad de Santa Ana Tepetitlán, municipio de Zapopan, Jalisco.</v>
          </cell>
          <cell r="AD70">
            <v>42611</v>
          </cell>
          <cell r="AE70">
            <v>42655</v>
          </cell>
        </row>
        <row r="71">
          <cell r="C71" t="str">
            <v>DOPI-MUN-RM-IM-AD-139-2016</v>
          </cell>
          <cell r="M71" t="str">
            <v>Víctor Eduardo</v>
          </cell>
          <cell r="N71" t="str">
            <v>López</v>
          </cell>
          <cell r="O71" t="str">
            <v>Carpio</v>
          </cell>
          <cell r="P71" t="str">
            <v>CCR Ingenieros, S.A. de C.V.</v>
          </cell>
          <cell r="Q71" t="str">
            <v>CIN101029PR5</v>
          </cell>
          <cell r="V71">
            <v>42607</v>
          </cell>
          <cell r="Y71">
            <v>1485649.36</v>
          </cell>
          <cell r="AA71" t="str">
            <v>Construcción de muro, banquetas, instalación de malla ciclón en el Panteón municipal ubicado en Atemajac, municipio de Zapopan, Jalisco</v>
          </cell>
          <cell r="AD71">
            <v>42611</v>
          </cell>
          <cell r="AE71">
            <v>42670</v>
          </cell>
        </row>
        <row r="72">
          <cell r="C72" t="str">
            <v>DOPI-MUN-RM-PAV-AD-159-2016</v>
          </cell>
          <cell r="M72" t="str">
            <v>José Jaime</v>
          </cell>
          <cell r="N72" t="str">
            <v>Camarena</v>
          </cell>
          <cell r="O72" t="str">
            <v>Correa</v>
          </cell>
          <cell r="P72" t="str">
            <v>Firmitas Constructa, S.A. de C.V.</v>
          </cell>
          <cell r="Q72" t="str">
            <v>FCO110711N24</v>
          </cell>
          <cell r="V72">
            <v>42613</v>
          </cell>
          <cell r="Y72">
            <v>1439734.18</v>
          </cell>
          <cell r="AA72" t="str">
            <v>Sustitución de rejillas en bocas de tormenta en Avenida Patria ente Avila Camacho y Real Acueducto, en Avenida Tepeyac entre Manuel J. Clouthier y limite municipal, lateral Periférico en su cruce con Mariano Otero, municipio de Zapopan, Jalisco</v>
          </cell>
          <cell r="AD72">
            <v>42618</v>
          </cell>
          <cell r="AE72">
            <v>42658</v>
          </cell>
        </row>
        <row r="73">
          <cell r="C73" t="str">
            <v>DOPI-MUN-RM-PAV-AD-160-2016</v>
          </cell>
          <cell r="M73" t="str">
            <v>Luis Armando</v>
          </cell>
          <cell r="N73" t="str">
            <v>Linares</v>
          </cell>
          <cell r="O73" t="str">
            <v>Cacho</v>
          </cell>
          <cell r="P73" t="str">
            <v>Urbanizadora y Constructora Roal, S.A. de C.V.</v>
          </cell>
          <cell r="Q73" t="str">
            <v>URC160310857</v>
          </cell>
          <cell r="V73">
            <v>42615</v>
          </cell>
          <cell r="Y73">
            <v>998750.24</v>
          </cell>
          <cell r="AA73" t="str">
            <v>Programa emergente de bacheo de vialidades en Zapopan Centro tramo 1, municipio de Zapopan, Jalisco.</v>
          </cell>
          <cell r="AD73">
            <v>42618</v>
          </cell>
          <cell r="AE73">
            <v>42674</v>
          </cell>
        </row>
        <row r="74">
          <cell r="C74" t="str">
            <v>DOPI-MUN-RM-PAV-AD-161-2016</v>
          </cell>
          <cell r="M74" t="str">
            <v>Orlando</v>
          </cell>
          <cell r="N74" t="str">
            <v>Hijar</v>
          </cell>
          <cell r="O74" t="str">
            <v>Casillas</v>
          </cell>
          <cell r="P74" t="str">
            <v>Constructora y Urbanizadora Ceda, S.A. de C.V.</v>
          </cell>
          <cell r="Q74" t="str">
            <v>CUC121107NV2</v>
          </cell>
          <cell r="V74">
            <v>42615</v>
          </cell>
          <cell r="Y74">
            <v>999587.49</v>
          </cell>
          <cell r="AA74" t="str">
            <v>Programa emergente de bacheo de vialidades en Zapopan Centro tramo 2, municipio de Zapopan, Jalisco.</v>
          </cell>
          <cell r="AD74">
            <v>42618</v>
          </cell>
          <cell r="AE74">
            <v>42674</v>
          </cell>
        </row>
        <row r="75">
          <cell r="C75" t="str">
            <v>DOPI-MUN-RM-PAV-AD-162-2016</v>
          </cell>
          <cell r="M75" t="str">
            <v>Ignacio Javier</v>
          </cell>
          <cell r="N75" t="str">
            <v>Curiel</v>
          </cell>
          <cell r="O75" t="str">
            <v>Dueñas</v>
          </cell>
          <cell r="P75" t="str">
            <v>TC Construcción y Mantenimiento, S.A. de C.V.</v>
          </cell>
          <cell r="Q75" t="str">
            <v>TCM100915HA1</v>
          </cell>
          <cell r="V75">
            <v>42615</v>
          </cell>
          <cell r="Y75">
            <v>1000115.36</v>
          </cell>
          <cell r="AA75" t="str">
            <v>Programa emergente de bacheo de vialidades en Zapopan Sur tramo 1, municipio de Zapopan, Jalisco.</v>
          </cell>
          <cell r="AD75">
            <v>42618</v>
          </cell>
          <cell r="AE75">
            <v>42674</v>
          </cell>
        </row>
        <row r="76">
          <cell r="C76" t="str">
            <v>DOPI-MUN-RM-PAV-AD-163-2016</v>
          </cell>
          <cell r="M76" t="str">
            <v>Regino</v>
          </cell>
          <cell r="N76" t="str">
            <v>Ruiz del Campo</v>
          </cell>
          <cell r="O76" t="str">
            <v>Medina</v>
          </cell>
          <cell r="P76" t="str">
            <v>Regino Ruiz del Campo Medina</v>
          </cell>
          <cell r="Q76" t="str">
            <v>RUMR771116UA8</v>
          </cell>
          <cell r="V76">
            <v>42615</v>
          </cell>
          <cell r="Y76">
            <v>1001250.87</v>
          </cell>
          <cell r="AA76" t="str">
            <v>Programa emergente de bacheo de vialidades en Zapopan Sur Poniente tramo 1, municipio de Zapopan, Jalisco.</v>
          </cell>
          <cell r="AD76">
            <v>42618</v>
          </cell>
          <cell r="AE76">
            <v>42674</v>
          </cell>
        </row>
        <row r="77">
          <cell r="C77" t="str">
            <v>DOPI-MUN-RM-PAV-AD-164-2016</v>
          </cell>
          <cell r="M77" t="str">
            <v>Carlos Ignacio</v>
          </cell>
          <cell r="N77" t="str">
            <v>Curiel</v>
          </cell>
          <cell r="O77" t="str">
            <v>Dueñas</v>
          </cell>
          <cell r="P77" t="str">
            <v>Constructora Cecuchi, S.A. de C.V.</v>
          </cell>
          <cell r="Q77" t="str">
            <v>CCE130723IR7</v>
          </cell>
          <cell r="V77">
            <v>42615</v>
          </cell>
          <cell r="Y77">
            <v>1002128.72</v>
          </cell>
          <cell r="AA77" t="str">
            <v>Programa emergente de bacheo de vialidades en Zapopan Sur Poniente tramo 2, municipio de Zapopan, Jalsico</v>
          </cell>
          <cell r="AD77">
            <v>42618</v>
          </cell>
          <cell r="AE77">
            <v>42674</v>
          </cell>
        </row>
        <row r="78">
          <cell r="C78" t="str">
            <v>DOPI-MUN-RM-PAV-AD-165-2016</v>
          </cell>
          <cell r="M78" t="str">
            <v>Antonio</v>
          </cell>
          <cell r="N78" t="str">
            <v>Chávez</v>
          </cell>
          <cell r="O78" t="str">
            <v>Navarro</v>
          </cell>
          <cell r="P78" t="str">
            <v>Constructora Industrial Chávez S.A. de C.V.</v>
          </cell>
          <cell r="Q78" t="str">
            <v>CIC960718BW4</v>
          </cell>
          <cell r="V78">
            <v>42615</v>
          </cell>
          <cell r="Y78">
            <v>997115.6</v>
          </cell>
          <cell r="AA78" t="str">
            <v>Programa emergente de bacheo de vialidades en Zapopan Poniente tramo 1, municipio de Zapopan, Jalsico</v>
          </cell>
          <cell r="AD78">
            <v>42618</v>
          </cell>
          <cell r="AE78">
            <v>42674</v>
          </cell>
        </row>
        <row r="79">
          <cell r="C79" t="str">
            <v>DOPI-MUN-RM-PAV-AD-166-2016</v>
          </cell>
          <cell r="M79" t="str">
            <v>Raquel</v>
          </cell>
          <cell r="N79" t="str">
            <v>Chávez</v>
          </cell>
          <cell r="O79" t="str">
            <v>Navarro</v>
          </cell>
          <cell r="P79" t="str">
            <v>Asfaltos Selectos de Ocotlán, S.A. de C.V.</v>
          </cell>
          <cell r="Q79" t="str">
            <v>ASO080408GY0</v>
          </cell>
          <cell r="V79">
            <v>42615</v>
          </cell>
          <cell r="Y79">
            <v>1003154.53</v>
          </cell>
          <cell r="AA79" t="str">
            <v>Programa emergente de bacheo de vialidades en Zapopan Poniente tramo 2, municipio de Zapopan, Jalsico</v>
          </cell>
          <cell r="AD79">
            <v>42618</v>
          </cell>
          <cell r="AE79">
            <v>42674</v>
          </cell>
        </row>
        <row r="80">
          <cell r="C80" t="str">
            <v>DOPI-MUN-RM-PAV-AD-167-2016</v>
          </cell>
          <cell r="M80" t="str">
            <v xml:space="preserve">Guillermo Emmanuel </v>
          </cell>
          <cell r="N80" t="str">
            <v xml:space="preserve">Lara </v>
          </cell>
          <cell r="O80" t="str">
            <v>Ochoa</v>
          </cell>
          <cell r="P80" t="str">
            <v>Alquimia Grupo Constructor, S.A. de C.V.</v>
          </cell>
          <cell r="Q80" t="str">
            <v>AGC070223J95</v>
          </cell>
          <cell r="V80">
            <v>42615</v>
          </cell>
          <cell r="Y80">
            <v>990472.15</v>
          </cell>
          <cell r="AA80" t="str">
            <v>Programa emergente de bacheo de vialidades en Zapopan Norponiente tramo 1, municipio de Zapopan, Jalisco.</v>
          </cell>
          <cell r="AD80">
            <v>42618</v>
          </cell>
          <cell r="AE80">
            <v>42674</v>
          </cell>
        </row>
        <row r="81">
          <cell r="C81" t="str">
            <v>DOPI-MUN-RM-PAV-AD-168-2016</v>
          </cell>
          <cell r="M81" t="str">
            <v>Aurora Lucia</v>
          </cell>
          <cell r="N81" t="str">
            <v xml:space="preserve">Brenez </v>
          </cell>
          <cell r="O81" t="str">
            <v>Garnica</v>
          </cell>
          <cell r="P81" t="str">
            <v>Karol Urbanizaciones y Construcciones, S.A. de C.V.</v>
          </cell>
          <cell r="Q81" t="str">
            <v>KUC070424344</v>
          </cell>
          <cell r="V81">
            <v>42615</v>
          </cell>
          <cell r="Y81">
            <v>988477.86</v>
          </cell>
          <cell r="AA81" t="str">
            <v>Programa emergente de bacheo de vialidades en Zapopan Norponiente tramo 2, municipio de Zapopan, Jalsico</v>
          </cell>
          <cell r="AD81">
            <v>42618</v>
          </cell>
          <cell r="AE81">
            <v>42674</v>
          </cell>
        </row>
        <row r="82">
          <cell r="C82" t="str">
            <v>DOPI-MUN-RM-PAV-AD-169-2016</v>
          </cell>
          <cell r="M82" t="str">
            <v>Carlos Felipe</v>
          </cell>
          <cell r="N82" t="str">
            <v>Vázquez</v>
          </cell>
          <cell r="O82" t="str">
            <v>Guerra</v>
          </cell>
          <cell r="P82" t="str">
            <v>Urbanizadora Vázquez Guerra, S.A. de C.V.</v>
          </cell>
          <cell r="Q82" t="str">
            <v>UVG841211G22</v>
          </cell>
          <cell r="V82">
            <v>42615</v>
          </cell>
          <cell r="Y82">
            <v>996236.89</v>
          </cell>
          <cell r="AA82" t="str">
            <v>Programa emergente de bacheo de vialidades en Zapopan Norte tramo 1, municipio de Zapopan, Jalsico</v>
          </cell>
          <cell r="AD82">
            <v>42618</v>
          </cell>
          <cell r="AE82">
            <v>42674</v>
          </cell>
        </row>
        <row r="83">
          <cell r="C83" t="str">
            <v>DOPI-MUN-RM-ELE-AD-170-2016</v>
          </cell>
          <cell r="M83" t="str">
            <v>Pia Lorena</v>
          </cell>
          <cell r="N83" t="str">
            <v>Buenrostro</v>
          </cell>
          <cell r="O83" t="str">
            <v>Ahued</v>
          </cell>
          <cell r="P83" t="str">
            <v>Birmek Construcciones, S.A. de C.V.</v>
          </cell>
          <cell r="Q83" t="str">
            <v>BCO070129512</v>
          </cell>
          <cell r="V83">
            <v>42636</v>
          </cell>
          <cell r="Y83">
            <v>1492750.23</v>
          </cell>
          <cell r="AA83" t="str">
            <v>Trabajos complementarios de infraestructura eléctrica y de alumbrado público, frente 1, municipio de Zapopan, Jalisco</v>
          </cell>
          <cell r="AD83">
            <v>42639</v>
          </cell>
          <cell r="AE83">
            <v>42719</v>
          </cell>
        </row>
        <row r="84">
          <cell r="C84" t="str">
            <v>DOPI-MUN-RM-PAV-AD-171-2016</v>
          </cell>
          <cell r="M84" t="str">
            <v>Omar</v>
          </cell>
          <cell r="N84" t="str">
            <v>Mora</v>
          </cell>
          <cell r="O84" t="str">
            <v>Montes de Oca</v>
          </cell>
          <cell r="P84" t="str">
            <v>Dommont Construcciones, S.A. de C.V.</v>
          </cell>
          <cell r="Q84" t="str">
            <v>DCO130215C16</v>
          </cell>
          <cell r="V84">
            <v>42622</v>
          </cell>
          <cell r="Y84">
            <v>1480115.18</v>
          </cell>
          <cell r="AA84" t="str">
            <v>Pavimentación con adoquín y empedrado tradicional con material producto de recuperación en diferentes vialidades en el Municipio de Zapopan, Jalisco</v>
          </cell>
          <cell r="AD84">
            <v>42624</v>
          </cell>
          <cell r="AE84">
            <v>42689</v>
          </cell>
        </row>
        <row r="85">
          <cell r="C85" t="str">
            <v>DOPI-MUN-RM-SIS-AD-172-2016</v>
          </cell>
          <cell r="M85" t="str">
            <v>Víctor Martín</v>
          </cell>
          <cell r="N85" t="str">
            <v>López</v>
          </cell>
          <cell r="O85" t="str">
            <v>Santos</v>
          </cell>
          <cell r="P85" t="str">
            <v>Desarrollos Vicsa, S.A. de C.V.</v>
          </cell>
          <cell r="Q85" t="str">
            <v>DVI0903301U3</v>
          </cell>
          <cell r="V85">
            <v>42622</v>
          </cell>
          <cell r="Y85">
            <v>435640.37</v>
          </cell>
          <cell r="AA85" t="str">
            <v>Programación e implementación de sistema informático para la programación, contratación, control y seguimiento de ejecución de obra, elaboración de estimaciones y padrón de contratistas del Municipio de Zapopan, Jalisco</v>
          </cell>
          <cell r="AD85">
            <v>42624</v>
          </cell>
          <cell r="AE85">
            <v>42689</v>
          </cell>
        </row>
        <row r="86">
          <cell r="C86" t="str">
            <v>DOPI-MUN-RM-PAV-AD-181-2016</v>
          </cell>
          <cell r="M86" t="str">
            <v>RAFAEL AUGUSTO</v>
          </cell>
          <cell r="N86" t="str">
            <v>CABALLERO</v>
          </cell>
          <cell r="O86" t="str">
            <v>QUIRARTE</v>
          </cell>
          <cell r="P86" t="str">
            <v>PROYECTOS ARQUITECTONICOS TRIANGULO, S.A. DE C.V.</v>
          </cell>
          <cell r="Q86" t="str">
            <v>PAT110331HH0</v>
          </cell>
          <cell r="V86">
            <v>42653</v>
          </cell>
          <cell r="Y86">
            <v>1494945.36</v>
          </cell>
          <cell r="AA86" t="str">
            <v>Programa emergente de bacheo de vialidades en Zapopan Norte tramo 2, municipio de Zapopan, Jalisco.</v>
          </cell>
          <cell r="AD86">
            <v>42654</v>
          </cell>
          <cell r="AE86">
            <v>42710</v>
          </cell>
        </row>
        <row r="87">
          <cell r="C87" t="str">
            <v>DOPI-MUN-RM-PAV-AD-182-2016</v>
          </cell>
          <cell r="M87" t="str">
            <v>ENRIQUE</v>
          </cell>
          <cell r="N87" t="str">
            <v>LUGO</v>
          </cell>
          <cell r="O87" t="str">
            <v>IBARRA</v>
          </cell>
          <cell r="P87" t="str">
            <v>LUGO IBARRA CONSORCIO CONSTRUCTOR, S.A. DE C.V.</v>
          </cell>
          <cell r="Q87" t="str">
            <v>LIC0208141P8</v>
          </cell>
          <cell r="V87">
            <v>42650</v>
          </cell>
          <cell r="Y87">
            <v>1498832.34</v>
          </cell>
          <cell r="AA87" t="str">
            <v>Rehabilitación de machuelos de concreto hidráulico en la Av. Juan Gil Preciado, tramo 1, municipio de Zapopan, Jalisco.</v>
          </cell>
          <cell r="AD87">
            <v>42653</v>
          </cell>
          <cell r="AE87">
            <v>42712</v>
          </cell>
        </row>
        <row r="88">
          <cell r="C88" t="str">
            <v>DOPI-MUN-RM-PAV-AD-183-2016</v>
          </cell>
          <cell r="M88" t="str">
            <v>ARTURO</v>
          </cell>
          <cell r="N88" t="str">
            <v>SARMIENTO</v>
          </cell>
          <cell r="O88" t="str">
            <v>SANCHEZ</v>
          </cell>
          <cell r="P88" t="str">
            <v>CONSTRUBRAVO, S.A. DE C.V.</v>
          </cell>
          <cell r="Q88" t="str">
            <v>CON020208696</v>
          </cell>
          <cell r="V88">
            <v>42650</v>
          </cell>
          <cell r="Y88">
            <v>1492150.48</v>
          </cell>
          <cell r="AA88" t="str">
            <v>Rehabilitación de machuelos de concreto hidráulico en la Av. Juan Gil Preciado, tramo 2, municipio de Zapopan, Jalisco.</v>
          </cell>
          <cell r="AD88">
            <v>42653</v>
          </cell>
          <cell r="AE88">
            <v>42712</v>
          </cell>
        </row>
        <row r="89">
          <cell r="C89" t="str">
            <v>DOPI-MUN-RM-DP-AD-184-2016</v>
          </cell>
          <cell r="M89" t="str">
            <v xml:space="preserve">EDUARDO </v>
          </cell>
          <cell r="N89" t="str">
            <v>ROMERO</v>
          </cell>
          <cell r="O89" t="str">
            <v>LUGO</v>
          </cell>
          <cell r="P89" t="str">
            <v>RS OBRAS Y SERVICIOS S.A. DE C.V.</v>
          </cell>
          <cell r="Q89" t="str">
            <v>ROS120904PV9</v>
          </cell>
          <cell r="V89">
            <v>42653</v>
          </cell>
          <cell r="Y89">
            <v>1478083.67</v>
          </cell>
          <cell r="AA89" t="str">
            <v>Construcción de colector pluvial en el camino al Arenero, municipio de Zapopan, Jalisco.</v>
          </cell>
          <cell r="AD89">
            <v>42654</v>
          </cell>
          <cell r="AE89">
            <v>42678</v>
          </cell>
        </row>
        <row r="90">
          <cell r="C90" t="str">
            <v>DOPI-MUN-RM-PROY-AD-185-2016</v>
          </cell>
          <cell r="M90" t="str">
            <v>ENRIQUE FRANCISCO</v>
          </cell>
          <cell r="N90" t="str">
            <v>TOUSSAINT</v>
          </cell>
          <cell r="O90" t="str">
            <v>OCHOA</v>
          </cell>
          <cell r="P90" t="str">
            <v>GRUPO ARQUITECTOS TOUSSAINT Y ORENDAIN SC</v>
          </cell>
          <cell r="Q90" t="str">
            <v>GAT920520R72</v>
          </cell>
          <cell r="V90">
            <v>42653</v>
          </cell>
          <cell r="Y90">
            <v>986034.8</v>
          </cell>
          <cell r="AA90" t="str">
            <v>Proyecto ejecutivo de la renovación y ampliación del Museo de Arte de Zapopan, ubicado en el Andador 20 de Noviembre y la calle 28 de Enero, en la cabecera municipal, de Zapopan, Jalisco.</v>
          </cell>
          <cell r="AD90">
            <v>42654</v>
          </cell>
          <cell r="AE90">
            <v>42750</v>
          </cell>
        </row>
        <row r="91">
          <cell r="C91" t="str">
            <v>DOPI-MUN-RM-DP-AD-186-2016</v>
          </cell>
          <cell r="M91" t="str">
            <v>JAVIER</v>
          </cell>
          <cell r="N91" t="str">
            <v xml:space="preserve">ÁVILA </v>
          </cell>
          <cell r="O91" t="str">
            <v>FLORES</v>
          </cell>
          <cell r="P91" t="str">
            <v>SAVHO CONSULTORÍA Y CONSTRUCCIÓN, S.A. DE C.V.</v>
          </cell>
          <cell r="Q91" t="str">
            <v>SCC060622HZ3</v>
          </cell>
          <cell r="V91">
            <v>42653</v>
          </cell>
          <cell r="Y91">
            <v>1479766.1</v>
          </cell>
          <cell r="AA91" t="str">
            <v>Solución Pluvial en Tesistán (colector pluvial de 36" y bocas de tormenta) en la calle Jalisco, Hidalgo, Puebla, en la localidad de Tesistán, municipio de Zapopan, Jalisco. Frente 1.</v>
          </cell>
          <cell r="AD91">
            <v>42654</v>
          </cell>
          <cell r="AE91">
            <v>42704</v>
          </cell>
        </row>
        <row r="92">
          <cell r="C92" t="str">
            <v>DOPI-MUN-RM-IE-AD-187-2016</v>
          </cell>
          <cell r="M92" t="str">
            <v>AARON</v>
          </cell>
          <cell r="N92" t="str">
            <v>AMARAL</v>
          </cell>
          <cell r="O92" t="str">
            <v>LOPEZ</v>
          </cell>
          <cell r="P92" t="str">
            <v>GLOBAL CONSTRUCCIONES Y CONSULTORIA, S.A. DE C.V.</v>
          </cell>
          <cell r="Q92" t="str">
            <v>GCC1102098R8</v>
          </cell>
          <cell r="V92">
            <v>42664</v>
          </cell>
          <cell r="Y92">
            <v>998756.32</v>
          </cell>
          <cell r="AA92" t="str">
            <v>Suministro y colocación de estructuras de protección de rayos ultravioleta y sustitución de losas de concreto en el plantel educativo Gustavo Diaz Ordaz, clave 14EPR1473U, colonia Gustavo Diaz Ordaz, Municipio de Zapopan, Jalisco.</v>
          </cell>
          <cell r="AD92">
            <v>42667</v>
          </cell>
          <cell r="AE92">
            <v>42726</v>
          </cell>
        </row>
        <row r="93">
          <cell r="C93" t="str">
            <v>DOPI-MUN-RM-AP-AD-212-2016</v>
          </cell>
          <cell r="M93" t="str">
            <v xml:space="preserve">HECTOR DAVID </v>
          </cell>
          <cell r="N93" t="str">
            <v>ROBLES</v>
          </cell>
          <cell r="O93" t="str">
            <v>ROBLES</v>
          </cell>
          <cell r="P93" t="str">
            <v>ESTRUCTURAS Y DISEÑOS DEL SOL, S.A. DE C.V.</v>
          </cell>
          <cell r="Q93" t="str">
            <v>EDS001103AJ2</v>
          </cell>
          <cell r="V93">
            <v>42653</v>
          </cell>
          <cell r="Y93">
            <v>1498750.44</v>
          </cell>
          <cell r="AA93" t="str">
            <v>Construcción de linea de agua potable, drenaje sanitario y linea de alejamiento en la calle La grana y calle Rastro, en la colonia San Isidro, municipio de Zapopan, Jalisco.</v>
          </cell>
          <cell r="AD93">
            <v>42654</v>
          </cell>
          <cell r="AE93">
            <v>42698</v>
          </cell>
        </row>
        <row r="94">
          <cell r="C94" t="str">
            <v>DOPI-MUN-RM-IM-AD-213-2016</v>
          </cell>
          <cell r="M94" t="str">
            <v>NORMA FABIOLA</v>
          </cell>
          <cell r="N94" t="str">
            <v>RODRIGUEZ</v>
          </cell>
          <cell r="O94" t="str">
            <v>CASTILLO</v>
          </cell>
          <cell r="P94" t="str">
            <v>PARED URBANA, S.A. DE C.V.</v>
          </cell>
          <cell r="Q94" t="str">
            <v>PUR071001L23</v>
          </cell>
          <cell r="V94">
            <v>42647</v>
          </cell>
          <cell r="Y94">
            <v>932552.22</v>
          </cell>
          <cell r="AA94" t="str">
            <v>Suministro e instalación de piso de danza flotado de duela de Maple en el escenario del auditorio del Centro Cultural Constitución, ,municipio de Zapopan, Jalisco.</v>
          </cell>
          <cell r="AD94">
            <v>42648</v>
          </cell>
          <cell r="AE94">
            <v>42677</v>
          </cell>
        </row>
        <row r="95">
          <cell r="C95" t="str">
            <v>DOPI-MUN-RM-PROY-AD-215-2016</v>
          </cell>
          <cell r="M95" t="str">
            <v>LUIS ERNESTO</v>
          </cell>
          <cell r="N95" t="str">
            <v>GONZALEZ</v>
          </cell>
          <cell r="O95" t="str">
            <v>LOZANO</v>
          </cell>
          <cell r="P95" t="str">
            <v>TOSCANA INGENIERIA, S. A.  DE C.V.</v>
          </cell>
          <cell r="Q95" t="str">
            <v>TIN04100824A</v>
          </cell>
          <cell r="V95">
            <v>42657</v>
          </cell>
          <cell r="Y95">
            <v>1350125.87</v>
          </cell>
          <cell r="AA95" t="str">
            <v>Estudios básicos topográficos para diferentes obras 2016, segunda etapa, del municipio de Zapopan, Jalisco.</v>
          </cell>
          <cell r="AD95">
            <v>42660</v>
          </cell>
          <cell r="AE95">
            <v>42735</v>
          </cell>
        </row>
        <row r="96">
          <cell r="C96" t="str">
            <v>DOPI-MUN-RM-PAV-AD-216-2016</v>
          </cell>
          <cell r="M96" t="str">
            <v>ESPERANZA</v>
          </cell>
          <cell r="N96" t="str">
            <v>CORONA</v>
          </cell>
          <cell r="O96" t="str">
            <v>JUAREZ</v>
          </cell>
          <cell r="P96" t="str">
            <v>GREEN PATCHER MEXICO, S. DE R.L. DE C.V.</v>
          </cell>
          <cell r="Q96" t="str">
            <v>ISA071206P64</v>
          </cell>
          <cell r="V96">
            <v>42674</v>
          </cell>
          <cell r="Y96">
            <v>1492596.99</v>
          </cell>
          <cell r="AA96" t="str">
            <v>Programa emergente de bacheo de vialidades en Zapopan Norte, tramo 3, municipio de Zapopan, Jalisco.</v>
          </cell>
          <cell r="AD96">
            <v>42675</v>
          </cell>
          <cell r="AE96">
            <v>42734</v>
          </cell>
        </row>
        <row r="97">
          <cell r="C97" t="str">
            <v>DOPI-MUN-RM-IM-AD-217-2016</v>
          </cell>
          <cell r="M97" t="str">
            <v xml:space="preserve">RAFAEL </v>
          </cell>
          <cell r="N97" t="str">
            <v>OROZCO</v>
          </cell>
          <cell r="O97" t="str">
            <v>MARTINEZ</v>
          </cell>
          <cell r="P97" t="str">
            <v>CEELE CONSTRUCCIONES, S.A. DE C.V.</v>
          </cell>
          <cell r="Q97" t="str">
            <v>CCO020123366</v>
          </cell>
          <cell r="V97">
            <v>42657</v>
          </cell>
          <cell r="Y97">
            <v>950216.14</v>
          </cell>
          <cell r="AA97" t="str">
            <v>Construcción de modulo de sanitarios, en el Panteón de Santa  Ana Tepetitlan, municipio de Zapopan, Jalisco.</v>
          </cell>
          <cell r="AD97">
            <v>42660</v>
          </cell>
          <cell r="AE97">
            <v>42714</v>
          </cell>
        </row>
        <row r="98">
          <cell r="C98" t="str">
            <v>DOPI-MUN-RM-PAV-AD-218-2016</v>
          </cell>
          <cell r="M98" t="str">
            <v>SALVADOR</v>
          </cell>
          <cell r="N98" t="str">
            <v>CASTRO</v>
          </cell>
          <cell r="O98" t="str">
            <v>GUZMAN</v>
          </cell>
          <cell r="P98" t="str">
            <v>GRUPO CONSTRUCTOR GLEOSS, S.A. DE C.V.</v>
          </cell>
          <cell r="Q98" t="str">
            <v>GCG041213LZ9</v>
          </cell>
          <cell r="V98">
            <v>42664</v>
          </cell>
          <cell r="Y98">
            <v>1494567.16</v>
          </cell>
          <cell r="AA98" t="str">
            <v>Construcción de pavimento de concreto hidráulico en la calle La Grana  y calle Rastro, en la colonia San Isidro, municipio de Zapopan, Jalisco.</v>
          </cell>
          <cell r="AD98">
            <v>42667</v>
          </cell>
          <cell r="AE98">
            <v>42726</v>
          </cell>
        </row>
        <row r="99">
          <cell r="C99" t="str">
            <v>DOPI-MUN-RM-DP-AD-219-2016</v>
          </cell>
          <cell r="M99" t="str">
            <v xml:space="preserve">RODOLFO </v>
          </cell>
          <cell r="N99" t="str">
            <v xml:space="preserve">VELAZQUEZ </v>
          </cell>
          <cell r="O99" t="str">
            <v>ORDOÑEZ</v>
          </cell>
          <cell r="P99" t="str">
            <v>VELAZQUEZ INGENIERIA ECOLOGICA, S.A. DE C.V.</v>
          </cell>
          <cell r="Q99" t="str">
            <v>VIE110125RL4</v>
          </cell>
          <cell r="V99">
            <v>42653</v>
          </cell>
          <cell r="Y99">
            <v>1421736.05</v>
          </cell>
          <cell r="AA99" t="str">
            <v>Solución Pluvial en Tesistán (colector pluvial de 36" y bocas de tormenta) en la calle Jalisco, Hidalgo, Puebla, en la localidad de Tesistán, municipio de Zapopan, Jalisco. Frente 2.</v>
          </cell>
          <cell r="AD99">
            <v>42654</v>
          </cell>
          <cell r="AE99">
            <v>42704</v>
          </cell>
        </row>
        <row r="100">
          <cell r="C100" t="str">
            <v>DOPI-MUN-RM-IM-AD-220-2016</v>
          </cell>
          <cell r="M100" t="str">
            <v>JOSE ANTONIO</v>
          </cell>
          <cell r="N100" t="str">
            <v>ALVAREZ</v>
          </cell>
          <cell r="O100" t="str">
            <v>ZULOAGA</v>
          </cell>
          <cell r="P100" t="str">
            <v>GRUPO DESARROLLADOR ALZU, S.A. DE C.V.</v>
          </cell>
          <cell r="Q100" t="str">
            <v>GDA150928286</v>
          </cell>
          <cell r="V100">
            <v>42647</v>
          </cell>
          <cell r="Y100">
            <v>1495360.54</v>
          </cell>
          <cell r="AA100" t="str">
            <v>Suministro y colocación de estructuras de protección de rayos ultravioleta, pozos de filtración, cancelería y albañilería en el CRI ubicado en Av. Laureles, colonia Unidad Fovissste; Pintura y aplanados en el aula del CDI No. 3, ubicado en Av, Laureles, colonia Unidad Fovissste; Suministro y colocación de lona, colocación de ladrillo de azotea e impermeabilización en el área de consultorios y albañilería en el CEMAM, ubicado en la calle cerrada Santa Laura, colonia Santa Margarita Primera Sección, muncipio de Zapopan, Jalisco</v>
          </cell>
          <cell r="AD100">
            <v>42648</v>
          </cell>
          <cell r="AE100">
            <v>42704</v>
          </cell>
        </row>
        <row r="101">
          <cell r="C101" t="str">
            <v>DOPI-MUN-RM-PAV-AD-221-2016</v>
          </cell>
          <cell r="M101" t="str">
            <v>JESUS DAVID</v>
          </cell>
          <cell r="N101" t="str">
            <v xml:space="preserve">GARZA </v>
          </cell>
          <cell r="O101" t="str">
            <v>GARCIA</v>
          </cell>
          <cell r="P101" t="str">
            <v>CONSTRUCCIONES  ELECTRIFICACIONES Y ARRENDAMIENTO DE MAQUINARIA S.A. DE C.V.</v>
          </cell>
          <cell r="Q101" t="str">
            <v>CEA010615GT0</v>
          </cell>
          <cell r="V101">
            <v>42685</v>
          </cell>
          <cell r="Y101">
            <v>1358863.01</v>
          </cell>
          <cell r="AA101" t="str">
            <v>Pavimentación con concreto asfáltico en el paso inferior de Periférico Norte Manuel Gomez Morín en su cruce con la Av. Santa Margarita, municipio de Zapopan, Jalisco.</v>
          </cell>
          <cell r="AD101">
            <v>42688</v>
          </cell>
          <cell r="AE101">
            <v>42726</v>
          </cell>
        </row>
        <row r="102">
          <cell r="C102" t="str">
            <v>DOPI-MUN-RM-PAV-AD-222-2016</v>
          </cell>
          <cell r="M102" t="str">
            <v>ESTEBAN</v>
          </cell>
          <cell r="N102" t="str">
            <v>PEREZ</v>
          </cell>
          <cell r="O102" t="str">
            <v>MUÑOZ</v>
          </cell>
          <cell r="P102" t="str">
            <v>GRUPO PG CONSTRUCTORES Y SUPERVISORES, S.A. DE C.V.</v>
          </cell>
          <cell r="Q102" t="str">
            <v>GPC110927671</v>
          </cell>
          <cell r="V102">
            <v>42650</v>
          </cell>
          <cell r="Y102">
            <v>1447543.87</v>
          </cell>
          <cell r="AA102" t="str">
            <v>Construccion y rehabilitación de guarniciones, banquetas, obra complementaria en camellones en diferentes zonas del municipio de Zapopan, Jalisco, frente 1.</v>
          </cell>
          <cell r="AD102">
            <v>42651</v>
          </cell>
          <cell r="AE102">
            <v>42714</v>
          </cell>
        </row>
        <row r="103">
          <cell r="C103" t="str">
            <v>DOPI-MUN-RM-BAN-AD-223-2016</v>
          </cell>
          <cell r="M103" t="str">
            <v>ANGELICA</v>
          </cell>
          <cell r="N103" t="str">
            <v>VALDERRAMA</v>
          </cell>
          <cell r="O103" t="str">
            <v>CASTRO</v>
          </cell>
          <cell r="P103" t="str">
            <v>GRUPO V Y CG, S.A. DE C.V.</v>
          </cell>
          <cell r="Q103" t="str">
            <v>GVC1101316W5</v>
          </cell>
          <cell r="V103">
            <v>42674</v>
          </cell>
          <cell r="Y103">
            <v>650250.36</v>
          </cell>
          <cell r="AA103" t="str">
            <v>Construcción de banquetas y guarniciones en la calle La Grana y calle Rastro, en la colonia San Isidro, municipio de Zapopan, Jalisco.</v>
          </cell>
          <cell r="AD103">
            <v>42675</v>
          </cell>
          <cell r="AE103">
            <v>42719</v>
          </cell>
        </row>
        <row r="104">
          <cell r="C104" t="str">
            <v>DOPI-MUN-RM-PROY-AD-227-2016</v>
          </cell>
          <cell r="M104" t="str">
            <v>VICTOR MARTIN</v>
          </cell>
          <cell r="N104" t="str">
            <v>LOPEZ</v>
          </cell>
          <cell r="O104" t="str">
            <v>SANTOS</v>
          </cell>
          <cell r="P104" t="str">
            <v>CONSTRUCCIONES CITUS, S.A. DE C.V.</v>
          </cell>
          <cell r="Q104" t="str">
            <v>CCI020411HS5</v>
          </cell>
          <cell r="V104">
            <v>42706</v>
          </cell>
          <cell r="Y104">
            <v>1199639.3999999999</v>
          </cell>
          <cell r="AA104" t="str">
            <v>Estudios y proyecto ejecutivo para estructuras de regulación hidráulica; Diagnóstico, diseño y proyectos hidráulicos 2016, tercera etapa, de diferentes redes de agua potable y alcantarillado, municipio de Zapopan, Jalisco.</v>
          </cell>
          <cell r="AD104">
            <v>42709</v>
          </cell>
          <cell r="AE104">
            <v>42859</v>
          </cell>
        </row>
        <row r="105">
          <cell r="C105" t="str">
            <v>DOPI-MUN-RM-MOV-AD-234-2016</v>
          </cell>
          <cell r="M105" t="str">
            <v xml:space="preserve">HUGO RAFAEL </v>
          </cell>
          <cell r="N105" t="str">
            <v>CABRERA</v>
          </cell>
          <cell r="O105" t="str">
            <v>ORTINEZ</v>
          </cell>
          <cell r="P105" t="str">
            <v>HUGO RAFAEL CABRERA ORTINEZ</v>
          </cell>
          <cell r="Q105" t="str">
            <v>CAOH671024T38</v>
          </cell>
          <cell r="V105">
            <v>42674</v>
          </cell>
          <cell r="Y105">
            <v>1342102.7</v>
          </cell>
          <cell r="AA105" t="str">
            <v>Señalización vertical y horizontal en diferentes obras del municipio de Zapopan, Jalisco, frente 2.</v>
          </cell>
          <cell r="AD105">
            <v>42675</v>
          </cell>
          <cell r="AE105">
            <v>42735</v>
          </cell>
        </row>
        <row r="106">
          <cell r="C106" t="str">
            <v>DOPI-MUN-RM-IM-AD-235-2016</v>
          </cell>
          <cell r="M106" t="str">
            <v>HIRAM</v>
          </cell>
          <cell r="N106" t="str">
            <v>SANCHEZ</v>
          </cell>
          <cell r="O106" t="str">
            <v>LUGO</v>
          </cell>
          <cell r="P106" t="str">
            <v>CONSTRUSANLU URBANIZADORA, S.A. DE C.V.</v>
          </cell>
          <cell r="Q106" t="str">
            <v>CUR130430U59</v>
          </cell>
          <cell r="V106">
            <v>42664</v>
          </cell>
          <cell r="Y106">
            <v>915870.14</v>
          </cell>
          <cell r="AA106" t="str">
            <v>Construcción de caseta de vigilancia en el parque Metropolitano, municipio de Zapopan, Jalisco</v>
          </cell>
          <cell r="AD106">
            <v>42667</v>
          </cell>
          <cell r="AE106">
            <v>42704</v>
          </cell>
        </row>
        <row r="107">
          <cell r="C107" t="str">
            <v>DOPI-MUN-RM-PROY-AD-236-2016</v>
          </cell>
          <cell r="M107" t="str">
            <v>JUAN RAMON</v>
          </cell>
          <cell r="N107" t="str">
            <v>RAMIREZ</v>
          </cell>
          <cell r="O107" t="str">
            <v>ALATORRE</v>
          </cell>
          <cell r="P107" t="str">
            <v>QUERCUS GEOSOLUCIONES, S.A. DE C.V.</v>
          </cell>
          <cell r="Q107" t="str">
            <v>QGE080213988</v>
          </cell>
          <cell r="V107">
            <v>42664</v>
          </cell>
          <cell r="Y107">
            <v>556069.19999999995</v>
          </cell>
          <cell r="AA107" t="str">
            <v>Estudios de impacto ambiental, diagnostico de impacto vial y estudio de impacto urbano, frente 1, municipio de Zapopan, Jalisco</v>
          </cell>
          <cell r="AD107">
            <v>42667</v>
          </cell>
          <cell r="AE107">
            <v>42735</v>
          </cell>
        </row>
        <row r="108">
          <cell r="C108" t="str">
            <v>DOPI-MUN-RM-PAV-AD-237-2016</v>
          </cell>
          <cell r="M108" t="str">
            <v>JOSE SERGIO</v>
          </cell>
          <cell r="N108" t="str">
            <v>CARMONA</v>
          </cell>
          <cell r="O108" t="str">
            <v>RUVALCABA</v>
          </cell>
          <cell r="P108" t="str">
            <v>QUANTUM CONSTRUCTORES Y PROYECTOS, S.A. DE C.V.</v>
          </cell>
          <cell r="Q108" t="str">
            <v>QCP1307172S6</v>
          </cell>
          <cell r="V108">
            <v>42664</v>
          </cell>
          <cell r="Y108">
            <v>1480216.87</v>
          </cell>
          <cell r="AA108" t="str">
            <v>Construcción de pavimento de concreto hidráulico, banquetas, adecuaciones de la red sanitaria e hidráulica en la Av. D, colonia El Tigre II, municipio de Zapopan, Jalisco, tramo 1.</v>
          </cell>
          <cell r="AD108">
            <v>42667</v>
          </cell>
          <cell r="AE108">
            <v>42719</v>
          </cell>
        </row>
        <row r="109">
          <cell r="C109" t="str">
            <v>DOPI-MUN-RM-IE-AD-239-2016</v>
          </cell>
          <cell r="G109" t="str">
            <v xml:space="preserve">GUILLERMO ALBERTO </v>
          </cell>
          <cell r="H109" t="str">
            <v>RODRIGUEZ</v>
          </cell>
          <cell r="I109" t="str">
            <v>ALLENDE</v>
          </cell>
          <cell r="J109" t="str">
            <v>GRUPO CONSTRUCTOR MR DE JALISCO S.A. DE C.V.</v>
          </cell>
          <cell r="K109" t="str">
            <v>GCM121112J86</v>
          </cell>
          <cell r="V109">
            <v>42657</v>
          </cell>
          <cell r="Y109">
            <v>315620.47999999998</v>
          </cell>
          <cell r="AA109" t="str">
            <v>Suministro y colocación de estructuras de protección de rayos ultravioleta en el Jardín de Niños Maria Trinidad Martínez Yañez, clave CT14DJN1601J, colonia Villas Perisur, municipio de Zapopan, Jalisco</v>
          </cell>
          <cell r="AD109">
            <v>42660</v>
          </cell>
          <cell r="AE109">
            <v>42704</v>
          </cell>
        </row>
        <row r="110">
          <cell r="C110" t="str">
            <v>DOPI-MUN-RM-IU-AD-240-2016</v>
          </cell>
          <cell r="G110" t="str">
            <v xml:space="preserve">ALEJANDRO LUIS </v>
          </cell>
          <cell r="H110" t="str">
            <v xml:space="preserve">VAIDOVITS </v>
          </cell>
          <cell r="I110" t="str">
            <v xml:space="preserve"> SCHNURER</v>
          </cell>
          <cell r="J110" t="str">
            <v>PROMACO DE MEXICO, S.A. DE C.V.</v>
          </cell>
          <cell r="K110" t="str">
            <v>PME930817EV7</v>
          </cell>
          <cell r="V110">
            <v>42692</v>
          </cell>
          <cell r="Y110">
            <v>1495635.47</v>
          </cell>
          <cell r="AA110" t="str">
            <v>Primera etapa de la renovación de imagen urbana en la localidad de Tesistan, municipio de Zapopan, Jalisco</v>
          </cell>
          <cell r="AD110">
            <v>42696</v>
          </cell>
          <cell r="AE110">
            <v>42766</v>
          </cell>
        </row>
        <row r="111">
          <cell r="C111" t="str">
            <v>DOPI-MUN-RM-IM-AD-241-2016</v>
          </cell>
          <cell r="G111" t="str">
            <v>OSCAR LUIS</v>
          </cell>
          <cell r="H111" t="str">
            <v>CHAVEZ</v>
          </cell>
          <cell r="I111" t="str">
            <v>GONZALEZ</v>
          </cell>
          <cell r="J111" t="str">
            <v>EURO TRADE, S.A. DE C.V.</v>
          </cell>
          <cell r="K111" t="str">
            <v>ETR070417NS8</v>
          </cell>
          <cell r="V111">
            <v>42671</v>
          </cell>
          <cell r="Y111">
            <v>1276850.24</v>
          </cell>
          <cell r="AA111" t="str">
            <v>Rehabiitación de instalación eléctrica e hidrosanitaria, estructura de protección de rayos ultravioleta y albañilería en el Centro de Desarrollo Infantil del Dif No. 1 Carmen Arce Zuno, ubicado en la colonia Constitución, municipio de Zapopan, Jalisco.</v>
          </cell>
          <cell r="AD111">
            <v>42674</v>
          </cell>
          <cell r="AE111">
            <v>42735</v>
          </cell>
        </row>
        <row r="112">
          <cell r="C112" t="str">
            <v>DOPI-MUN-RM-IM-AD-242-2016</v>
          </cell>
          <cell r="G112" t="str">
            <v>ORLANDO</v>
          </cell>
          <cell r="H112" t="str">
            <v>HIJAR</v>
          </cell>
          <cell r="I112" t="str">
            <v>CASILLAS</v>
          </cell>
          <cell r="J112" t="str">
            <v>CONSTRUCTORA Y URBANIZADORA CEDA, S.A. DE C.V.</v>
          </cell>
          <cell r="K112" t="str">
            <v>CUC121107NV2</v>
          </cell>
          <cell r="V112">
            <v>42671</v>
          </cell>
          <cell r="Y112">
            <v>1510250.48</v>
          </cell>
          <cell r="AA112" t="str">
            <v>Rehabilitación de carpintería, instalación eléctrica, hidráulica, sanitaria, estructuras de protección de rayos ultravioleta, pisos, juegos infantiles, herrería y albañilería en el Centro de Desarrollo Infantil del Dif No. 2 Pablo Casals, ubicado en la colonia Valle de Atemajac; Rehabilitación de instalación eléctrica, hidráulica y sanitaria, herrería, albañilería, pisos en el Centro de Desarrollo Infantil del Dif No. 9 Villa de Guadalupe, ubicado en la colonia Villa de Guadalupe, municipio de Zapopan, Jalisco.</v>
          </cell>
          <cell r="AD112">
            <v>42674</v>
          </cell>
          <cell r="AE112">
            <v>42735</v>
          </cell>
        </row>
        <row r="113">
          <cell r="C113" t="str">
            <v>DOPI-MUN-RM-IM-AD-243-2016</v>
          </cell>
          <cell r="G113" t="str">
            <v xml:space="preserve">EDUARDO </v>
          </cell>
          <cell r="H113" t="str">
            <v>PLASCENCIA</v>
          </cell>
          <cell r="I113" t="str">
            <v>MACIAS</v>
          </cell>
          <cell r="J113" t="str">
            <v>CONSTRUCTORA Y EDIFICADORA PLASMA, S.A. DE C.V.</v>
          </cell>
          <cell r="K113" t="str">
            <v>CEP080129EK6</v>
          </cell>
          <cell r="V113">
            <v>42671</v>
          </cell>
          <cell r="Y113">
            <v>1368256.1</v>
          </cell>
          <cell r="AA113" t="str">
            <v>Rehabilitación de carpintería, instalación eléctrica, hidráulica, sanitaria, estructuras de protección de rayos ultravioleta, pisos, construcción de aulas y albañilería en el Centro de Desarrollo Infantil del Dif No. 5 El Colli, ubicado en la colonia El Colli y en el Centro de Desarrollo Infantil del Dif No. 6 Tabachines, ubicado en la colonia Tabachines, municipio de Zapopan, Jalisco</v>
          </cell>
          <cell r="AD113">
            <v>42674</v>
          </cell>
          <cell r="AE113">
            <v>42735</v>
          </cell>
        </row>
        <row r="114">
          <cell r="C114" t="str">
            <v>DOPI-MUN-RM-IM-AD-244-2016</v>
          </cell>
          <cell r="G114" t="str">
            <v xml:space="preserve">EDUARDO </v>
          </cell>
          <cell r="H114" t="str">
            <v>MORA</v>
          </cell>
          <cell r="I114" t="str">
            <v>BLACKALLER</v>
          </cell>
          <cell r="J114" t="str">
            <v>GRUPO CONSTRUCTOR INNOBLACK, S.A. DE C.V.</v>
          </cell>
          <cell r="K114" t="str">
            <v>GCI070523CW4</v>
          </cell>
          <cell r="V114">
            <v>42671</v>
          </cell>
          <cell r="Y114">
            <v>1495678.36</v>
          </cell>
          <cell r="AA114" t="str">
            <v>Construcción de muro perimetral y herrería en el Centro de Atención Infantil Comunitario del Dif No. 2 Santa Ana Tepetitlán, ubicado en la colonia Santa Ana Tepetitlán y en el Centro de Atención Infantil Comunitario del Dif No 1 La Higuera, ubicado en la colonia La Higuera, municipio de Zapopan, Jalisco.</v>
          </cell>
          <cell r="AD114">
            <v>42674</v>
          </cell>
          <cell r="AE114">
            <v>42735</v>
          </cell>
        </row>
        <row r="115">
          <cell r="C115" t="str">
            <v>DOPI-MUN-RM-PAV-AD-245-2016</v>
          </cell>
          <cell r="G115" t="str">
            <v>JOEL</v>
          </cell>
          <cell r="H115" t="str">
            <v>ZULOAGA</v>
          </cell>
          <cell r="I115" t="str">
            <v>ACEVES</v>
          </cell>
          <cell r="J115" t="str">
            <v>TASUM SOLUCIONES EN CONSTRUCCION, S.A. DE C.V.</v>
          </cell>
          <cell r="K115" t="str">
            <v>TSC100210E48</v>
          </cell>
          <cell r="V115">
            <v>42692</v>
          </cell>
          <cell r="Y115">
            <v>1538300.1</v>
          </cell>
          <cell r="AA115" t="str">
            <v>Reencarpetamiento de la vialidad, desbastado de la carpeta existente, nivelación de pozos de visita, cajas de válvulas, rejillas pluviales, bocas de tormenta y elementos estructurales que sobresalen de la rasante de la vialidad, calafateos, señaletica horizontal de la calle Jacarandas de Pablo Neruda a Paseo Loma Larga, en la colonia Colinas de San Javier, municipio de Zapopan, Jalisco.</v>
          </cell>
          <cell r="AD115">
            <v>42695</v>
          </cell>
          <cell r="AE115">
            <v>42729</v>
          </cell>
        </row>
        <row r="116">
          <cell r="C116" t="str">
            <v>DOPI-MUN-RM-EM-AD-246-2016</v>
          </cell>
          <cell r="G116" t="str">
            <v>CLAUDIA PATRICIA</v>
          </cell>
          <cell r="H116" t="str">
            <v xml:space="preserve">SANCHEZ </v>
          </cell>
          <cell r="I116" t="str">
            <v>VALLES</v>
          </cell>
          <cell r="J116" t="str">
            <v>CONSTRUCTORA JMA, S.A. DE C.V.</v>
          </cell>
          <cell r="K116" t="str">
            <v>CJM121221Q73</v>
          </cell>
          <cell r="V116">
            <v>42674</v>
          </cell>
          <cell r="Y116">
            <v>275935.40000000002</v>
          </cell>
          <cell r="AA116" t="str">
            <v>Reconstrucción de habitación, baño y cubierta en vivienda ubicada en la calle López Mateos #61, en la colonia Santa Lucia, municipio de Zapopan, Jalisco</v>
          </cell>
          <cell r="AD116">
            <v>42675</v>
          </cell>
          <cell r="AE116">
            <v>42719</v>
          </cell>
        </row>
        <row r="117">
          <cell r="C117" t="str">
            <v>DOPI-MUN-RM-ELE-AD-248-2016</v>
          </cell>
          <cell r="M117" t="str">
            <v>PIA LORENA</v>
          </cell>
          <cell r="N117" t="str">
            <v>BUENROSTRO</v>
          </cell>
          <cell r="O117" t="str">
            <v>AHUED</v>
          </cell>
          <cell r="P117" t="str">
            <v>BIRMEK CONSTRUCCIONES, S.A. DE C.V.</v>
          </cell>
          <cell r="Q117" t="str">
            <v>BCO070129512</v>
          </cell>
          <cell r="V117">
            <v>42706</v>
          </cell>
          <cell r="Y117">
            <v>969037.98</v>
          </cell>
          <cell r="AA117" t="str">
            <v>Eléctrificación de pozo en el Ejido Copalita y pozo en la localidad de Cerca Morada, municipio de Zapopan, Jalisco</v>
          </cell>
          <cell r="AD117">
            <v>42709</v>
          </cell>
          <cell r="AE117">
            <v>42799</v>
          </cell>
        </row>
        <row r="118">
          <cell r="C118" t="str">
            <v>DOPI-MUN-R33-IS-AD-249-2016</v>
          </cell>
          <cell r="M118" t="str">
            <v>JOSE DE JESUS</v>
          </cell>
          <cell r="N118" t="str">
            <v>PALAFOX</v>
          </cell>
          <cell r="O118" t="str">
            <v>VILLEGAS</v>
          </cell>
          <cell r="P118" t="str">
            <v>MEGAENLACE CONSTRUCCIONES S.A. DE C.V.</v>
          </cell>
          <cell r="Q118" t="str">
            <v>MCO1510113H8</v>
          </cell>
          <cell r="V118">
            <v>42699</v>
          </cell>
          <cell r="Y118">
            <v>1405850.23</v>
          </cell>
          <cell r="AA118" t="str">
            <v>Construcción de línea de drenaje sanitario de 16" en calle Central, de calle del Bosque al Arroyo, en la colonia el Tizate, en el municipio de Zapopan, Jalisco.</v>
          </cell>
          <cell r="AD118">
            <v>42702</v>
          </cell>
          <cell r="AE118">
            <v>42762</v>
          </cell>
        </row>
        <row r="119">
          <cell r="C119" t="str">
            <v>DOPI-MUN-RM-PROY-AD-250-2016</v>
          </cell>
          <cell r="M119" t="str">
            <v>GABRIEL</v>
          </cell>
          <cell r="N119" t="str">
            <v xml:space="preserve">FRANCO </v>
          </cell>
          <cell r="O119" t="str">
            <v>ALATORRE</v>
          </cell>
          <cell r="P119" t="str">
            <v>CONSTRUCTORA DE OCCIDENTE MS, S.A. DE C.V.</v>
          </cell>
          <cell r="Q119" t="str">
            <v>COM141015F48</v>
          </cell>
          <cell r="V119">
            <v>42699</v>
          </cell>
          <cell r="Y119">
            <v>1365001</v>
          </cell>
          <cell r="AA119" t="str">
            <v>Estudios básicos topográficos para diferentes obras 2016, tercera etapa, del municipio de Zapopan, Jalisco.</v>
          </cell>
          <cell r="AD119">
            <v>42702</v>
          </cell>
          <cell r="AE119">
            <v>42855</v>
          </cell>
        </row>
        <row r="120">
          <cell r="C120" t="str">
            <v>DOPI-MUN-R33-IH-AD-251-2016</v>
          </cell>
          <cell r="M120" t="str">
            <v>JOSE SERGIO</v>
          </cell>
          <cell r="N120" t="str">
            <v>CARMONA</v>
          </cell>
          <cell r="O120" t="str">
            <v>RUVALCABA</v>
          </cell>
          <cell r="P120" t="str">
            <v>QUANTUM CONSTRUCTORES Y PROYECTOS, S.A. DE C.V.</v>
          </cell>
          <cell r="Q120" t="str">
            <v>QCP1307172S6</v>
          </cell>
          <cell r="V120">
            <v>42699</v>
          </cell>
          <cell r="Y120">
            <v>1475636.47</v>
          </cell>
          <cell r="AA120" t="str">
            <v>Construcción de línea de conducción de agua potable, en la localidad Los Patios, de pozo Los Patios A Conexión Existente, en el municipio de Zapopan, Jalisco.</v>
          </cell>
          <cell r="AD120">
            <v>42702</v>
          </cell>
          <cell r="AE120">
            <v>42852</v>
          </cell>
        </row>
        <row r="121">
          <cell r="C121" t="str">
            <v>DOPI-MUN-R33-IH-AD-252-2016</v>
          </cell>
          <cell r="M121" t="str">
            <v>JUAN PABLO</v>
          </cell>
          <cell r="N121" t="str">
            <v>VERA</v>
          </cell>
          <cell r="O121" t="str">
            <v>TAVARES</v>
          </cell>
          <cell r="P121" t="str">
            <v>LIZETTE CONSTRUCCIONES, S.A. DE C.V.</v>
          </cell>
          <cell r="Q121" t="str">
            <v>LCO080228DN2</v>
          </cell>
          <cell r="V121">
            <v>42699</v>
          </cell>
          <cell r="Y121">
            <v>1298415.18</v>
          </cell>
          <cell r="AA121" t="str">
            <v>Construcción de línea de agua potable y drenaje sanitario en la calle Panorama, tramo 1, municipio de Zapopan, Jalisco.</v>
          </cell>
          <cell r="AD121">
            <v>42702</v>
          </cell>
          <cell r="AE121">
            <v>42792</v>
          </cell>
        </row>
        <row r="122">
          <cell r="C122" t="str">
            <v>DOPI-MUN-R33-IH-AD-253-2016</v>
          </cell>
          <cell r="M122" t="str">
            <v xml:space="preserve">RICARDO </v>
          </cell>
          <cell r="N122" t="str">
            <v>RIZO</v>
          </cell>
          <cell r="O122" t="str">
            <v>SOSA</v>
          </cell>
          <cell r="P122" t="str">
            <v>NEOINGENIERIA, S.A. DE C.V.</v>
          </cell>
          <cell r="Q122" t="str">
            <v>NEO080722M53</v>
          </cell>
          <cell r="V122">
            <v>42699</v>
          </cell>
          <cell r="Y122">
            <v>1140318.97</v>
          </cell>
          <cell r="AA122" t="str">
            <v>Construcción de línea de agua potable en la calle 22 de Junio, Privada 12 de Octubre, Prolongación Vicente Guerrero, Privada Niño Artillero 1, Privada Niño Artillero 2; Rehabilitación de drenaje sanitario en la calle Niño Artillero, en la colonia Indígena de Mezquitán I Sección, municipio de Zapopan, Jalisco.</v>
          </cell>
          <cell r="AD122">
            <v>42702</v>
          </cell>
          <cell r="AE122">
            <v>42822</v>
          </cell>
        </row>
        <row r="123">
          <cell r="C123" t="str">
            <v>DOPI-MUN-R33-IH-AD-254-2016</v>
          </cell>
          <cell r="M123" t="str">
            <v>GABINO</v>
          </cell>
          <cell r="N123" t="str">
            <v>MONTUFAR</v>
          </cell>
          <cell r="O123" t="str">
            <v>NUÑEZ</v>
          </cell>
          <cell r="P123" t="str">
            <v>DI.COB, S.A. DE C.V.</v>
          </cell>
          <cell r="Q123" t="str">
            <v>DCO021029737</v>
          </cell>
          <cell r="V123">
            <v>42699</v>
          </cell>
          <cell r="Y123">
            <v>1010226.87</v>
          </cell>
          <cell r="AA123" t="str">
            <v>Construcción de línea agua potable en la calle Miguel Hidalgo, de calle Josefa Ortíz De Domínguez a Cerrada, en la colonia Indígena De Mezquitan I Sección, en el municipio de Zapopan, Jalisco.</v>
          </cell>
          <cell r="AD123">
            <v>42702</v>
          </cell>
          <cell r="AE123">
            <v>42822</v>
          </cell>
        </row>
        <row r="124">
          <cell r="C124" t="str">
            <v>DOPI-MUN-R33-PAV-AD-255-2016</v>
          </cell>
          <cell r="M124" t="str">
            <v>JOSE GILBERTO</v>
          </cell>
          <cell r="N124" t="str">
            <v>LUJAN</v>
          </cell>
          <cell r="O124" t="str">
            <v>BARAJAS</v>
          </cell>
          <cell r="P124" t="str">
            <v>GILCO INGENIERIA, S.A. DE C.V.</v>
          </cell>
          <cell r="Q124" t="str">
            <v>GIN1202272F9</v>
          </cell>
          <cell r="V124">
            <v>42699</v>
          </cell>
          <cell r="Y124">
            <v>1494784.36</v>
          </cell>
          <cell r="AA124" t="str">
            <v>Construcción de pavimento zamepado en la calle Laureles, de calle Paseo de los Manzanos a calle Palmeras, en la colonia Lomas de Tabachines  I sección, en el municipio de Zapopan, Jalisco. Frente 1</v>
          </cell>
          <cell r="AD124">
            <v>42702</v>
          </cell>
          <cell r="AE124">
            <v>42822</v>
          </cell>
        </row>
        <row r="125">
          <cell r="C125" t="str">
            <v>DOPI-MUN-R33-PAV-AD-256-2016</v>
          </cell>
          <cell r="M125" t="str">
            <v>AMALIA</v>
          </cell>
          <cell r="N125" t="str">
            <v>MORENO</v>
          </cell>
          <cell r="O125" t="str">
            <v>MALDONADO</v>
          </cell>
          <cell r="P125" t="str">
            <v>GRUPO CONSTRUCTOR LOS MUROS, S.A. DE C.V.</v>
          </cell>
          <cell r="Q125" t="str">
            <v>GCM020226F28</v>
          </cell>
          <cell r="V125">
            <v>42699</v>
          </cell>
          <cell r="Y125">
            <v>1208435.74</v>
          </cell>
          <cell r="AA125" t="str">
            <v>Pavimentación empedrado zampeado, línea de agua potable y drenaje sanitario,  en la calle Laurel, de calle Abelardo Rodríguez a calle Palmeras y calle Palmeras, de calle Laurel a Cerrada, en la colonia Emiliano Zapata, municipio de Zapopan Jalisco.</v>
          </cell>
          <cell r="AD125">
            <v>42702</v>
          </cell>
          <cell r="AE125">
            <v>42822</v>
          </cell>
        </row>
        <row r="126">
          <cell r="C126" t="str">
            <v>DOPI-MUN-R33-PAV-AD-257-2016</v>
          </cell>
          <cell r="M126" t="str">
            <v>JOAQUIN</v>
          </cell>
          <cell r="N126" t="str">
            <v>RAMIREZ</v>
          </cell>
          <cell r="O126" t="str">
            <v>GALLARDO</v>
          </cell>
          <cell r="P126" t="str">
            <v>A. &amp; G. URBANIZADORA, S.A. DE C.V.</v>
          </cell>
          <cell r="Q126" t="str">
            <v>AUR100826KX0</v>
          </cell>
          <cell r="V126">
            <v>42699</v>
          </cell>
          <cell r="Y126">
            <v>1524750.48</v>
          </cell>
          <cell r="AA126" t="str">
            <v>Construcción de pavimento zamepado en la calle Laureles, de calle Paseo de los Manzanos a calle Palmeras, en la colonia Lomas de Tabachines  I sección, en el municipio de Zapopan, Jalisco. Frente 2</v>
          </cell>
          <cell r="AD126">
            <v>42702</v>
          </cell>
          <cell r="AE126">
            <v>42822</v>
          </cell>
        </row>
        <row r="127">
          <cell r="C127" t="str">
            <v>DOPI-MUN-R33-ELE-AD-258-2016</v>
          </cell>
          <cell r="M127" t="str">
            <v>JOSE DE JESUS</v>
          </cell>
          <cell r="N127" t="str">
            <v>MARQUEZ</v>
          </cell>
          <cell r="O127" t="str">
            <v>AVILA</v>
          </cell>
          <cell r="P127" t="str">
            <v>FUTUROBRAS, S.A. DE C.V.</v>
          </cell>
          <cell r="Q127" t="str">
            <v>FUT1110275V9</v>
          </cell>
          <cell r="V127">
            <v>42699</v>
          </cell>
          <cell r="Y127">
            <v>1393254.78</v>
          </cell>
          <cell r="AA127" t="str">
            <v>Alumbrado público en la calle Santa María, de calle Santa María a calle Dolores Rodríguez, calle Dolores Rodríguez de calle Santa María a calle Jalisco, Privada Lagos De Moreno de calle Jalisco al Arroyo, calle Tequila de calle Jalisco al Arroyo, calle Agua Prieta de calle Jalisco al Arroyo, en la colonia Lomas Del Refugio, en el municipio de Zapopan, Jalisco.</v>
          </cell>
          <cell r="AD127">
            <v>42702</v>
          </cell>
          <cell r="AE127">
            <v>42852</v>
          </cell>
        </row>
        <row r="128">
          <cell r="C128" t="str">
            <v>DOPI-MUN-R33-ELE-AD-259-2016</v>
          </cell>
          <cell r="M128" t="str">
            <v>RODRIGO</v>
          </cell>
          <cell r="N128" t="str">
            <v>SOLIS</v>
          </cell>
          <cell r="O128" t="str">
            <v>RUIZ</v>
          </cell>
          <cell r="P128" t="str">
            <v>EQUIPO MANTENIMIENTO Y PLANEACION ELECTRICA, S.A. DE C.V.</v>
          </cell>
          <cell r="Q128" t="str">
            <v>EMP080630FL0</v>
          </cell>
          <cell r="V128">
            <v>42710</v>
          </cell>
          <cell r="Y128">
            <v>992115.87</v>
          </cell>
          <cell r="AA128" t="str">
            <v>Electrificación y alumbrado público en calle Latón, de calle Platino a calle Centenario, calle Limonita, de calle Níquel al Arroyo y calle Uranio, de calle Río Bajo al arroyo, en la colonia Arenales Tapatíos II, en el municipio de Zapopan, Jalisco.</v>
          </cell>
          <cell r="AD128">
            <v>42711</v>
          </cell>
          <cell r="AE128">
            <v>42794</v>
          </cell>
        </row>
        <row r="129">
          <cell r="C129" t="str">
            <v>DOPI-MUN-R33-ELE-AD-260-2016</v>
          </cell>
          <cell r="M129" t="str">
            <v>FAUSTO</v>
          </cell>
          <cell r="N129" t="str">
            <v>GARNICA</v>
          </cell>
          <cell r="O129" t="str">
            <v>PADILLA</v>
          </cell>
          <cell r="P129" t="str">
            <v>FAUSTO GARNICA PADILLA</v>
          </cell>
          <cell r="Q129" t="str">
            <v>GAPF5912193V9</v>
          </cell>
          <cell r="V129">
            <v>42710</v>
          </cell>
          <cell r="Y129">
            <v>1502368.1</v>
          </cell>
          <cell r="AA129" t="str">
            <v xml:space="preserve">Electrificación de pozo, en la localidad Los Patios, en el municipio de Zapopan, Jalisco. </v>
          </cell>
          <cell r="AD129">
            <v>42711</v>
          </cell>
          <cell r="AE129">
            <v>42861</v>
          </cell>
        </row>
        <row r="130">
          <cell r="C130" t="str">
            <v>DOPI-MUN-R33-IH-AD-261-2016</v>
          </cell>
          <cell r="M130" t="str">
            <v>MADELEINE</v>
          </cell>
          <cell r="N130" t="str">
            <v xml:space="preserve">GARZA </v>
          </cell>
          <cell r="O130" t="str">
            <v>ESTRADA</v>
          </cell>
          <cell r="P130" t="str">
            <v>SINERGIA URBANA, S.A. DE C.V.</v>
          </cell>
          <cell r="Q130" t="str">
            <v>SUR091203ERA</v>
          </cell>
          <cell r="V130">
            <v>42710</v>
          </cell>
          <cell r="Y130">
            <v>560225.48</v>
          </cell>
          <cell r="AA130" t="str">
            <v>Construcción de línea de drenaje sanitario en la calle Rosal, de calle Colorines a calle Jazmín, en la colonia Floresta Del Collí; Obra complementaria de la línea de agua potable, en la colonia Misión San Genaro (Nuevo México), en el municipio de Zapopan Jalisco.</v>
          </cell>
          <cell r="AD130">
            <v>42711</v>
          </cell>
          <cell r="AE130">
            <v>42771</v>
          </cell>
        </row>
        <row r="131">
          <cell r="C131" t="str">
            <v>DOPI-MUN-R33-IH-AD-262-2016</v>
          </cell>
          <cell r="M131" t="str">
            <v>JUAN</v>
          </cell>
          <cell r="N131" t="str">
            <v>PADILLA</v>
          </cell>
          <cell r="O131" t="str">
            <v>AILHAUD</v>
          </cell>
          <cell r="P131" t="str">
            <v>TRAMA CONSTRUCTORA Y MAQUINARIA, S.A. DE C.V.</v>
          </cell>
          <cell r="Q131" t="str">
            <v>TCM0111148H5</v>
          </cell>
          <cell r="V131">
            <v>42713</v>
          </cell>
          <cell r="Y131">
            <v>1337560.18</v>
          </cell>
          <cell r="AA131" t="str">
            <v>Construcción de línea de agua potable en la calle Tuna, de calle Carlos Herrera Jasso a calle Vista Hermosa, calle vista al poniente, de calle Carlos Herrera Jasso a calle Vista Hermosa, calle Vista Sur, de calle Vista Bonita a calle Vista Alta  y calle Vista Rivera, de calle Vista Bonita a calle Vista Alta, en la colonia Vista Hermosa, en el municipio de Zapopan Jalisco</v>
          </cell>
          <cell r="AD131">
            <v>42716</v>
          </cell>
          <cell r="AE131">
            <v>42806</v>
          </cell>
        </row>
        <row r="132">
          <cell r="C132" t="str">
            <v>DOPI-MUN-R33-PAV-AD-263-2016</v>
          </cell>
          <cell r="M132" t="str">
            <v>ROBERTO</v>
          </cell>
          <cell r="N132" t="str">
            <v>FLORES</v>
          </cell>
          <cell r="O132" t="str">
            <v>ARREOLA</v>
          </cell>
          <cell r="P132" t="str">
            <v>ESTUDIOS SISTEMAS Y CONSTRUCCIONES, S.A. DE C.V.</v>
          </cell>
          <cell r="Q132" t="str">
            <v>ESC930617KW9</v>
          </cell>
          <cell r="V132">
            <v>42713</v>
          </cell>
          <cell r="Y132">
            <v>1510487.16</v>
          </cell>
          <cell r="AA132" t="str">
            <v>Pavimentación con empedrado zampeado de la calle El Salto, de calle Fernando Montes De Oca a calle Valentín Gómez Farías; Construcción de Andador en la calle El Salto de la calle Valentín Gómez Farías al Arroyo, municipio de Zapopan, Jalisco</v>
          </cell>
          <cell r="AD132">
            <v>42716</v>
          </cell>
          <cell r="AE132">
            <v>42836</v>
          </cell>
        </row>
        <row r="133">
          <cell r="C133" t="str">
            <v>DOPI-MUN-R33 BAN-AD-264-2016</v>
          </cell>
          <cell r="M133" t="str">
            <v>BRUNO</v>
          </cell>
          <cell r="N133" t="str">
            <v>RUIZ</v>
          </cell>
          <cell r="O133" t="str">
            <v>CASTAÑEDA</v>
          </cell>
          <cell r="P133" t="str">
            <v>SERVICIOS DE INGENIERIA APLICADA, S.A. DE C.V.</v>
          </cell>
          <cell r="Q133" t="str">
            <v>SIA011224UN1</v>
          </cell>
          <cell r="V133">
            <v>42713</v>
          </cell>
          <cell r="Y133">
            <v>1495874.33</v>
          </cell>
          <cell r="AA133" t="str">
            <v>Construcción de puente peatonal en el cruce de la calle Albañiles y calle Mirador, en la colonia Cabañitas, municipio de Zapopan, Jalisco.</v>
          </cell>
          <cell r="AD133">
            <v>42716</v>
          </cell>
          <cell r="AE133">
            <v>42836</v>
          </cell>
        </row>
        <row r="134">
          <cell r="C134" t="str">
            <v>DOPI-MUN-R33-ELE-AD-265-2016</v>
          </cell>
          <cell r="M134" t="str">
            <v xml:space="preserve">HÉCTOR ALEJANDRO </v>
          </cell>
          <cell r="N134" t="str">
            <v xml:space="preserve">ORTEGA </v>
          </cell>
          <cell r="O134" t="str">
            <v>ROSALES</v>
          </cell>
          <cell r="P134" t="str">
            <v>IME SERVICIOS Y SUMINISTROS, S.A. DE C.V.</v>
          </cell>
          <cell r="Q134" t="str">
            <v>ISS920330811</v>
          </cell>
          <cell r="V134">
            <v>42713</v>
          </cell>
          <cell r="Y134">
            <v>1475654.13</v>
          </cell>
          <cell r="AA134" t="str">
            <v>Electrificación en la calle La Sidra, de calle Naranjo a 700 m,  en la localidad San Esteban,  en el municipio de Zapopan, Jalisco.</v>
          </cell>
          <cell r="AD134">
            <v>42716</v>
          </cell>
          <cell r="AE134">
            <v>42866</v>
          </cell>
        </row>
        <row r="135">
          <cell r="C135" t="str">
            <v>DOPI-MUN-R33-ELE-AD-266-2016</v>
          </cell>
          <cell r="M135" t="str">
            <v>JOSUE FERNANDO RAFAEL</v>
          </cell>
          <cell r="N135" t="str">
            <v>ESCANES</v>
          </cell>
          <cell r="O135" t="str">
            <v>TAMES</v>
          </cell>
          <cell r="P135" t="str">
            <v>JALCO ILUMINACION, S.A. DE C.V.</v>
          </cell>
          <cell r="Q135" t="str">
            <v>JIL9410139F9</v>
          </cell>
          <cell r="V135">
            <v>42713</v>
          </cell>
          <cell r="Y135">
            <v>1497365.47</v>
          </cell>
          <cell r="AA135" t="str">
            <v xml:space="preserve">Línea de electrificación de pozo, en la localidad Milpillas Mesa De San Juan, en el municipio de Zapopan, Jalisco. </v>
          </cell>
          <cell r="AD135">
            <v>42716</v>
          </cell>
          <cell r="AE135">
            <v>42866</v>
          </cell>
        </row>
        <row r="136">
          <cell r="C136" t="str">
            <v>DOPI-MUN-RM-IM-AD-267-2016</v>
          </cell>
          <cell r="M136" t="str">
            <v xml:space="preserve">RAFAEL </v>
          </cell>
          <cell r="N136" t="str">
            <v>ARREGUIN</v>
          </cell>
          <cell r="O136" t="str">
            <v>RENTERIA</v>
          </cell>
          <cell r="P136" t="str">
            <v xml:space="preserve">ARH DESARROLLOS INMOBILIARIOS, S.A. DE C.V. </v>
          </cell>
          <cell r="Q136" t="str">
            <v>ADI130522MB7</v>
          </cell>
          <cell r="V136">
            <v>42713</v>
          </cell>
          <cell r="Y136">
            <v>1390897.36</v>
          </cell>
          <cell r="AA136" t="str">
            <v>Rehabilitación de carpintería, instalación eléctrica, hidráulica, sanitaria, estructuras de protección de rayos ultravioleta, pisos, y albañilería en el Centro de Desarrollo Infantil del DIF No. 3 Irene Robledo García, ubicado en la colonia Fovissste, municipio de Zapopa</v>
          </cell>
          <cell r="AD136">
            <v>42716</v>
          </cell>
          <cell r="AE136">
            <v>42746</v>
          </cell>
        </row>
        <row r="137">
          <cell r="C137" t="str">
            <v>DOPI-MUN-RM-IM-AD-268-2016</v>
          </cell>
          <cell r="M137" t="str">
            <v xml:space="preserve">GUILLERMO </v>
          </cell>
          <cell r="N137" t="str">
            <v>RODRIGUEZ</v>
          </cell>
          <cell r="O137" t="str">
            <v>MEZA</v>
          </cell>
          <cell r="P137" t="str">
            <v>CORPORATIVO ALMIRA DE JALISCO, S.A. DE C.V.</v>
          </cell>
          <cell r="Q137" t="str">
            <v>CAJ1208151M8</v>
          </cell>
          <cell r="V137">
            <v>42713</v>
          </cell>
          <cell r="Y137">
            <v>1472678.88</v>
          </cell>
          <cell r="AA137" t="str">
            <v>Rehabilitación de carpintería, instalación eléctrica, hidráulica, sanitaria, estructuras de protección de rayos ultravioleta, pisos, juegos infantiles y albañilería en el Centro de Desarrollo Infantil del DIF No. 4 Melvin Jones, ubicado en la colonia Jardines del Sol, municipio de Zapopan, Jalisco</v>
          </cell>
          <cell r="AD137">
            <v>42716</v>
          </cell>
          <cell r="AE137">
            <v>42776</v>
          </cell>
        </row>
        <row r="138">
          <cell r="C138" t="str">
            <v>DOPI-MUN-RM-PROY-AD-269-2016</v>
          </cell>
          <cell r="M138" t="str">
            <v xml:space="preserve">RODOLFO </v>
          </cell>
          <cell r="N138" t="str">
            <v xml:space="preserve">VELAZQUEZ </v>
          </cell>
          <cell r="O138" t="str">
            <v>ORDOÑEZ</v>
          </cell>
          <cell r="P138" t="str">
            <v>VELAZQUEZ INGENIERIA ECOLOGICA, S.A. DE C.V.</v>
          </cell>
          <cell r="Q138" t="str">
            <v>VIE110125RL4</v>
          </cell>
          <cell r="V138">
            <v>42713</v>
          </cell>
          <cell r="Y138">
            <v>1095388.1499999999</v>
          </cell>
          <cell r="AA138" t="str">
            <v>Diagnóstico, diseño y proyectos hidráulicos 2016, segunda etapa, de diferentes redes de agua potable y alcantarillado, municipio de Zapopan Jalisco.</v>
          </cell>
          <cell r="AD138">
            <v>42716</v>
          </cell>
          <cell r="AE138">
            <v>42866</v>
          </cell>
        </row>
        <row r="139">
          <cell r="C139" t="str">
            <v>DOPI-MUN-RM-IM-AD-270-2016</v>
          </cell>
          <cell r="M139" t="str">
            <v xml:space="preserve">JUAN RAUL </v>
          </cell>
          <cell r="N139" t="str">
            <v>RODRIGUEZ</v>
          </cell>
          <cell r="O139" t="str">
            <v>GUERRERO</v>
          </cell>
          <cell r="P139" t="str">
            <v xml:space="preserve">SUMA TERRA OBRAS Y PROYECTOS, S.A. DE C.V. </v>
          </cell>
          <cell r="Q139" t="str">
            <v>STO0707062J9</v>
          </cell>
          <cell r="V139">
            <v>42713</v>
          </cell>
          <cell r="Y139">
            <v>1485215.47</v>
          </cell>
          <cell r="AA139" t="str">
            <v>Rehabilitación de baños públicos en el Centro Acuatico Zapopan, Unidad Deportiva Francisco Villa y en la Unidad Deportiva Base Aérea, Municipio de Zapopan, Jalisco.</v>
          </cell>
          <cell r="AD139">
            <v>42716</v>
          </cell>
          <cell r="AE139">
            <v>42806</v>
          </cell>
        </row>
        <row r="140">
          <cell r="C140" t="str">
            <v>DOPI-MUN-RM-IM-AD-272-2016</v>
          </cell>
          <cell r="M140" t="str">
            <v xml:space="preserve">ARTURO </v>
          </cell>
          <cell r="N140" t="str">
            <v>DISTANCIA</v>
          </cell>
          <cell r="O140" t="str">
            <v>SANCHEZ</v>
          </cell>
          <cell r="P140" t="str">
            <v>JAVAX CONSULTORES, S.A. DE C.V.</v>
          </cell>
          <cell r="Q140" t="str">
            <v>JCO160413SK4</v>
          </cell>
          <cell r="V140">
            <v>42713</v>
          </cell>
          <cell r="Y140">
            <v>1450236.87</v>
          </cell>
          <cell r="AA140" t="str">
            <v>Rehabilitación de baños públicos en la Unidad Deportiva El Vergel, Unidad Deportiva Santa Margarita "Las Margaritas" y en la Unidad Deportiva Santa Ana Tepetitlán, municipio de Zapopan, Jalisco</v>
          </cell>
          <cell r="AD140">
            <v>42716</v>
          </cell>
          <cell r="AE140">
            <v>42806</v>
          </cell>
        </row>
        <row r="141">
          <cell r="C141" t="str">
            <v>DOPI-MUN-RM-ELE-AD-274-2016</v>
          </cell>
          <cell r="M141" t="str">
            <v>PIA LORENA</v>
          </cell>
          <cell r="N141" t="str">
            <v>BUENROSTRO</v>
          </cell>
          <cell r="O141" t="str">
            <v>AHUED</v>
          </cell>
          <cell r="P141" t="str">
            <v>BIRMEK CONSTRUCCIONES, S.A. DE C.V.</v>
          </cell>
          <cell r="Q141" t="str">
            <v>BCO070129512</v>
          </cell>
          <cell r="V141">
            <v>42713</v>
          </cell>
          <cell r="Y141">
            <v>569255.19400000002</v>
          </cell>
          <cell r="AA141" t="str">
            <v>Suministro e instalación de sistema de pararrayos en el Centro Cultural Constitución, municipio de Zapopan, Jalisco</v>
          </cell>
          <cell r="AD141">
            <v>42716</v>
          </cell>
          <cell r="AE141">
            <v>42766</v>
          </cell>
        </row>
        <row r="142">
          <cell r="C142" t="str">
            <v>DOPI-MUN-RM-PAV-AD-275-2016</v>
          </cell>
          <cell r="M142" t="str">
            <v>JESUS DAVID</v>
          </cell>
          <cell r="N142" t="str">
            <v xml:space="preserve">GARZA </v>
          </cell>
          <cell r="O142" t="str">
            <v>GARCIA</v>
          </cell>
          <cell r="P142" t="str">
            <v>CONSTRUCCION GG, S.A. DE C.V.</v>
          </cell>
          <cell r="Q142" t="str">
            <v>CGG040518F81</v>
          </cell>
          <cell r="V142">
            <v>42713</v>
          </cell>
          <cell r="Y142">
            <v>876527.94</v>
          </cell>
          <cell r="AA142" t="str">
            <v>Pavimentación con concreto asfáltico en el retorno Periférico Sur hacía Av, Santa Esther y en el retorno Periférico Norte hacía Av. Juan Pablo II, municipio de Zapopan, Jalisco</v>
          </cell>
          <cell r="AD142">
            <v>42716</v>
          </cell>
          <cell r="AE142">
            <v>42766</v>
          </cell>
        </row>
        <row r="143">
          <cell r="C143" t="str">
            <v>DOPI-MUN-RM-IH-AD-277-2016</v>
          </cell>
          <cell r="M143" t="str">
            <v>JOSE ANTONIO</v>
          </cell>
          <cell r="N143" t="str">
            <v>ALVAREZ</v>
          </cell>
          <cell r="O143" t="str">
            <v>ZULOAGA</v>
          </cell>
          <cell r="P143" t="str">
            <v>GRUPO DESARROLLADOR ALZU, S.A. DE C.V.</v>
          </cell>
          <cell r="Q143" t="str">
            <v>GDA150928286</v>
          </cell>
          <cell r="V143">
            <v>42699</v>
          </cell>
          <cell r="Y143">
            <v>924106.84</v>
          </cell>
          <cell r="AA143" t="str">
            <v xml:space="preserve">Construcción de red de drenaje sanitario en la calle Malinalli, de la calle Cholollan a la calle Delli, colonia Mesa Colorada, municipio de Zapopan, Jalisco </v>
          </cell>
          <cell r="AD143">
            <v>42702</v>
          </cell>
          <cell r="AE143">
            <v>42750</v>
          </cell>
        </row>
        <row r="144">
          <cell r="C144" t="str">
            <v>DOPI-MUN-RM-IH-AD-278-2016</v>
          </cell>
          <cell r="M144" t="str">
            <v>JAVIER</v>
          </cell>
          <cell r="N144" t="str">
            <v xml:space="preserve">ÁVILA </v>
          </cell>
          <cell r="O144" t="str">
            <v>FLORES</v>
          </cell>
          <cell r="P144" t="str">
            <v>SAVHO CONSULTORÍA Y CONSTRUCCIÓN, S.A. DE C.V.</v>
          </cell>
          <cell r="Q144" t="str">
            <v>SCC060622HZ3</v>
          </cell>
          <cell r="V144">
            <v>42706</v>
          </cell>
          <cell r="Y144">
            <v>626297.09</v>
          </cell>
          <cell r="AA144" t="str">
            <v>Instalación de tomas domiciliarias en la colonia Marcelino García Barragán, municipio de Zapopan, Jalisco</v>
          </cell>
          <cell r="AD144">
            <v>42709</v>
          </cell>
          <cell r="AE144">
            <v>42754</v>
          </cell>
        </row>
        <row r="145">
          <cell r="C145" t="str">
            <v>DOPI-MUN-RM-SERV-AD-279-2016</v>
          </cell>
          <cell r="M145" t="str">
            <v>DANIEL</v>
          </cell>
          <cell r="N145" t="str">
            <v>SEGURA</v>
          </cell>
          <cell r="O145" t="str">
            <v>URBANO</v>
          </cell>
          <cell r="P145" t="str">
            <v>SEGURA URBANO  DANIEL</v>
          </cell>
          <cell r="Q145" t="str">
            <v>SEUD690208177</v>
          </cell>
          <cell r="V145">
            <v>42720</v>
          </cell>
          <cell r="Y145">
            <v>1214979.8</v>
          </cell>
          <cell r="AA145" t="str">
            <v>Servicios de consultoría para la elaboración de bases, coordinación técnica del proceso de licitación, contratación y supervisión técnica de la ejecución del complejo C4 Zapopan, municipio de Zapopan, Jalisco</v>
          </cell>
          <cell r="AD145">
            <v>42723</v>
          </cell>
          <cell r="AE145">
            <v>42886</v>
          </cell>
        </row>
      </sheetData>
      <sheetData sheetId="2">
        <row r="23">
          <cell r="AG23">
            <v>4256046.82</v>
          </cell>
          <cell r="AL23" t="str">
            <v>Construcción de muro mecánicamente estabilizado (obra complementaria) para conexión al retorno vial a Periférico Norte y Av Juan Palomar y Arias, municipio de Zapopan, Jalisco.</v>
          </cell>
          <cell r="AS23" t="str">
            <v>Col. Parque Industrial Belenes</v>
          </cell>
        </row>
        <row r="24">
          <cell r="AG24">
            <v>4886861.9000000004</v>
          </cell>
          <cell r="AL24" t="str">
            <v>Construcción de pavimento de concreto hidráulico, sustitución de líneas de agua potable y de drenaje sanitario, construcción de banquetas, guarniciones y alumbrado público, en el carril norte de la calle Puente el Palomar de la calle Campanario a calle Nardo, municipio de Zapopan, Jalisco.</v>
          </cell>
          <cell r="AS24" t="str">
            <v>Col. El Campanario</v>
          </cell>
        </row>
        <row r="25">
          <cell r="AG25">
            <v>3920653.99</v>
          </cell>
          <cell r="AL25" t="str">
            <v>Construcción de pavimento de concreto hidráulico, sustitución de líneas de agua potable, drenaje sanitario, construcción de banquetas, guarniciones y alumbrado público, en la calle Niños Héroes de Emiliano Zapata a Hidalgo y de Hidalgo de Niños Héroes a Ignacio Allende, en la localidad de Santa Lucia, municipio de Zapopan, Jalisco.</v>
          </cell>
          <cell r="AS25" t="str">
            <v>Localidad Santa Lucía</v>
          </cell>
        </row>
        <row r="26">
          <cell r="AG26">
            <v>5701133.4699999997</v>
          </cell>
          <cell r="AL26" t="str">
            <v>Construcción de la red de agua potable y de drenaje sanitario en la carretera La Venta del Astillero - Santa Lucia, en la colonia La Soledad, localidad de Nextipac, municipio de Zapopan, Jalisco</v>
          </cell>
          <cell r="AS26" t="str">
            <v>Localidad de Nextipac</v>
          </cell>
        </row>
        <row r="27">
          <cell r="AG27">
            <v>2157478.2999999998</v>
          </cell>
          <cell r="AL27" t="str">
            <v>Construcción de líneas de drenaje sanitario y de agua potable, subrasante y base hidráulica en la calle Cesario Rivera desde la carreta a Saltillo a la calle Jacinto González Peña, en la colonia Villas de Guadalupe, municipio de Zapopan, Jalisco.</v>
          </cell>
          <cell r="AS27" t="str">
            <v>Col. Villas de Guadalupe</v>
          </cell>
        </row>
        <row r="28">
          <cell r="AG28">
            <v>3164998.73</v>
          </cell>
          <cell r="AL28" t="str">
            <v>Construcción de líneas de drenaje sanitario y de agua potable, subrasante y base hidráulica en la calle Idolina Gaona entre Decima Oriente y Cuarta Oriente  en la colonia Jardines de Nuevo México, municipio de Zapopan, Jalisco.</v>
          </cell>
          <cell r="AS28" t="str">
            <v>Col. Jardines de Nuevo México</v>
          </cell>
        </row>
        <row r="29">
          <cell r="D29" t="str">
            <v>DOPI-MUN-PP-PAV-LP-050-2016</v>
          </cell>
          <cell r="T29" t="str">
            <v>Julio Eduardo</v>
          </cell>
          <cell r="U29" t="str">
            <v>Lopez</v>
          </cell>
          <cell r="V29" t="str">
            <v>Perez</v>
          </cell>
          <cell r="W29" t="str">
            <v>Proyectos e Insumos Industriales Jelp, S.A. de C.V.</v>
          </cell>
          <cell r="X29" t="str">
            <v>PEI020208RW0</v>
          </cell>
          <cell r="AD29">
            <v>42593</v>
          </cell>
          <cell r="AG29">
            <v>4426493.25</v>
          </cell>
          <cell r="AL29" t="str">
            <v>Construcción de pavimento de concreto hidráulico MR-45, sustitución de líneas de agua potable y de alcantarillado, alumbrado público, construcción de guarniciones y banquetas, en la calle Jalisco de la calle Aldama a la calle San Francisco, en la localidad de Tesistán, municipio de Zapopan, Jalisco.</v>
          </cell>
          <cell r="AM29">
            <v>42614</v>
          </cell>
          <cell r="AN29">
            <v>42735</v>
          </cell>
          <cell r="AS29" t="str">
            <v>Tesitán</v>
          </cell>
        </row>
        <row r="30">
          <cell r="D30" t="str">
            <v>DOPI-MUN-PP-PAV-LP-051-2016</v>
          </cell>
          <cell r="T30" t="str">
            <v xml:space="preserve">Cesar Agustin </v>
          </cell>
          <cell r="U30" t="str">
            <v>Salgado</v>
          </cell>
          <cell r="V30" t="str">
            <v>Santiago</v>
          </cell>
          <cell r="W30" t="str">
            <v>Ecopav de México, S.A. de C.V.</v>
          </cell>
          <cell r="X30" t="str">
            <v>FRA070416K99</v>
          </cell>
          <cell r="AD30">
            <v>42600</v>
          </cell>
          <cell r="AG30">
            <v>8579575.5199999996</v>
          </cell>
          <cell r="AL30" t="str">
            <v>Construcción de pavimento de concreto hidráulico MR-45, sustitución de líneas de agua potable y de alcantarillado, alumbrado público, construcción de guarniciones y banquetas, en la calle Hidalgo de la calle Jalisco a la calle Lucio Blanco, en la localidad de Tesistán, municipio de Zapopan, Jalisco.</v>
          </cell>
          <cell r="AM30">
            <v>42614</v>
          </cell>
          <cell r="AN30">
            <v>42735</v>
          </cell>
          <cell r="AS30" t="str">
            <v>Tesitán</v>
          </cell>
        </row>
        <row r="31">
          <cell r="D31" t="str">
            <v>DOPI-MUN-PP-PAV-LP-052-2016</v>
          </cell>
          <cell r="T31" t="str">
            <v>Jose Antonio</v>
          </cell>
          <cell r="U31" t="str">
            <v>Alvarez</v>
          </cell>
          <cell r="V31" t="str">
            <v>Zuloaga</v>
          </cell>
          <cell r="W31" t="str">
            <v>Grupo Desarrollador Alzu, S.A. de C.V.</v>
          </cell>
          <cell r="X31" t="str">
            <v>GDA150928286</v>
          </cell>
          <cell r="AD31">
            <v>42601</v>
          </cell>
          <cell r="AG31">
            <v>4875141.67</v>
          </cell>
          <cell r="AL31" t="str">
            <v>Construcción de pavimento de concreto hidráulico MR-45, sustitución de líneas de agua potable y de alcantarillado, alumbrado público, construcción de guarniciones y banquetas, en la calle San Francisco de la calle Jalisco a la calle Independencia, en la localidad de Tesistán, municipio de Zapopan, Jalisco.</v>
          </cell>
          <cell r="AM31">
            <v>42614</v>
          </cell>
          <cell r="AN31">
            <v>42735</v>
          </cell>
          <cell r="AS31" t="str">
            <v>Tesitán</v>
          </cell>
        </row>
        <row r="32">
          <cell r="D32" t="str">
            <v>DOPI-MUN-PP-PAV-LP-053-2016</v>
          </cell>
          <cell r="T32" t="str">
            <v>Guadalupe Alejandrina</v>
          </cell>
          <cell r="U32" t="str">
            <v>Maldonado</v>
          </cell>
          <cell r="V32" t="str">
            <v>Lara</v>
          </cell>
          <cell r="W32" t="str">
            <v>L&amp;A Ejecución, Construcción y Proyectos Corporativo JM, S.A. de C.V.</v>
          </cell>
          <cell r="X32" t="str">
            <v>LAE1306263B5</v>
          </cell>
          <cell r="AD32">
            <v>42604</v>
          </cell>
          <cell r="AG32">
            <v>999852.22</v>
          </cell>
          <cell r="AL32" t="str">
            <v>Construcción de pavimento de concreto hidráulico MR-45, sustitución de líneas de agua potable y de alcantarillado, alumbrado público, construcción de guarniciones y banquetas, en la calle J. García Praga de la calle Jalisco a la calle Ramón Corona, en la localidad de Tesistán, municipio de Zapopan, Jalisco.</v>
          </cell>
          <cell r="AM32">
            <v>42614</v>
          </cell>
          <cell r="AN32">
            <v>42705</v>
          </cell>
          <cell r="AS32" t="str">
            <v>Tesitán</v>
          </cell>
        </row>
        <row r="33">
          <cell r="D33" t="str">
            <v>DOPI-MUN-PP-PAV-LP-054-2016</v>
          </cell>
          <cell r="T33" t="str">
            <v>Clarissa Gabriela</v>
          </cell>
          <cell r="U33" t="str">
            <v>Valdez</v>
          </cell>
          <cell r="V33" t="str">
            <v>Manjarrez</v>
          </cell>
          <cell r="W33" t="str">
            <v>Tekton Grupo Empresarial, S.A. de C.V.</v>
          </cell>
          <cell r="X33" t="str">
            <v>TGE101215JI6</v>
          </cell>
          <cell r="AD33">
            <v>42605</v>
          </cell>
          <cell r="AG33">
            <v>1223679.9099999999</v>
          </cell>
          <cell r="AL33" t="str">
            <v>Construcción de pavimento de concreto hidráulico MR-45, sustitución de líneas de agua potable y de alcantarillado, alumbrado público, construcción de guarniciones y banquetas, en la calle Ramón Corona de la calle Hidalgo a la calle Puebla - 5 de Mayo, en la localidad de Tesistán, municipio de Zapopan, Jalisco.</v>
          </cell>
          <cell r="AM33">
            <v>42614</v>
          </cell>
          <cell r="AN33">
            <v>42705</v>
          </cell>
          <cell r="AS33" t="str">
            <v>Tesitán</v>
          </cell>
        </row>
        <row r="34">
          <cell r="D34" t="str">
            <v>DOPI-MUN-PP-PAV-LP-055-2016</v>
          </cell>
          <cell r="T34" t="str">
            <v>Raul</v>
          </cell>
          <cell r="U34" t="str">
            <v xml:space="preserve">Ortega </v>
          </cell>
          <cell r="V34" t="str">
            <v>Jara</v>
          </cell>
          <cell r="W34" t="str">
            <v>Construcciones Anayari, S.A. de C.V.</v>
          </cell>
          <cell r="X34" t="str">
            <v>CAN030528ME0</v>
          </cell>
          <cell r="AD34">
            <v>42605</v>
          </cell>
          <cell r="AG34">
            <v>1229696.57</v>
          </cell>
          <cell r="AL34" t="str">
            <v>Construcción de pavimento de concreto hidráulico MR-45, sustitución de líneas de agua potable y de alcantarillado, alumbrado público, construcción de guarniciones y banquetas, en la calle 5 Mayo - Puebla de la calle Ramón Corona a la calle Jalisco, en la localidad de Tesistán, municipio de Zapopan, Jalisco.</v>
          </cell>
          <cell r="AM34">
            <v>42614</v>
          </cell>
          <cell r="AN34">
            <v>42705</v>
          </cell>
          <cell r="AS34" t="str">
            <v>Tesitán</v>
          </cell>
        </row>
        <row r="35">
          <cell r="D35" t="str">
            <v>DOPI-MUN-PP-PAV-LP-056-2016</v>
          </cell>
          <cell r="T35" t="str">
            <v>Carlos Ignacio</v>
          </cell>
          <cell r="U35" t="str">
            <v>Curiel</v>
          </cell>
          <cell r="V35" t="str">
            <v>Dueñas</v>
          </cell>
          <cell r="W35" t="str">
            <v>Constructora Cecuchi, S.A. de C.V.</v>
          </cell>
          <cell r="X35" t="str">
            <v>CCE130723IR7</v>
          </cell>
          <cell r="AD35">
            <v>42591</v>
          </cell>
          <cell r="AG35">
            <v>5518122.6399999997</v>
          </cell>
          <cell r="AL35" t="str">
            <v>Construcción de pavimento de concreto hidráulico MR-45, sustitución de líneas de agua potable y de alcantarillado, alumbrado público, construcción de guarniciones y banquetas, en la calle Mercurio de la Prolongación Guadalupe a la calle Pirita, en la colonia Arenales Tapatios, municipio de Zapopan, Jalisco.</v>
          </cell>
          <cell r="AM35">
            <v>42592</v>
          </cell>
          <cell r="AN35">
            <v>42713</v>
          </cell>
          <cell r="AS35" t="str">
            <v>Colonia Arenales Tapatios</v>
          </cell>
        </row>
        <row r="36">
          <cell r="D36" t="str">
            <v>DOPI-MUN-PP-PAV-LP-057-2016</v>
          </cell>
          <cell r="T36" t="str">
            <v>Sergio Cesar</v>
          </cell>
          <cell r="U36" t="str">
            <v>Diaz</v>
          </cell>
          <cell r="V36" t="str">
            <v>Quiroz</v>
          </cell>
          <cell r="W36" t="str">
            <v>Transcreto S.A. de C.V.</v>
          </cell>
          <cell r="X36" t="str">
            <v>TRA750528286</v>
          </cell>
          <cell r="AD36">
            <v>42591</v>
          </cell>
          <cell r="AG36">
            <v>5312056.17</v>
          </cell>
          <cell r="AL36" t="str">
            <v>Construcción de pavimento de concreto hidráulico MR-45, sustitución de líneas de agua potable y de alcantarillado, alumbrado público, construcción de guarniciones y banquetas, en la calle Mercurio de la calle Pirita a la calle Hierro, en la colonia Arenales Tapatios, municipio de Zapopan, Jalisco.</v>
          </cell>
          <cell r="AM36">
            <v>42592</v>
          </cell>
          <cell r="AN36">
            <v>42713</v>
          </cell>
          <cell r="AS36" t="str">
            <v>Colonia Arenales Tapatios</v>
          </cell>
        </row>
        <row r="37">
          <cell r="D37" t="str">
            <v>DOPI-MUN-PP-PAV-LP-058-2016</v>
          </cell>
          <cell r="T37" t="str">
            <v>Enrique Christian</v>
          </cell>
          <cell r="U37" t="str">
            <v>Anshiro Minakata</v>
          </cell>
          <cell r="V37" t="str">
            <v>Morentin</v>
          </cell>
          <cell r="W37" t="str">
            <v>Construcciones Mirot, S.A. de C.V.</v>
          </cell>
          <cell r="X37" t="str">
            <v>CMI110222AA0</v>
          </cell>
          <cell r="AD37">
            <v>42591</v>
          </cell>
          <cell r="AG37">
            <v>7853005.75</v>
          </cell>
          <cell r="AL37" t="str">
            <v>Reencarpetamiento de la vialidad, desbastado de la carpeta existente, nivelación de pozos de visita, cajas de válvulas, rejillas pluviales, bocas de tormenta y elementos estructurales que sobresalen de la rasante de la vialidad, calafateos, señaletica horizontal, construcción de banquetas, guarniciones, alumbrado público, en Calzada Federalistas - Del Valle de la Avenida Federalistas a camino viejo a Tesistán, municipio de Zapopan, Jalisco.</v>
          </cell>
          <cell r="AM37">
            <v>42592</v>
          </cell>
          <cell r="AN37">
            <v>42683</v>
          </cell>
          <cell r="AS37" t="str">
            <v>Tesitán</v>
          </cell>
        </row>
        <row r="38">
          <cell r="D38" t="str">
            <v>DOPI-MUN-PP-PAV-LP-059-2016</v>
          </cell>
          <cell r="T38" t="str">
            <v>Rodrigo</v>
          </cell>
          <cell r="U38" t="str">
            <v>Ramos</v>
          </cell>
          <cell r="V38" t="str">
            <v>Garibi</v>
          </cell>
          <cell r="W38" t="str">
            <v>Metro Asfaltos, S.A. de C.V.</v>
          </cell>
          <cell r="X38" t="str">
            <v>CMA070307RU6</v>
          </cell>
          <cell r="AD38">
            <v>42591</v>
          </cell>
          <cell r="AG38">
            <v>6564336.8600000003</v>
          </cell>
          <cell r="AL38" t="str">
            <v>Reencarpetamiento de la vialidad, desbastado de la carpeta existente, nivelación de pozos de visita, cajas de válvulas, rejillas pluviales, bocas de tormenta y elementos estructurales que sobresalen de la rasante de la vialidad, calafateos, señalética horizontal, construcción de banquetas, guarniciones, alumbrado público, en Valle de Atemajac de la Avenida Central (Federalistas) a Prolongación Acueducto, municipio de Zapopan, Jalisco.</v>
          </cell>
          <cell r="AM38">
            <v>42592</v>
          </cell>
          <cell r="AN38">
            <v>42713</v>
          </cell>
          <cell r="AS38" t="str">
            <v>Colonia Valle de Atemajac</v>
          </cell>
        </row>
        <row r="39">
          <cell r="D39" t="str">
            <v>DOPI-MUN-PP-PAV-LP-060-2016</v>
          </cell>
          <cell r="T39" t="str">
            <v>Ignacio Javier</v>
          </cell>
          <cell r="U39" t="str">
            <v>Curiel</v>
          </cell>
          <cell r="V39" t="str">
            <v>Dueñas</v>
          </cell>
          <cell r="W39" t="str">
            <v>Tc Construcción Y Mantenimiento, S.A. de C.V.</v>
          </cell>
          <cell r="X39" t="str">
            <v>TCM100915HA1</v>
          </cell>
          <cell r="AD39">
            <v>42591</v>
          </cell>
          <cell r="AG39">
            <v>7287576.9199999999</v>
          </cell>
          <cell r="AL39" t="str">
            <v>Reencarpetamiento de la vialidad, desbastado de la carpeta existente, nivelación de pozos de visita, cajas de válvulas, rejillas pluviales, bocas de tormenta y elementos estructurales que sobresalen de la rasante de la vialidad, calafateos, señalética horizontal, construcción de banquetas, guarniciones, alumbrado público, en Prolongación Acueducto de la Av. Del Valle a calle Jesús, municipio de Zapopan, Jalisco</v>
          </cell>
          <cell r="AM39">
            <v>42592</v>
          </cell>
          <cell r="AN39">
            <v>42683</v>
          </cell>
          <cell r="AS39" t="str">
            <v>Colonia Girasoles Acueducto</v>
          </cell>
        </row>
        <row r="40">
          <cell r="D40" t="str">
            <v>DOPI-MUN-PP-PAV-LP-061-2016</v>
          </cell>
          <cell r="T40" t="str">
            <v>Ignacio Javier</v>
          </cell>
          <cell r="U40" t="str">
            <v>Curiel</v>
          </cell>
          <cell r="V40" t="str">
            <v>Dueñas</v>
          </cell>
          <cell r="W40" t="str">
            <v>Tc Construcción Y Mantenimiento, S.A. de C.V.</v>
          </cell>
          <cell r="X40" t="str">
            <v>TCM100915HA1</v>
          </cell>
          <cell r="AD40">
            <v>42591</v>
          </cell>
          <cell r="AG40">
            <v>6426888.9699999997</v>
          </cell>
          <cell r="AL40" t="str">
            <v>Reencarpetamiento de la vialidad, desbastado de la carpeta existente, nivelación de pozos de visita, cajas de válvulas, rejillas pluviales, bocas de tormenta y elementos estructurales que sobresalen de la rasante de la vialidad, calafateos, señalética horizontal, construcción de banquetas, guarniciones, alumbrado público, en Prolongación Acueducto de la calle Jesús a calle Santa Margarita, municipio de Zapopan, Jalisco</v>
          </cell>
          <cell r="AM40">
            <v>42592</v>
          </cell>
          <cell r="AN40">
            <v>42683</v>
          </cell>
          <cell r="AS40" t="str">
            <v>Colonia Las Bóvedas</v>
          </cell>
        </row>
        <row r="41">
          <cell r="D41" t="str">
            <v>DOPI-MUN-MA-PAV-LP-062-2016</v>
          </cell>
          <cell r="T41" t="str">
            <v>José Manuel</v>
          </cell>
          <cell r="U41" t="str">
            <v>Gómez</v>
          </cell>
          <cell r="V41" t="str">
            <v>Castellanos</v>
          </cell>
          <cell r="W41" t="str">
            <v>GVA Desarrollos Integrales, S.A. de C.V.</v>
          </cell>
          <cell r="X41" t="str">
            <v>GDI020122D2A</v>
          </cell>
          <cell r="AD41">
            <v>42632</v>
          </cell>
          <cell r="AJ41">
            <v>79605111.310000002</v>
          </cell>
          <cell r="AL41" t="str">
            <v>Rehabilitación de la pavimentación de la Av. López Mateos Sur de Periférico Sur a Av. Copérnico (carriles centrales se sustituyen con concreto hidráulico).</v>
          </cell>
          <cell r="AM41">
            <v>42632</v>
          </cell>
          <cell r="AN41">
            <v>42768</v>
          </cell>
        </row>
        <row r="42">
          <cell r="D42" t="str">
            <v>DOPI-MUN-MA-PAV-LP-063-2016</v>
          </cell>
          <cell r="T42" t="str">
            <v>Diego</v>
          </cell>
          <cell r="U42" t="str">
            <v>Valenzuela</v>
          </cell>
          <cell r="V42" t="str">
            <v>Cadena</v>
          </cell>
          <cell r="W42" t="str">
            <v>Fuerza de Apoyo Constructiva de Occidente, S.A. de C.V.</v>
          </cell>
          <cell r="X42" t="str">
            <v>FAC010607TI0</v>
          </cell>
          <cell r="AD42">
            <v>42632</v>
          </cell>
          <cell r="AJ42">
            <v>79764410.700000003</v>
          </cell>
          <cell r="AL42" t="str">
            <v>Rehabilitación y mantenimiento de pavimentos de vialidades (reencarpetamiento, sellado, sustitución de lozas dañadas, calafateo y señalamiento horizontal) en diferentes colonias del municipio.</v>
          </cell>
          <cell r="AM42">
            <v>42632</v>
          </cell>
          <cell r="AN42">
            <v>42768</v>
          </cell>
        </row>
        <row r="43">
          <cell r="D43" t="str">
            <v>DOPI-MUN-AMP-PAV-LP-064-2016</v>
          </cell>
          <cell r="T43" t="str">
            <v>Rodrigo</v>
          </cell>
          <cell r="U43" t="str">
            <v>Ramos</v>
          </cell>
          <cell r="V43" t="str">
            <v>Garibi</v>
          </cell>
          <cell r="W43" t="str">
            <v>Metro Asfaltos, S.A. de C.V.</v>
          </cell>
          <cell r="X43" t="str">
            <v>CMA070307RU6</v>
          </cell>
          <cell r="AD43">
            <v>42591</v>
          </cell>
          <cell r="AG43">
            <v>12009584.140000001</v>
          </cell>
          <cell r="AL43" t="str">
            <v>Reencarpetamiento de la vialidad, desbastado de la carpeta existente, nivelación de pozos de visita, cajas de válvulas, rejillas pluviales, bocas de tormenta y elementos estructurales que sobresalen de la rasante de la vialidad, calafateos, señalética horizontal en la Av. Juan Gil Preciado (carriles centrales), de carretera a Colotlán a Tesistán, municipio de Zapopan, Jalisco.</v>
          </cell>
          <cell r="AM43">
            <v>42592</v>
          </cell>
          <cell r="AN43">
            <v>42666</v>
          </cell>
          <cell r="AS43" t="str">
            <v>Colonia Nuevo México</v>
          </cell>
        </row>
        <row r="44">
          <cell r="D44" t="str">
            <v>DOPI-MUN-AMP-PAV-LP-065-2016</v>
          </cell>
          <cell r="T44" t="str">
            <v>Jose Luis</v>
          </cell>
          <cell r="U44" t="str">
            <v>Brenez</v>
          </cell>
          <cell r="V44" t="str">
            <v>Moreno</v>
          </cell>
          <cell r="W44" t="str">
            <v>Breysa Constructora, S.A. de C.V.</v>
          </cell>
          <cell r="X44" t="str">
            <v>BCO900423GC5</v>
          </cell>
          <cell r="AD44">
            <v>42592</v>
          </cell>
          <cell r="AG44">
            <v>10115493.029999999</v>
          </cell>
          <cell r="AL44" t="str">
            <v>Reencarpetamiento de la vialidad, desbastado de la carpeta existente, nivelación de pozos de visita, cajas de válvulas, rejillas pluviales, bocas de tormenta y elementos estructurales que sobresalen de la rasante de la vialidad, calafateos, señaletica horizontal en la Av. Juan Gil Preciado (carriles laterales), de carretera a Colotlán a Tesistán, municipio de Zapopan, Jalisco.</v>
          </cell>
          <cell r="AM44">
            <v>42592</v>
          </cell>
          <cell r="AN44">
            <v>42683</v>
          </cell>
          <cell r="AS44" t="str">
            <v>Colonia Nuevo México</v>
          </cell>
        </row>
        <row r="45">
          <cell r="D45" t="str">
            <v>DOPI-MUN-AMP-PAV-LP-066-2016</v>
          </cell>
          <cell r="T45" t="str">
            <v>Sergio Cesar</v>
          </cell>
          <cell r="U45" t="str">
            <v>Diaz</v>
          </cell>
          <cell r="V45" t="str">
            <v>Quiroz</v>
          </cell>
          <cell r="W45" t="str">
            <v>Grupo Unicreto S.A. de C.V.</v>
          </cell>
          <cell r="X45" t="str">
            <v>GUN880613NY1</v>
          </cell>
          <cell r="AD45">
            <v>42592</v>
          </cell>
          <cell r="AG45">
            <v>9475895.3699999992</v>
          </cell>
          <cell r="AL45" t="str">
            <v>Construcción de la primera etapa de pavimento de concreto hidráulico MR-45, de línea de agua potable, drenaje sanitario, alumbrado público, guarniciones, banquetas, ciclovía, señalética y arbolado en la Avenida Ramón Corona carril sur primera etapa, en la colonia Base Áerea Militar , municipio de Zapopan, Jalisco.</v>
          </cell>
          <cell r="AM45">
            <v>42592</v>
          </cell>
          <cell r="AN45">
            <v>42713</v>
          </cell>
          <cell r="AS45" t="str">
            <v>Colonia Base Aerea Militar</v>
          </cell>
        </row>
        <row r="46">
          <cell r="D46" t="str">
            <v>DOPI-FED-R23-PAV-LP-084-2016</v>
          </cell>
          <cell r="I46" t="str">
            <v>Reencarpetamiento de la Av. Obreros de Cananea, municipio de Zapopan, Jalisco.</v>
          </cell>
          <cell r="T46" t="str">
            <v>Salvador</v>
          </cell>
          <cell r="U46" t="str">
            <v>Meza</v>
          </cell>
          <cell r="V46" t="str">
            <v>López</v>
          </cell>
          <cell r="W46" t="str">
            <v>Constructores en Corporación, S.A. de C.V.</v>
          </cell>
          <cell r="X46" t="str">
            <v>CCO780607JD6</v>
          </cell>
          <cell r="AD46">
            <v>42656</v>
          </cell>
          <cell r="AG46">
            <v>8740845.9000000004</v>
          </cell>
          <cell r="AM46">
            <v>42656</v>
          </cell>
          <cell r="AN46">
            <v>42722</v>
          </cell>
          <cell r="AS46" t="str">
            <v>Colonia El Paraiso</v>
          </cell>
        </row>
        <row r="47">
          <cell r="D47" t="str">
            <v>DOPI-FED-R23-PAV-LP-085-2016</v>
          </cell>
          <cell r="I47" t="str">
            <v>Reencarpetamiento de la Calle Industria, municipio de Zapopan, Jalisco.</v>
          </cell>
          <cell r="T47" t="str">
            <v>Ernesto</v>
          </cell>
          <cell r="U47" t="str">
            <v>Zamora</v>
          </cell>
          <cell r="V47" t="str">
            <v>Corona</v>
          </cell>
          <cell r="W47" t="str">
            <v>Keops Ingenieria y Construccion, S.A. de C.V.</v>
          </cell>
          <cell r="X47" t="str">
            <v>KIC040617JIA</v>
          </cell>
          <cell r="AD47">
            <v>42656</v>
          </cell>
          <cell r="AG47">
            <v>3747446.55</v>
          </cell>
          <cell r="AM47">
            <v>42656</v>
          </cell>
          <cell r="AN47">
            <v>42722</v>
          </cell>
          <cell r="AS47" t="str">
            <v>Colonia El Paraiso</v>
          </cell>
        </row>
        <row r="48">
          <cell r="D48" t="str">
            <v>DOPI-FED-R23-PAV-LP-086-2016</v>
          </cell>
          <cell r="I48" t="str">
            <v>Reencarpetamiento de la Calle Epigmenio Preciado, municipio de Zapopan, Jalisco.</v>
          </cell>
          <cell r="T48" t="str">
            <v>Ignacio Javier</v>
          </cell>
          <cell r="U48" t="str">
            <v>Curiel</v>
          </cell>
          <cell r="V48" t="str">
            <v>Dueñas</v>
          </cell>
          <cell r="W48" t="str">
            <v>TC Construcción y Mantenimiento, S.A. de C.V.</v>
          </cell>
          <cell r="X48" t="str">
            <v>TCM100915HA1</v>
          </cell>
          <cell r="AD48">
            <v>42656</v>
          </cell>
          <cell r="AG48">
            <v>3579474.78</v>
          </cell>
          <cell r="AM48">
            <v>42656</v>
          </cell>
          <cell r="AN48">
            <v>42722</v>
          </cell>
          <cell r="AS48" t="str">
            <v>Colonia El Paraiso</v>
          </cell>
        </row>
        <row r="49">
          <cell r="D49" t="str">
            <v>DOPI-FED-R23-PAV-LP-087-2016</v>
          </cell>
          <cell r="I49" t="str">
            <v>Reencarpetamiento de la Av. Constituyentes, municipio de Zapopan, Jalisco.</v>
          </cell>
          <cell r="T49" t="str">
            <v>Ignacio Javier</v>
          </cell>
          <cell r="U49" t="str">
            <v>Curiel</v>
          </cell>
          <cell r="V49" t="str">
            <v>Dueñas</v>
          </cell>
          <cell r="W49" t="str">
            <v>TC Construcción y Mantenimiento, S.A. de C.V.</v>
          </cell>
          <cell r="X49" t="str">
            <v>TCM100915HA1</v>
          </cell>
          <cell r="AD49">
            <v>42656</v>
          </cell>
          <cell r="AG49">
            <v>2527207.35</v>
          </cell>
          <cell r="AM49">
            <v>42656</v>
          </cell>
          <cell r="AN49">
            <v>42722</v>
          </cell>
          <cell r="AS49" t="str">
            <v>Colonia Constitución</v>
          </cell>
        </row>
        <row r="50">
          <cell r="D50" t="str">
            <v>DOPI-FED-PR-PAV-LP-088-2016</v>
          </cell>
          <cell r="I50" t="str">
            <v>Construcción de vialidad con concreto hidráulico calle Elote entre calle Indígena y calle Alberto Mora López, incluye: guarniciones, banquetas, red de agua potable, alcantarillado y alumbrado público, zona las Mesas, en el Municipio de Zapopan, Jalisco.</v>
          </cell>
          <cell r="T50" t="str">
            <v>Carlos Ignacio</v>
          </cell>
          <cell r="U50" t="str">
            <v>Curiel</v>
          </cell>
          <cell r="V50" t="str">
            <v>Dueñas</v>
          </cell>
          <cell r="W50" t="str">
            <v>Constructora Cecuchi, S.A. de C.V.</v>
          </cell>
          <cell r="X50" t="str">
            <v>CCE130723IR7</v>
          </cell>
          <cell r="AD50">
            <v>42656</v>
          </cell>
          <cell r="AG50">
            <v>1331847.2</v>
          </cell>
          <cell r="AM50">
            <v>42656</v>
          </cell>
          <cell r="AN50">
            <v>42722</v>
          </cell>
          <cell r="AS50" t="str">
            <v>Zona de Las Mesas</v>
          </cell>
        </row>
        <row r="51">
          <cell r="D51" t="str">
            <v>DOPI-FED-PR-PAV-LP-089-2016</v>
          </cell>
          <cell r="I51" t="str">
            <v>Construcción de vialidad con concreto hidráulico calle Michí desde la calle Cuatlicue a la calle Comitl, incluye: guarniciones, banquetas, red de agua potable, alcantarillado y alumbrado público, zona las Mesas, Municipio de Zapopan, Jalisco.</v>
          </cell>
          <cell r="T51" t="str">
            <v>Carlos Ignacio</v>
          </cell>
          <cell r="U51" t="str">
            <v>Curiel</v>
          </cell>
          <cell r="V51" t="str">
            <v>Dueñas</v>
          </cell>
          <cell r="W51" t="str">
            <v>Constructora Cecuchi, S.A. de C.V.</v>
          </cell>
          <cell r="X51" t="str">
            <v>CCE130723IR7</v>
          </cell>
          <cell r="AD51">
            <v>42656</v>
          </cell>
          <cell r="AG51">
            <v>1301540.1000000001</v>
          </cell>
          <cell r="AM51">
            <v>42657</v>
          </cell>
          <cell r="AN51">
            <v>42723</v>
          </cell>
          <cell r="AS51" t="str">
            <v>Zona de Las Mesas</v>
          </cell>
        </row>
        <row r="52">
          <cell r="D52" t="str">
            <v>DOPI-FED-PR-PAV-LP-090-2016</v>
          </cell>
          <cell r="I52" t="str">
            <v>Construcción de vialidad con concreto hidráulico calle Cuatlicue desde la calle Ozomatlí a la calle Michí, incluye: guarniciones, banquetas, red de agua potable, alcantarillado y alumbrado público, zona las Mesas, Municipio de Zapopan, Jalisco.</v>
          </cell>
          <cell r="T52" t="str">
            <v>José Omar</v>
          </cell>
          <cell r="U52" t="str">
            <v>Fernández</v>
          </cell>
          <cell r="V52" t="str">
            <v>Vázquez</v>
          </cell>
          <cell r="W52" t="str">
            <v>Extra Construcciones, S.A. de C.V.</v>
          </cell>
          <cell r="X52" t="str">
            <v>ECO0908115Z7</v>
          </cell>
          <cell r="AD52">
            <v>42656</v>
          </cell>
          <cell r="AG52">
            <v>1504875.62</v>
          </cell>
          <cell r="AM52">
            <v>42656</v>
          </cell>
          <cell r="AN52">
            <v>42722</v>
          </cell>
          <cell r="AS52" t="str">
            <v>Zona de Las Mesas</v>
          </cell>
        </row>
        <row r="53">
          <cell r="D53" t="str">
            <v>DOPI-FED-PR-PAV-LP-091-2016</v>
          </cell>
          <cell r="I53" t="str">
            <v>Construcción de vialidad con concreto hidráulico calle Comitl desde la calle Dellí a la calle Michí, incluye: guarniciones, banquetas, red de agua potable, alcantarillado y alumbrado público, zona las Mesas, Municipio de Zapopan, Jalisco.</v>
          </cell>
          <cell r="T53" t="str">
            <v>Sergio Alberto</v>
          </cell>
          <cell r="U53" t="str">
            <v>Baylon</v>
          </cell>
          <cell r="V53" t="str">
            <v>Moreno</v>
          </cell>
          <cell r="W53" t="str">
            <v>Edificaciones Estructurales Cobay, S. A. de C. V.</v>
          </cell>
          <cell r="X53" t="str">
            <v>EEC9909173A7</v>
          </cell>
          <cell r="AD53">
            <v>42656</v>
          </cell>
          <cell r="AG53">
            <v>6611635.3700000001</v>
          </cell>
          <cell r="AM53">
            <v>42657</v>
          </cell>
          <cell r="AN53">
            <v>42723</v>
          </cell>
          <cell r="AS53" t="str">
            <v>Zona de Las Mesas</v>
          </cell>
        </row>
        <row r="54">
          <cell r="D54" t="str">
            <v>DOPI-FED-PR-PAV-LP-092-2016</v>
          </cell>
          <cell r="I54" t="str">
            <v>Construcción de vialidad con concreto hidráulico calle Eligio Delgado entre calle Tepatl a calle Indígena, incluye: guarniciones, banquetas, red de agua potable, alcantarillado y alumbrado público, zona las Mesas, Municipio de Zapopan, Jalisco.</v>
          </cell>
          <cell r="T54" t="str">
            <v>Bernardo</v>
          </cell>
          <cell r="U54" t="str">
            <v>Saenz</v>
          </cell>
          <cell r="V54" t="str">
            <v>Barba</v>
          </cell>
          <cell r="W54" t="str">
            <v>Grupo Edificador Mayab, S.A. de C.V.</v>
          </cell>
          <cell r="X54" t="str">
            <v>GEM070112PX8</v>
          </cell>
          <cell r="AD54">
            <v>42656</v>
          </cell>
          <cell r="AG54">
            <v>3070604.74</v>
          </cell>
          <cell r="AM54">
            <v>42657</v>
          </cell>
          <cell r="AN54">
            <v>42723</v>
          </cell>
          <cell r="AS54" t="str">
            <v>Zona de Las Mesas</v>
          </cell>
        </row>
        <row r="55">
          <cell r="D55" t="str">
            <v>DOPI-FED-PR-PAV-LP-093-2016</v>
          </cell>
          <cell r="I55" t="str">
            <v>Construcción de vialidad con concreto hidráulico calle Ozomatlí desde la calle Cholollan a la calle Lenteja, incluye: guarniciones, banquetas, red de agua potable, alcantarillado y alumbrado público, zona las Mesas, Municipio de Zapopan, Jalisco.</v>
          </cell>
          <cell r="T55" t="str">
            <v>Ignacio Javier</v>
          </cell>
          <cell r="U55" t="str">
            <v>Curiel</v>
          </cell>
          <cell r="V55" t="str">
            <v>Dueñas</v>
          </cell>
          <cell r="W55" t="str">
            <v>TC Construcción y Mantenimiento, S.A. de C.V.</v>
          </cell>
          <cell r="X55" t="str">
            <v>TCM100915HA1</v>
          </cell>
          <cell r="AD55">
            <v>42656</v>
          </cell>
          <cell r="AG55">
            <v>5663734.8300000001</v>
          </cell>
          <cell r="AM55">
            <v>42657</v>
          </cell>
          <cell r="AN55">
            <v>42723</v>
          </cell>
          <cell r="AS55" t="str">
            <v>Zona de Las Mesas</v>
          </cell>
        </row>
        <row r="56">
          <cell r="D56" t="str">
            <v>DOPI-FED-PR-PAV-LP-094-2016</v>
          </cell>
          <cell r="I56" t="str">
            <v>Construcción de vialidades con concreto hidráulico de las calles Cholollan y Paseo de los Membrillos entre las calles Chichenitza y Paseo de los Cerezos, incluye: puente vehicular de aproximadamente 30 metros de longitud para cruzar arroyo, guarniciones, banquetas, red de agua potable, alcantarillado y alumbrado publico.</v>
          </cell>
          <cell r="T56" t="str">
            <v>J. Gerardo</v>
          </cell>
          <cell r="U56" t="str">
            <v>Nicanor</v>
          </cell>
          <cell r="V56" t="str">
            <v>Mejia Mariscal</v>
          </cell>
          <cell r="W56" t="str">
            <v>Ineco Construye, S.A. de C.V.</v>
          </cell>
          <cell r="X56" t="str">
            <v>ICO980722M04</v>
          </cell>
          <cell r="AD56">
            <v>42656</v>
          </cell>
          <cell r="AG56">
            <v>9145513.7300000004</v>
          </cell>
          <cell r="AM56">
            <v>42657</v>
          </cell>
          <cell r="AN56">
            <v>42723</v>
          </cell>
          <cell r="AS56" t="str">
            <v>Mesa Colorada</v>
          </cell>
        </row>
        <row r="57">
          <cell r="D57" t="str">
            <v>DOPI-FED-PR-PAV-LP-095-2016</v>
          </cell>
          <cell r="I57" t="str">
            <v>Reencarpetamiento de la Av. Santa Margarita, en la colonia Santa Margarita, incluye: guarniciones, banquetas, renivelación de pozos y cajas, señalamiento vertical y horizontal, Municipio de Zapopan, Jalisco, frente 1.</v>
          </cell>
          <cell r="T57" t="str">
            <v>Víctor Manuel</v>
          </cell>
          <cell r="U57" t="str">
            <v>Jauregui</v>
          </cell>
          <cell r="V57" t="str">
            <v>Torres</v>
          </cell>
          <cell r="W57" t="str">
            <v>Constructora Erlort y Asociados, S.A. de C.V.</v>
          </cell>
          <cell r="X57" t="str">
            <v>CEA070208SB1</v>
          </cell>
          <cell r="AD57">
            <v>42656</v>
          </cell>
          <cell r="AG57">
            <v>6756554.5</v>
          </cell>
          <cell r="AM57">
            <v>42657</v>
          </cell>
          <cell r="AN57">
            <v>42732</v>
          </cell>
          <cell r="AS57" t="str">
            <v>Colonia Santa Margarita</v>
          </cell>
        </row>
        <row r="58">
          <cell r="D58" t="str">
            <v>DOPI-FED-PR-PAV-LP-096-2016</v>
          </cell>
          <cell r="I58" t="str">
            <v>Reencarpetamiento de la Av. Santa Margarita, en la colonia Santa Margarita, incluye: guarniciones, banquetas, renivelación de pozos y cajas, señalamiento vertical y horizontal, Municipio de Zapopan, Jalisco, frente 2.</v>
          </cell>
          <cell r="T58" t="str">
            <v>Víctor Manuel</v>
          </cell>
          <cell r="U58" t="str">
            <v>Jauregui</v>
          </cell>
          <cell r="V58" t="str">
            <v>Torres</v>
          </cell>
          <cell r="W58" t="str">
            <v>Constructora Erlort y Asociados, S.A. de C.V.</v>
          </cell>
          <cell r="X58" t="str">
            <v>CEA070208SB1</v>
          </cell>
          <cell r="AD58">
            <v>42656</v>
          </cell>
          <cell r="AG58">
            <v>8604721.4600000009</v>
          </cell>
          <cell r="AM58">
            <v>42657</v>
          </cell>
          <cell r="AN58">
            <v>42732</v>
          </cell>
          <cell r="AS58" t="str">
            <v>Colonia Santa Margarita</v>
          </cell>
        </row>
        <row r="59">
          <cell r="D59" t="str">
            <v>DOPI-FED-PR-PAV-LP-097-2016</v>
          </cell>
          <cell r="I59" t="str">
            <v>Reencarpetamiento de la Av. Santa Margarita, en la colonia Santa Margarita, incluye: guarniciones, banquetas, renivelación de pozos y cajas, señalamiento vertical y horizontal, Municipio de Zapopan, Jalisco, frente 3.</v>
          </cell>
          <cell r="T59" t="str">
            <v>Víctor Manuel</v>
          </cell>
          <cell r="U59" t="str">
            <v>Jauregui</v>
          </cell>
          <cell r="V59" t="str">
            <v>Torres</v>
          </cell>
          <cell r="W59" t="str">
            <v>Constructora Erlort y Asociados, S.A. de C.V.</v>
          </cell>
          <cell r="X59" t="str">
            <v>CEA070208SB1</v>
          </cell>
          <cell r="AD59">
            <v>42656</v>
          </cell>
          <cell r="AG59">
            <v>7620310.1200000001</v>
          </cell>
          <cell r="AM59">
            <v>42657</v>
          </cell>
          <cell r="AN59">
            <v>42732</v>
          </cell>
          <cell r="AS59" t="str">
            <v>Colonia Santa Margarita</v>
          </cell>
        </row>
        <row r="60">
          <cell r="D60" t="str">
            <v>DOPI-FED-PR-PAV-LP-098-2016</v>
          </cell>
          <cell r="I60" t="str">
            <v>Construcción de la vialidad con concreto hidráulico de la Av. Ramón Corona, incluye: guarniciones, banquetas, red de agua potable, alcantarillado, alumbrado público y forestación, Municipio de Zapopan, Jalisco, frente 1.</v>
          </cell>
          <cell r="T60" t="str">
            <v>J. Gerardo</v>
          </cell>
          <cell r="U60" t="str">
            <v>Nicanor</v>
          </cell>
          <cell r="V60" t="str">
            <v>Mejia Mariscal</v>
          </cell>
          <cell r="W60" t="str">
            <v>Ineco Construye, S.A. de C.V.</v>
          </cell>
          <cell r="X60" t="str">
            <v>ICO980722M04</v>
          </cell>
          <cell r="AD60">
            <v>42685</v>
          </cell>
          <cell r="AG60">
            <v>11081287.630000001</v>
          </cell>
          <cell r="AM60">
            <v>42688</v>
          </cell>
          <cell r="AN60">
            <v>42763</v>
          </cell>
          <cell r="AS60" t="str">
            <v>Colonia La Mojonera</v>
          </cell>
        </row>
        <row r="61">
          <cell r="D61" t="str">
            <v>DOPI-FED-PR-PAV-LP-099-2016</v>
          </cell>
          <cell r="I61" t="str">
            <v>Construcción de la vialidad con concreto hidráulico de la Av. Ramón Corona, incluye: guarniciones, banquetas, red de agua potable, alcantarillado, alumbrado público y forestación, Municipio de Zapopan, Jalisco, frente 2.</v>
          </cell>
          <cell r="T61" t="str">
            <v>Sergio Cesar</v>
          </cell>
          <cell r="U61" t="str">
            <v>Diaz</v>
          </cell>
          <cell r="V61" t="str">
            <v>Quiroz</v>
          </cell>
          <cell r="W61" t="str">
            <v>Grupo Unicreto S.A. de C.V.</v>
          </cell>
          <cell r="X61" t="str">
            <v>GUN880613NY1</v>
          </cell>
          <cell r="AD61">
            <v>42685</v>
          </cell>
          <cell r="AG61">
            <v>9389185.8900000006</v>
          </cell>
          <cell r="AM61">
            <v>42688</v>
          </cell>
          <cell r="AN61">
            <v>42763</v>
          </cell>
          <cell r="AS61" t="str">
            <v>Colonia La Mojonera</v>
          </cell>
        </row>
        <row r="62">
          <cell r="D62" t="str">
            <v>DOPI-FED-PR-PAV-LP-100-2016</v>
          </cell>
          <cell r="I62" t="str">
            <v>Construcción de la vialidad con concreto hidráulico de la Av. Ramón Corona, incluye: guarniciones, banquetas, red de agua potable, alcantarillado, alumbrado público y forestación, Municipio de Zapopan, Jalisco, frente 3.</v>
          </cell>
          <cell r="T62" t="str">
            <v>Sergio Cesar</v>
          </cell>
          <cell r="U62" t="str">
            <v>Diaz</v>
          </cell>
          <cell r="V62" t="str">
            <v>Quiroz</v>
          </cell>
          <cell r="W62" t="str">
            <v>Grupo Unicreto S.A. de C.V.</v>
          </cell>
          <cell r="X62" t="str">
            <v>GUN880613NY1</v>
          </cell>
          <cell r="AD62">
            <v>42685</v>
          </cell>
          <cell r="AG62">
            <v>6602792.5999999996</v>
          </cell>
          <cell r="AM62">
            <v>42688</v>
          </cell>
          <cell r="AN62">
            <v>42763</v>
          </cell>
          <cell r="AS62" t="str">
            <v>Colonia La Mojonera</v>
          </cell>
        </row>
        <row r="63">
          <cell r="D63" t="str">
            <v>DOPI-FED-PR-PAV-LP-101-2016</v>
          </cell>
          <cell r="I63" t="str">
            <v>Construcción de Centro de Desarrollo Infantil La Loma, Municipio de Zapopan, Jalisco.</v>
          </cell>
          <cell r="T63" t="str">
            <v>Jesús</v>
          </cell>
          <cell r="U63" t="str">
            <v>Arenas</v>
          </cell>
          <cell r="V63" t="str">
            <v>Bravo</v>
          </cell>
          <cell r="W63" t="str">
            <v>Sicosa, S.A. de C.V.</v>
          </cell>
          <cell r="X63" t="str">
            <v>SIC940317FH7</v>
          </cell>
          <cell r="AD63">
            <v>42685</v>
          </cell>
          <cell r="AG63">
            <v>17394240.84</v>
          </cell>
          <cell r="AM63">
            <v>42688</v>
          </cell>
          <cell r="AN63">
            <v>42763</v>
          </cell>
          <cell r="AS63" t="str">
            <v>Colonia La Loma</v>
          </cell>
        </row>
        <row r="64">
          <cell r="D64" t="str">
            <v>DOPI-EST-CR-PAV-LP-102-2016</v>
          </cell>
          <cell r="I64" t="str">
            <v>Construcción de la primera etapa de la calle Paseo de los Ciruelos de Paseo de los Membrillos a Paseo de los Encinos con concreto hidráulico en la zona Mesa Colorada, incluye: guarniciones, banquetas, red de agua potable, alcantarillado y alumbrado público, Municipio de Zapopan, Jalisco.</v>
          </cell>
          <cell r="T64" t="str">
            <v>José Omar</v>
          </cell>
          <cell r="U64" t="str">
            <v>Fernández</v>
          </cell>
          <cell r="V64" t="str">
            <v>Vázquez</v>
          </cell>
          <cell r="W64" t="str">
            <v>Extra Construcciones, S.A. de C.V.</v>
          </cell>
          <cell r="X64" t="str">
            <v>ECO0908115Z7</v>
          </cell>
          <cell r="AD64">
            <v>42656</v>
          </cell>
          <cell r="AG64">
            <v>800844.56</v>
          </cell>
          <cell r="AM64">
            <v>42657</v>
          </cell>
          <cell r="AN64">
            <v>42776</v>
          </cell>
          <cell r="AS64" t="str">
            <v>Mesa Colorada</v>
          </cell>
        </row>
        <row r="65">
          <cell r="D65" t="str">
            <v>DOPI-EST-CR-PAV-LP-103-2016</v>
          </cell>
          <cell r="I65" t="str">
            <v>Construcción de la primera etapa de la calle Paseo de los Membrillos de Paseo del Roble a Paseo de los Aguacates de concreto hidráulico en la zona de la Mesa Colorada, incluye: guarniciones, banquetas, red de agua potable, alcantarillado y alumbrado público, Municipio de Zapopan, Jalisco.</v>
          </cell>
          <cell r="T65" t="str">
            <v>Alejandro</v>
          </cell>
          <cell r="U65" t="str">
            <v>Guevara</v>
          </cell>
          <cell r="V65" t="str">
            <v>Castellanos</v>
          </cell>
          <cell r="W65" t="str">
            <v>Urbanizacion y Construccion Avanzada, S.A. de C.V.</v>
          </cell>
          <cell r="X65" t="str">
            <v>UCA0207107X6</v>
          </cell>
          <cell r="AD65">
            <v>42656</v>
          </cell>
          <cell r="AG65">
            <v>2310172.9900000002</v>
          </cell>
          <cell r="AM65">
            <v>42657</v>
          </cell>
          <cell r="AN65">
            <v>42776</v>
          </cell>
          <cell r="AS65" t="str">
            <v>Mesa Colorada</v>
          </cell>
        </row>
        <row r="66">
          <cell r="D66" t="str">
            <v>DOPI-EST-CR-PAV-LP-104-2016</v>
          </cell>
          <cell r="I66" t="str">
            <v>Construcción de la primera etapa de la calle Paseo del Roble de Paseo de los Membrillos a Paseo de los Perones con concreto hidráulico en la zona de la Mesa Colorada, incluye: guarniciones, banquetas, red de agua potable, alcantarillado y alumbrado público, Municipio de Zapopan, Jalisco.</v>
          </cell>
          <cell r="T66" t="str">
            <v>Alejandro</v>
          </cell>
          <cell r="U66" t="str">
            <v>Guevara</v>
          </cell>
          <cell r="V66" t="str">
            <v>Castellanos</v>
          </cell>
          <cell r="W66" t="str">
            <v>Urbanizacion y Construccion Avanzada, S.A. de C.V.</v>
          </cell>
          <cell r="X66" t="str">
            <v>UCA0207107X6</v>
          </cell>
          <cell r="AD66">
            <v>42656</v>
          </cell>
          <cell r="AG66">
            <v>931716.14</v>
          </cell>
          <cell r="AM66">
            <v>42657</v>
          </cell>
          <cell r="AN66">
            <v>42776</v>
          </cell>
          <cell r="AS66" t="str">
            <v>Mesa Colorada</v>
          </cell>
        </row>
        <row r="67">
          <cell r="D67" t="str">
            <v>DOPI-EST-CR-PAV-LP-105-2016</v>
          </cell>
          <cell r="I67" t="str">
            <v>Construcción de la primera etapa de la calle Chícharo de calle Lenteja a Carretera Saltillo con concreto hidráulico en la zona de la Mesa Colorada, incluye: guarniciones, banquetas, red de agua potable, alcantarillado y alumbrado público, Municipio de Zapopan, Jalisco.</v>
          </cell>
          <cell r="T67" t="str">
            <v>Felipe Daniel II</v>
          </cell>
          <cell r="U67" t="str">
            <v>Nuñez</v>
          </cell>
          <cell r="V67" t="str">
            <v>Pinzón</v>
          </cell>
          <cell r="W67" t="str">
            <v>Grupo Nuveco, S.A. de C.V.</v>
          </cell>
          <cell r="X67" t="str">
            <v>GNU120809KX1</v>
          </cell>
          <cell r="AD67">
            <v>42656</v>
          </cell>
          <cell r="AG67">
            <v>7806734.9199999999</v>
          </cell>
          <cell r="AM67">
            <v>42657</v>
          </cell>
          <cell r="AN67">
            <v>42776</v>
          </cell>
          <cell r="AS67" t="str">
            <v>Mesa Colorada</v>
          </cell>
        </row>
        <row r="68">
          <cell r="D68" t="str">
            <v>DOPI-EST-CR-PAV-LP-106-2016</v>
          </cell>
          <cell r="I68" t="str">
            <v>Reencarpetamiento de la Av. Santa Margarita de Periférico a Av. Tesistán, en la colonia Santa Margarita incluye: guarniciones, banquetas, renivelación de pozos y cajas, señalamiento vertical y horizontal, Municipio de Zapopan, Jalisco.</v>
          </cell>
          <cell r="T68" t="str">
            <v>Ángel Salomón</v>
          </cell>
          <cell r="U68" t="str">
            <v>Rincón</v>
          </cell>
          <cell r="V68" t="str">
            <v>De la Rosa</v>
          </cell>
          <cell r="W68" t="str">
            <v>Aro Asfaltos y Riegos de Occidente, S.A. de C.V.</v>
          </cell>
          <cell r="X68" t="str">
            <v>AAR120507VA9</v>
          </cell>
          <cell r="AD68">
            <v>42656</v>
          </cell>
          <cell r="AG68">
            <v>9033319.6300000008</v>
          </cell>
          <cell r="AM68">
            <v>42657</v>
          </cell>
          <cell r="AN68">
            <v>42746</v>
          </cell>
          <cell r="AS68" t="str">
            <v>Colonia Santa Margarita</v>
          </cell>
        </row>
        <row r="69">
          <cell r="D69" t="str">
            <v>DOPI-EST-CR-PAV-LP-107-2016</v>
          </cell>
          <cell r="I69" t="str">
            <v>Reencarpetamiento de la calle Santa Esther de Av. Acueducto a Periférico, primera etapa, en la colonia Santa Margarita, incluye: guarniciones, banquetas, renivelación de pozos y cajas, señalamiento vertical y horizontal, Municipio de Zapopan, Jalisco.</v>
          </cell>
          <cell r="T69" t="str">
            <v>Ángel Salomón</v>
          </cell>
          <cell r="U69" t="str">
            <v>Rincón</v>
          </cell>
          <cell r="V69" t="str">
            <v>De la Rosa</v>
          </cell>
          <cell r="W69" t="str">
            <v>Aro Asfaltos y Riegos de Occidente, S.A. de C.V.</v>
          </cell>
          <cell r="X69" t="str">
            <v>AAR120507VA9</v>
          </cell>
          <cell r="AD69">
            <v>42656</v>
          </cell>
          <cell r="AG69">
            <v>1679620.18</v>
          </cell>
          <cell r="AM69">
            <v>42657</v>
          </cell>
          <cell r="AN69">
            <v>42746</v>
          </cell>
          <cell r="AS69" t="str">
            <v>Colonia Santa Margarita</v>
          </cell>
        </row>
        <row r="70">
          <cell r="D70" t="str">
            <v>DOPI-EST-CR-PAV-LP-108-2016</v>
          </cell>
          <cell r="I70" t="str">
            <v>Reencarpetamiento de la calle Santa Esther de Periférico a Av. Santa Ana, primera etapa, en la colonia Santa Margarita, incluye: guarniciones, banquetas, renivelación de pozos y cajas, señalamiento vertical y horizontal, Municipio de Zapopan, Jalisco.</v>
          </cell>
          <cell r="T70" t="str">
            <v>Mario</v>
          </cell>
          <cell r="U70" t="str">
            <v>Beltrán</v>
          </cell>
          <cell r="V70" t="str">
            <v>Rodríguez</v>
          </cell>
          <cell r="W70" t="str">
            <v xml:space="preserve">Constructora y Desarrolladora Barba y Asociados, S. A. de C. V. </v>
          </cell>
          <cell r="X70" t="str">
            <v>CDB0506068Z4</v>
          </cell>
          <cell r="AD70">
            <v>42656</v>
          </cell>
          <cell r="AG70">
            <v>1797538.26</v>
          </cell>
          <cell r="AM70">
            <v>42657</v>
          </cell>
          <cell r="AN70">
            <v>42746</v>
          </cell>
          <cell r="AS70" t="str">
            <v>Colonia Santa Margarita</v>
          </cell>
        </row>
        <row r="71">
          <cell r="D71" t="str">
            <v>DOPI-EST-CR-PAV-LP-109-2016</v>
          </cell>
          <cell r="I71" t="str">
            <v>Reencarpetamiento de la calle Pípila-Carpinteros de calle Las Flores a Emiliano Zapata, primera etapa, en la colonia La Martinica, incluye: guarniciones, banquetas, renivelación de pozos y cajas, señalamiento vertical y horizontal (modernización con concreto hidráulico), Municipio de Zapopan, Jalisco.</v>
          </cell>
          <cell r="T71" t="str">
            <v>Sergio Cesar</v>
          </cell>
          <cell r="U71" t="str">
            <v>Diaz</v>
          </cell>
          <cell r="V71" t="str">
            <v>Quiroz</v>
          </cell>
          <cell r="W71" t="str">
            <v>Grupo Unicreto de México S.A. de C.V.</v>
          </cell>
          <cell r="X71" t="str">
            <v>GUM111201IA5</v>
          </cell>
          <cell r="AD71">
            <v>42656</v>
          </cell>
          <cell r="AG71">
            <v>9062555.0800000001</v>
          </cell>
          <cell r="AM71">
            <v>42657</v>
          </cell>
          <cell r="AN71">
            <v>42746</v>
          </cell>
          <cell r="AS71" t="str">
            <v>Colonia La Martinica</v>
          </cell>
        </row>
        <row r="72">
          <cell r="D72" t="str">
            <v>DOPI-EST-CR-PAV-LP-110-2016</v>
          </cell>
          <cell r="I72" t="str">
            <v>Reencarpetamiento de la calle Plan de Guadalupe de González Gallo a calle Tratado de Tlatelolco en la colonia Parque del Auditorio, incluye: guarniciones, banquetas, renivelación de pozos y cajas, señalamiento  horizontal. (Modernización con concreto hidráulico.), Municipio de Zapopan, Jalisco.</v>
          </cell>
          <cell r="T72" t="str">
            <v>Sergio Cesar</v>
          </cell>
          <cell r="U72" t="str">
            <v>Díaz</v>
          </cell>
          <cell r="V72" t="str">
            <v>Quiroz</v>
          </cell>
          <cell r="W72" t="str">
            <v>Transcreto S.A. de C.V.</v>
          </cell>
          <cell r="X72" t="str">
            <v>TRA750528286</v>
          </cell>
          <cell r="AD72">
            <v>42656</v>
          </cell>
          <cell r="AG72">
            <v>7061595.75</v>
          </cell>
          <cell r="AM72">
            <v>42657</v>
          </cell>
          <cell r="AN72">
            <v>42746</v>
          </cell>
          <cell r="AS72" t="str">
            <v>Colonia Parque del Auditorio</v>
          </cell>
        </row>
        <row r="73">
          <cell r="D73" t="str">
            <v>DOPI-EST-CR-PAV-LP-111-2016</v>
          </cell>
          <cell r="I73" t="str">
            <v>Sustitución de losas en la colonia Parque del Auditorio, Municipio de Zapopan, Jalisco.</v>
          </cell>
          <cell r="T73" t="str">
            <v>Mario</v>
          </cell>
          <cell r="U73" t="str">
            <v>Beltrán</v>
          </cell>
          <cell r="V73" t="str">
            <v>Rodríguez</v>
          </cell>
          <cell r="W73" t="str">
            <v xml:space="preserve">Constructora y Desarrolladora Barba y Asociados, S. A. de C. V. </v>
          </cell>
          <cell r="X73" t="str">
            <v>CDB0506068Z4</v>
          </cell>
          <cell r="AD73">
            <v>42656</v>
          </cell>
          <cell r="AG73">
            <v>1331822.1599999999</v>
          </cell>
          <cell r="AM73">
            <v>42657</v>
          </cell>
          <cell r="AN73">
            <v>42746</v>
          </cell>
          <cell r="AS73" t="str">
            <v>Colonia Parque del Auditorio</v>
          </cell>
        </row>
        <row r="74">
          <cell r="D74" t="str">
            <v>DOPI-EST-CR-PAV-LP-112-2016</v>
          </cell>
          <cell r="I74" t="str">
            <v>Construcción de la primera etapa de la calle 20 de Enero de calle Juan Santibañez a Juan Diego con concreto hidráulico en San Juan de Ocotán, incluye: guarniciones, banquetas y alumbrado público, Municipio de Zapopan, Jalisco.</v>
          </cell>
          <cell r="T74" t="str">
            <v>Omar</v>
          </cell>
          <cell r="U74" t="str">
            <v>Mora</v>
          </cell>
          <cell r="V74" t="str">
            <v>Montes de Oca</v>
          </cell>
          <cell r="W74" t="str">
            <v>Dommont Construcciones, S.A. de C.V.</v>
          </cell>
          <cell r="X74" t="str">
            <v>DCO130215C16</v>
          </cell>
          <cell r="AD74">
            <v>42656</v>
          </cell>
          <cell r="AG74">
            <v>3129979.51</v>
          </cell>
          <cell r="AM74">
            <v>42657</v>
          </cell>
          <cell r="AN74">
            <v>42776</v>
          </cell>
          <cell r="AS74" t="str">
            <v>San Juan de Ocotán</v>
          </cell>
        </row>
        <row r="75">
          <cell r="D75" t="str">
            <v>DOPI-EST-CR-PAV-LP-113-2016</v>
          </cell>
          <cell r="I75" t="str">
            <v>Construcción de la primera etapa de la calle Juan Diego de calle Hidalgo a calle Parral con concreto hidráulico en San Juan de Ocotán, incluye: guarniciones, banquetas y alumbrado público, Municipio de Zapopan, Jalisco.</v>
          </cell>
          <cell r="T75" t="str">
            <v>Julio Eduardo</v>
          </cell>
          <cell r="U75" t="str">
            <v>López</v>
          </cell>
          <cell r="V75" t="str">
            <v>Pérez</v>
          </cell>
          <cell r="W75" t="str">
            <v>Proyectos e Insumos Industriales Jelp, S.A. de C.V.</v>
          </cell>
          <cell r="X75" t="str">
            <v>PEI020208RW0</v>
          </cell>
          <cell r="AD75">
            <v>42656</v>
          </cell>
          <cell r="AG75">
            <v>1410912.86</v>
          </cell>
          <cell r="AM75">
            <v>42657</v>
          </cell>
          <cell r="AN75">
            <v>42776</v>
          </cell>
          <cell r="AS75" t="str">
            <v>San Juan de Ocotán</v>
          </cell>
        </row>
        <row r="76">
          <cell r="D76" t="str">
            <v>DOPI-EST-CR-PAV-LP-114-2016</v>
          </cell>
          <cell r="I76" t="str">
            <v>Construcción de la primera etapa de la calle Hidalgo de calle Juan Santibañez a calle Parral 3, con concreto hidráulico en San Juan de Ocotán, incluye: guarniciones, banquetas y alumbrado público, Municipio de Zapopan, Jalisco.</v>
          </cell>
          <cell r="T76" t="str">
            <v>Jorge Hugo</v>
          </cell>
          <cell r="U76" t="str">
            <v>López</v>
          </cell>
          <cell r="V76" t="str">
            <v>Pérez</v>
          </cell>
          <cell r="W76" t="str">
            <v>Control de Calidad de Materiales San Agustin de Hipona, S.A. de C.V.</v>
          </cell>
          <cell r="X76" t="str">
            <v>CCM130405AY1</v>
          </cell>
          <cell r="AD76">
            <v>42656</v>
          </cell>
          <cell r="AG76">
            <v>5333222.53</v>
          </cell>
          <cell r="AM76">
            <v>42657</v>
          </cell>
          <cell r="AN76">
            <v>42776</v>
          </cell>
          <cell r="AS76" t="str">
            <v>San Juan de Ocotán</v>
          </cell>
        </row>
        <row r="77">
          <cell r="D77" t="str">
            <v>DOPI-EST-CR-PAV-LP-115-2016</v>
          </cell>
          <cell r="I77" t="str">
            <v>Construcción de la primera etapa de la calle Iturbide de la calle Abasolo hacia Jardines de las Bugambilias con concreto hidráulico en Santa Ana Tepetitlan, incluye: guarniciones, banquetas, red de agua potable, alcantarillado y alumbrado público, Municipio de Zapopan, Jalisco.</v>
          </cell>
          <cell r="T77" t="str">
            <v>Luis Armando</v>
          </cell>
          <cell r="U77" t="str">
            <v>Linares</v>
          </cell>
          <cell r="V77" t="str">
            <v>Cacho</v>
          </cell>
          <cell r="W77" t="str">
            <v>Urbanizadora y Constructora Roal, S.A. de C.V.</v>
          </cell>
          <cell r="X77" t="str">
            <v>URC160310857</v>
          </cell>
          <cell r="AD77">
            <v>42656</v>
          </cell>
          <cell r="AG77">
            <v>1012796.53</v>
          </cell>
          <cell r="AM77">
            <v>42657</v>
          </cell>
          <cell r="AN77">
            <v>42776</v>
          </cell>
          <cell r="AS77" t="str">
            <v>Santa Ana Tepetitlán</v>
          </cell>
        </row>
        <row r="78">
          <cell r="D78" t="str">
            <v>DOPI-EST-CR-PAV-LP-116-2016</v>
          </cell>
          <cell r="I78" t="str">
            <v>Construcción de la primera etapa de la calle Abasolo de la calle Matamoros a calle 5 de Mayo con concreto hidráulico en Santa Ana Tepetitlan, incluye: guarniciones, banquetas, red de agua potable, alcantarillado y alumbrado público, Municipio de Zapopan, Jalisco.</v>
          </cell>
          <cell r="T78" t="str">
            <v>Julio Eduardo</v>
          </cell>
          <cell r="U78" t="str">
            <v>López</v>
          </cell>
          <cell r="V78" t="str">
            <v>Pérez</v>
          </cell>
          <cell r="W78" t="str">
            <v>Proyectos e Insumos Industriales Jelp, S.A. de C.V.</v>
          </cell>
          <cell r="X78" t="str">
            <v>PEI020208RW0</v>
          </cell>
          <cell r="AD78">
            <v>42656</v>
          </cell>
          <cell r="AG78">
            <v>6796856.54</v>
          </cell>
          <cell r="AM78">
            <v>42657</v>
          </cell>
          <cell r="AN78">
            <v>42776</v>
          </cell>
          <cell r="AS78" t="str">
            <v>Santa Ana Tepetitlán</v>
          </cell>
        </row>
        <row r="79">
          <cell r="D79" t="str">
            <v>DOPI-EST-CR-PAV-LP-117-2016</v>
          </cell>
          <cell r="I79" t="str">
            <v>Construcción de la primera etapa de la calle Morelos de la calle Matamoros a ingreso a atrio de iglesia con concreto hidráulico en Santa Ana Tepetitlan, incluye: guarniciones, banquetas, red de agua potable, alcantarillado y alumbrado público, Municipio de Zapopan, Jalisco.</v>
          </cell>
          <cell r="T79" t="str">
            <v>Bernardo</v>
          </cell>
          <cell r="U79" t="str">
            <v>Saenz</v>
          </cell>
          <cell r="V79" t="str">
            <v>Barba</v>
          </cell>
          <cell r="W79" t="str">
            <v>Grupo Edificador Mayab, S.A. de C.V.</v>
          </cell>
          <cell r="X79" t="str">
            <v>GEM070112PX8</v>
          </cell>
          <cell r="AD79">
            <v>42656</v>
          </cell>
          <cell r="AG79">
            <v>1329275.32</v>
          </cell>
          <cell r="AM79">
            <v>42657</v>
          </cell>
          <cell r="AN79">
            <v>42776</v>
          </cell>
          <cell r="AS79" t="str">
            <v>Santa Ana Tepetitlán</v>
          </cell>
        </row>
        <row r="80">
          <cell r="D80" t="str">
            <v>DOPI-EST-CR-PAV-LP-118-2016</v>
          </cell>
          <cell r="I80" t="str">
            <v>Construcción de la primera etapa de la calle Privada Morelos de calle Morelos a cerrada con concreto hidráulico en Santa Ana Tepetitlan, incluye: guarniciones, banquetas, red de agua potable, alcantarillado y alumbrado público, Municipio de Zapopan, Jalisco.</v>
          </cell>
          <cell r="T80" t="str">
            <v>Bernardo</v>
          </cell>
          <cell r="U80" t="str">
            <v>Saenz</v>
          </cell>
          <cell r="V80" t="str">
            <v>Barba</v>
          </cell>
          <cell r="W80" t="str">
            <v>Grupo Edificador Mayab, S.A. de C.V.</v>
          </cell>
          <cell r="X80" t="str">
            <v>GEM070112PX8</v>
          </cell>
          <cell r="AD80">
            <v>42656</v>
          </cell>
          <cell r="AG80">
            <v>670861.71</v>
          </cell>
          <cell r="AM80">
            <v>42657</v>
          </cell>
          <cell r="AN80">
            <v>42776</v>
          </cell>
          <cell r="AS80" t="str">
            <v>Santa Ana Tepetitlán</v>
          </cell>
        </row>
        <row r="81">
          <cell r="D81" t="str">
            <v>DOPI-EST-FC-PAV-LP-119-2016</v>
          </cell>
          <cell r="I81" t="str">
            <v>Primera etapa de reencarpetamiento de Circuito Madrigal, de Av. Patria a Circuito. Madrigal, Municipio de Zapopan, Jalisco.</v>
          </cell>
          <cell r="T81" t="str">
            <v>Ángel Salomón</v>
          </cell>
          <cell r="U81" t="str">
            <v>Rincón</v>
          </cell>
          <cell r="V81" t="str">
            <v>De la Rosa</v>
          </cell>
          <cell r="W81" t="str">
            <v>Aro Asfaltos y Riegos de Occidente, S.A. de C.V.</v>
          </cell>
          <cell r="X81" t="str">
            <v>AAR120507VA9</v>
          </cell>
          <cell r="AD81">
            <v>42656</v>
          </cell>
          <cell r="AG81">
            <v>8383533</v>
          </cell>
          <cell r="AM81">
            <v>42657</v>
          </cell>
          <cell r="AN81">
            <v>42776</v>
          </cell>
          <cell r="AS81" t="str">
            <v>Colonia Santa Isabel</v>
          </cell>
        </row>
        <row r="82">
          <cell r="D82" t="str">
            <v>DOPI-EST-FC-PAV-LP-120-2016</v>
          </cell>
          <cell r="I82" t="str">
            <v>Primera etapa de modernización de Prolongación Av. Guadalupe, de Prolongación Mariano Otero al Arroyo El Garabato, Municipio de Zapopan, Jalisco.</v>
          </cell>
          <cell r="T82" t="str">
            <v>Sergio Cesar</v>
          </cell>
          <cell r="U82" t="str">
            <v>Diaz</v>
          </cell>
          <cell r="V82" t="str">
            <v>Quiroz</v>
          </cell>
          <cell r="W82" t="str">
            <v>Grupo Unicreto de México S.A. de C.V.</v>
          </cell>
          <cell r="X82" t="str">
            <v>GUM111201IA5</v>
          </cell>
          <cell r="AD82">
            <v>42656</v>
          </cell>
          <cell r="AG82">
            <v>6899699.6900000004</v>
          </cell>
          <cell r="AM82">
            <v>42657</v>
          </cell>
          <cell r="AN82">
            <v>42776</v>
          </cell>
          <cell r="AS82" t="str">
            <v>Colonia El Fortín</v>
          </cell>
        </row>
        <row r="83">
          <cell r="D83" t="str">
            <v>DOPI-EST-FC-PAV-LP-121-2016</v>
          </cell>
          <cell r="I83" t="str">
            <v>Primera etapa de reencarpetamiento y sustitución de losas de la Av. Nicolás Copérnico- Av. Ladrón de Guevara, de Av. Moctezuma a Av. Mariano Otero, Municipio de Zapopan, Jalisco.</v>
          </cell>
          <cell r="T83" t="str">
            <v>Mario</v>
          </cell>
          <cell r="U83" t="str">
            <v>Beltrán</v>
          </cell>
          <cell r="V83" t="str">
            <v>Rodríguez</v>
          </cell>
          <cell r="W83" t="str">
            <v xml:space="preserve">Constructora y Desarrolladora Barba y Asociados, S. A. de C. V. </v>
          </cell>
          <cell r="X83" t="str">
            <v>CDB0506068Z4</v>
          </cell>
          <cell r="AD83">
            <v>42685</v>
          </cell>
          <cell r="AG83">
            <v>4854770.4400000004</v>
          </cell>
          <cell r="AM83">
            <v>42688</v>
          </cell>
          <cell r="AN83">
            <v>42807</v>
          </cell>
          <cell r="AS83" t="str">
            <v>Colonia Paseos del Sol</v>
          </cell>
        </row>
        <row r="84">
          <cell r="D84" t="str">
            <v>DOPI-EST-FC-PAV-LP-122-2016</v>
          </cell>
          <cell r="I84" t="str">
            <v>Primera etapa de reencarpetamiento y sustitución de losas de Av. Valle de Atemajac, de Av. López Mateos a Sierra de Tapalpa, Municipio de Zapopan, Jalisco.</v>
          </cell>
          <cell r="T84" t="str">
            <v>Mario</v>
          </cell>
          <cell r="U84" t="str">
            <v>Beltrán</v>
          </cell>
          <cell r="V84" t="str">
            <v>Rodríguez</v>
          </cell>
          <cell r="W84" t="str">
            <v xml:space="preserve">Constructora y Desarrolladora Barba y Asociados, S. A. de C. V. </v>
          </cell>
          <cell r="X84" t="str">
            <v>CDB0506068Z4</v>
          </cell>
          <cell r="AD84">
            <v>42685</v>
          </cell>
          <cell r="AG84">
            <v>4741926.8099999996</v>
          </cell>
          <cell r="AM84">
            <v>42688</v>
          </cell>
          <cell r="AN84">
            <v>42807</v>
          </cell>
          <cell r="AS84" t="str">
            <v>Colonia Las Aguilas</v>
          </cell>
        </row>
        <row r="85">
          <cell r="D85" t="str">
            <v>DOPI-EST-FC-PAV-LP-123-2016</v>
          </cell>
          <cell r="I85" t="str">
            <v>Construcción de nueva celda para la disposición de residuos, primera etapa, en el vertedero de basura Picachos, Municipio de Zapopan, Jalisco</v>
          </cell>
          <cell r="T85" t="str">
            <v>Jesús David</v>
          </cell>
          <cell r="U85" t="str">
            <v>Garza</v>
          </cell>
          <cell r="V85" t="str">
            <v>Garcia</v>
          </cell>
          <cell r="W85" t="str">
            <v>Construcciones  Electrificaciones y Arrendamiento de Maquinaria S.A. de C.V.</v>
          </cell>
          <cell r="X85" t="str">
            <v>CEA010615GT0</v>
          </cell>
          <cell r="AD85">
            <v>42685</v>
          </cell>
          <cell r="AG85">
            <v>5873571.75</v>
          </cell>
          <cell r="AM85">
            <v>42688</v>
          </cell>
          <cell r="AN85">
            <v>42504</v>
          </cell>
          <cell r="AS85" t="str">
            <v>Relleno Sanitario de Picachos</v>
          </cell>
        </row>
        <row r="86">
          <cell r="D86" t="str">
            <v>DOPI-MUN-PR-EP-LP-124-2016</v>
          </cell>
          <cell r="I86" t="str">
            <v>Rehabilitación de instalaciones y construcción de Centro Comunitario dentro de la Unidad Deportiva del Polvorín, Municipio de Zapopan, Jalisco, frente 1.</v>
          </cell>
          <cell r="T86" t="str">
            <v xml:space="preserve">Leobardo </v>
          </cell>
          <cell r="U86" t="str">
            <v>Preciado</v>
          </cell>
          <cell r="V86" t="str">
            <v>Zepeda</v>
          </cell>
          <cell r="W86" t="str">
            <v>Consorcio Constructor Adobes, S. A. de C. V.</v>
          </cell>
          <cell r="X86" t="str">
            <v>CCA971126QC9</v>
          </cell>
          <cell r="AD86">
            <v>42685</v>
          </cell>
          <cell r="AG86">
            <v>8434117.6600000001</v>
          </cell>
          <cell r="AM86">
            <v>42688</v>
          </cell>
          <cell r="AN86">
            <v>42763</v>
          </cell>
          <cell r="AS86" t="str">
            <v>Colonia Guadalajarita</v>
          </cell>
        </row>
        <row r="87">
          <cell r="D87" t="str">
            <v>DOPI-MUN-PR-EP-LP-125-2016</v>
          </cell>
          <cell r="I87" t="str">
            <v>Rehabilitación de instalaciones y construcción de Centro Comunitario dentro de la Unidad Deportiva del Polvorín, Municipio de Zapopan, Jalisco, frente 2.</v>
          </cell>
          <cell r="T87" t="str">
            <v>Marco Antonio</v>
          </cell>
          <cell r="U87" t="str">
            <v>Cortés</v>
          </cell>
          <cell r="V87" t="str">
            <v>González</v>
          </cell>
          <cell r="W87" t="str">
            <v>Grupo Taube de México, S.A. de C.V.</v>
          </cell>
          <cell r="X87" t="str">
            <v>GTM050418384</v>
          </cell>
          <cell r="AD87">
            <v>42685</v>
          </cell>
          <cell r="AG87">
            <v>5098902.66</v>
          </cell>
          <cell r="AM87">
            <v>42688</v>
          </cell>
          <cell r="AN87">
            <v>42763</v>
          </cell>
          <cell r="AS87" t="str">
            <v>Colonia Guadalajarita</v>
          </cell>
        </row>
        <row r="88">
          <cell r="B88" t="str">
            <v>Licitación por Invitación Restringida</v>
          </cell>
          <cell r="D88" t="str">
            <v>DOPI-MUN-CRM-AP-CI-141-2016</v>
          </cell>
          <cell r="I88" t="str">
            <v>Construcción de linea de conducción de agua potable desde el pozo de La Soledad de Nextipac a la Colonia Fuentesillas, en la localidad de Nextipac; Construccuón de red de drenaje y descargas sanitarias en la Colonia Vinatera, municipio de Zapopan, Jalisco.</v>
          </cell>
          <cell r="T88" t="str">
            <v>Claudio Felipe</v>
          </cell>
          <cell r="U88" t="str">
            <v>Trujillo</v>
          </cell>
          <cell r="V88" t="str">
            <v>Gracián</v>
          </cell>
          <cell r="W88" t="str">
            <v>Desarrolladora Lumadi, S.A. de C.V.</v>
          </cell>
          <cell r="X88" t="str">
            <v>DLU100818F46</v>
          </cell>
          <cell r="AD88">
            <v>42685</v>
          </cell>
          <cell r="AG88">
            <v>5289583.63</v>
          </cell>
          <cell r="AM88">
            <v>42688</v>
          </cell>
          <cell r="AN88">
            <v>42728</v>
          </cell>
          <cell r="AS88" t="str">
            <v>Localidad de Nextipac</v>
          </cell>
        </row>
        <row r="89">
          <cell r="B89" t="str">
            <v>Licitación por Invitación Restringida</v>
          </cell>
          <cell r="D89" t="str">
            <v>DOPI-MUN-CRM-AP-CI-142-2016</v>
          </cell>
          <cell r="I89" t="str">
            <v>Perforación y Equipamiento de pozo profundo en la localidad de Milpillas Mesa de San Juan, municipio de Zapopan, Jalisco</v>
          </cell>
          <cell r="T89" t="str">
            <v>Víctor Saul</v>
          </cell>
          <cell r="U89" t="str">
            <v>Ramos</v>
          </cell>
          <cell r="V89" t="str">
            <v>Morales</v>
          </cell>
          <cell r="W89" t="str">
            <v>Ramper Drilling, S.A. de C.V.</v>
          </cell>
          <cell r="X89" t="str">
            <v>RDR100922131</v>
          </cell>
          <cell r="AD89">
            <v>42685</v>
          </cell>
          <cell r="AG89">
            <v>5113699.54</v>
          </cell>
          <cell r="AM89">
            <v>42688</v>
          </cell>
          <cell r="AN89">
            <v>42759</v>
          </cell>
          <cell r="AS89" t="str">
            <v>Localidad Milpillas</v>
          </cell>
        </row>
        <row r="90">
          <cell r="B90" t="str">
            <v>Licitación por Invitación Restringida</v>
          </cell>
          <cell r="D90" t="str">
            <v>DOPI-MUN-CRM-AP-CI-143-2016</v>
          </cell>
          <cell r="I90" t="str">
            <v>Perforación y equipamiento de pozo profundo en la localidad de Cerca Morada, municipio de Zapopan, Jalisco.</v>
          </cell>
          <cell r="T90" t="str">
            <v>Antonio José Rodolfo</v>
          </cell>
          <cell r="U90" t="str">
            <v>Corcuera</v>
          </cell>
          <cell r="V90" t="str">
            <v>Garza Madero</v>
          </cell>
          <cell r="W90" t="str">
            <v>Alcor de Occidente, S.A. de C.V.</v>
          </cell>
          <cell r="X90" t="str">
            <v>AOC830810TG9</v>
          </cell>
          <cell r="AD90">
            <v>42685</v>
          </cell>
          <cell r="AG90">
            <v>4937334.7300000004</v>
          </cell>
          <cell r="AM90">
            <v>42688</v>
          </cell>
          <cell r="AN90">
            <v>42759</v>
          </cell>
          <cell r="AS90" t="str">
            <v>Localidad Cerca Morada</v>
          </cell>
        </row>
        <row r="91">
          <cell r="B91" t="str">
            <v>Licitación por Invitación Restringida</v>
          </cell>
          <cell r="D91" t="str">
            <v>DOPI-MUN-RM-IS-CI-144-2016</v>
          </cell>
          <cell r="I91" t="str">
            <v>Rehabilitación del área de consultorios, urgencias,mortuario y acabados en general en la Cruz Verde Sur Las Aguilas, ubicada en Av. López Mateos y calle Cruz del Sur en la Colonia Las Aguilas, municipio de Zapopan, Jalisco.</v>
          </cell>
          <cell r="T91" t="str">
            <v>Marco Antonio</v>
          </cell>
          <cell r="U91" t="str">
            <v>Cortés</v>
          </cell>
          <cell r="V91" t="str">
            <v>González</v>
          </cell>
          <cell r="W91" t="str">
            <v>Grupo Taube de México, S.A. de C.V.</v>
          </cell>
          <cell r="X91" t="str">
            <v>GTM050418384</v>
          </cell>
          <cell r="AD91">
            <v>42685</v>
          </cell>
          <cell r="AG91">
            <v>3504992.46</v>
          </cell>
          <cell r="AM91">
            <v>42688</v>
          </cell>
          <cell r="AN91">
            <v>42728</v>
          </cell>
          <cell r="AS91" t="str">
            <v>Colonia Las Aguilas</v>
          </cell>
        </row>
        <row r="92">
          <cell r="B92" t="str">
            <v>Licitación por Invitación Restringida</v>
          </cell>
          <cell r="D92" t="str">
            <v>DOPI-MUN-RM-AP-CI-145-2016</v>
          </cell>
          <cell r="I92" t="str">
            <v>Sustitución de red de agua potable, drenaje sanitario y adecuaciones pluviales en la Avenida Juan Manuel Ruvalcaba en el tramo de la calle Río Amazonas y Pedro Moreno, localidad de Santa Lucia, municipio de Zapopan, Jalisco.</v>
          </cell>
          <cell r="T92" t="str">
            <v>Mario</v>
          </cell>
          <cell r="U92" t="str">
            <v>Beltrán</v>
          </cell>
          <cell r="V92" t="str">
            <v>Rodríguez</v>
          </cell>
          <cell r="W92" t="str">
            <v xml:space="preserve">Constructora y Desarrolladora Barba y Asociados, S. A. de C. V. </v>
          </cell>
          <cell r="X92" t="str">
            <v>CDB0506068Z4</v>
          </cell>
          <cell r="AD92">
            <v>42685</v>
          </cell>
          <cell r="AG92">
            <v>5120884.03</v>
          </cell>
          <cell r="AM92">
            <v>42688</v>
          </cell>
          <cell r="AN92">
            <v>42728</v>
          </cell>
          <cell r="AS92" t="str">
            <v>Localidad de Santa Lucia</v>
          </cell>
        </row>
        <row r="93">
          <cell r="B93" t="str">
            <v>Licitación por Invitación Restringida</v>
          </cell>
          <cell r="D93" t="str">
            <v>DOPI-MUN-RM-IE-CI-146-2016</v>
          </cell>
          <cell r="I93" t="str">
            <v>Suministro y colocación de estructuras de protección de rayos ultravioleta en los planteles educativos: Plaza Comunitaria Ineejad matricula 200, colonia Centro; Centro de Atención Especial matricula 181, colonia El Vigia; Escuela Primaria Justo Sierra matricula 1115, localidad de Santa Anta Tepetitlán; Escuela Primaria Sor Juana Inés de la Cruz y José Vasconcelos matricula 1026, colonia Jardines del Valle; Escuela Primaria José Amador Pelayo y Miguel Hidalgo y Costilla matricula 985, colonia Lomas de Tabachines; Escuela Primaria Urbana Juan Escutia 1130 y Agustín Yañez matricula 916, colonia Paraísos del Colli; Escuela Primaria Vicente Guerrero matricula 854, colonia Vicente Guerrero, municipio de Zapopan, Jalisco.</v>
          </cell>
          <cell r="T93" t="str">
            <v>Gustavo</v>
          </cell>
          <cell r="U93" t="str">
            <v>Durán</v>
          </cell>
          <cell r="V93" t="str">
            <v>Jiménez</v>
          </cell>
          <cell r="W93" t="str">
            <v>Durán Jiménez Arquitectos y Asociados, S.A. de C.V.</v>
          </cell>
          <cell r="X93" t="str">
            <v>DJA9405184G7</v>
          </cell>
          <cell r="AD93">
            <v>42685</v>
          </cell>
          <cell r="AG93">
            <v>4839304.3099999996</v>
          </cell>
          <cell r="AM93">
            <v>42688</v>
          </cell>
          <cell r="AN93">
            <v>42728</v>
          </cell>
          <cell r="AS93" t="str">
            <v>Colonia Centro, El Vigia, Santa Ana Tepetitlán, Jardines del Valle, Lomas de Tabachines, Paraisos del Colli y Vicente Guerrero</v>
          </cell>
        </row>
        <row r="94">
          <cell r="B94" t="str">
            <v>Licitación por Invitación Restringida</v>
          </cell>
          <cell r="D94" t="str">
            <v>DOPI-MUN-RM-AP-CI-147-2016</v>
          </cell>
          <cell r="I94" t="str">
            <v>Perforación y equipamiento de pozo en el ejido de Copalita.</v>
          </cell>
          <cell r="T94" t="str">
            <v>Karla Mariana</v>
          </cell>
          <cell r="U94" t="str">
            <v>Méndez</v>
          </cell>
          <cell r="V94" t="str">
            <v>Rodríguez</v>
          </cell>
          <cell r="W94" t="str">
            <v>Grupo la Fuente, S.A. de C.V.</v>
          </cell>
          <cell r="X94" t="str">
            <v>GFU021009BC1</v>
          </cell>
          <cell r="AD94">
            <v>42685</v>
          </cell>
          <cell r="AG94">
            <v>5204600.13</v>
          </cell>
          <cell r="AM94">
            <v>42688</v>
          </cell>
          <cell r="AN94">
            <v>42759</v>
          </cell>
          <cell r="AS94" t="str">
            <v>Ejido Copalita</v>
          </cell>
        </row>
        <row r="95">
          <cell r="B95" t="str">
            <v>Licitación por Invitación Restringida</v>
          </cell>
          <cell r="D95" t="str">
            <v>DOPI-MUN-R33-ELE-CI-148-2016</v>
          </cell>
          <cell r="I95" t="str">
            <v>Primera etapa de alumbrado público en las calles Jardines del Vergel poniente y oriente, Jardines de los Olmos, Jardines de los Álamos, Jardines de los Cerezos, Jardines de las Magnolias, Jardines del Oyamel, Jardines de los Nísperos, Jardines de los Capulines, Jardines de los Tamarindos, Jardines de los Manzanos, Jardines del Jardines de las Parras, Jardines de los Ciruelos, Jardines de los Membrillos, Jardines de los Naranjos, Jardines de los Ébanos Oriente y Poniente, Jardines de los Robles Oriente y Poniente, Av. Del Vergel Poniente, Jardines de los Cerezos, Jardines de las Higueras, Jardines de las Caobas, Jardines del Oyamel, Jardines de la Rosa Morada, Jardines de los Abetos, Jardines de los Nogales, en la colonia Jardines del Vergel I sección; Primera etapa de alumbrado público en las calles Eucalipto, Ciprés, Aztecas. Daniel Duarte, Humberto Chavira, Las Torres, J. Carlos Rivera Aceves, José Bañuelos Guardado, en la colonia Lomas del Centinela, municipio de Zapopan, Jalisco.</v>
          </cell>
          <cell r="T95" t="str">
            <v>Héctor Alejandro</v>
          </cell>
          <cell r="U95" t="str">
            <v>Ortega</v>
          </cell>
          <cell r="V95" t="str">
            <v>Rosales</v>
          </cell>
          <cell r="W95" t="str">
            <v xml:space="preserve">IME Servicios y Suministros, S. A. de C. V. </v>
          </cell>
          <cell r="X95" t="str">
            <v>ISS920330811</v>
          </cell>
          <cell r="AD95">
            <v>42685</v>
          </cell>
          <cell r="AG95">
            <v>4251366.43</v>
          </cell>
          <cell r="AM95">
            <v>42688</v>
          </cell>
          <cell r="AN95">
            <v>42728</v>
          </cell>
          <cell r="AS95" t="str">
            <v>Varias colonias del Municipio</v>
          </cell>
        </row>
        <row r="96">
          <cell r="B96" t="str">
            <v>Licitación por Invitación Restringida</v>
          </cell>
          <cell r="D96" t="str">
            <v>DOPI-MUN-R33-AP-CI-149-2016</v>
          </cell>
          <cell r="I96" t="str">
            <v>Construcción de línea de agua potable y drenaje sanitario en la calle Jícama, de calle Limón a cerrada, calle Carlos Herrera Jasso, de calle Limón a calle Jícama, Privada Mango, de calle Carlos Herrera Jasso a cerrada y Privada Fresa, de calle Carlos Herrera Jasso a cerrada, en la colonia Mesa Colorada Oriente; y Construcción de línea de drenaje sanitario en la calle Paseo de los Ahuehuetes, de calle Paseo de Los Almendros a calle de Paseo de los Guayabos y calle Paseo de los Guayabos, de calle Colorines a calle Paseo de los Ahuehuetes, en la colonia Mesa de Los Ocotes, en el municipio de Zapopan, Jalisco.</v>
          </cell>
          <cell r="T96" t="str">
            <v>Eduardo</v>
          </cell>
          <cell r="U96" t="str">
            <v>Romero</v>
          </cell>
          <cell r="V96" t="str">
            <v>Lugo</v>
          </cell>
          <cell r="W96" t="str">
            <v>RS Obras y Servicios, S.A. de C.V.</v>
          </cell>
          <cell r="X96" t="str">
            <v>ROS120904PV9</v>
          </cell>
          <cell r="AD96">
            <v>42727</v>
          </cell>
          <cell r="AG96">
            <v>4456704.66</v>
          </cell>
          <cell r="AM96">
            <v>42730</v>
          </cell>
          <cell r="AN96">
            <v>42831</v>
          </cell>
          <cell r="AS96" t="str">
            <v>Colonia Mesa Colorada Oriente y colonia Mesa de los Ocotes</v>
          </cell>
        </row>
        <row r="97">
          <cell r="B97" t="str">
            <v>Licitación por Invitación Restringida</v>
          </cell>
          <cell r="D97" t="str">
            <v>DOPI-MUN-RM-PAV-CI-150-2016</v>
          </cell>
          <cell r="I97" t="str">
            <v>Reencarpetado de la vialidad, desbastado de la carpeta existente, nivelación de pozos de visita, cajas de válvulas, rejillas pluviales, bocas de tormenta y elementos estructurales que sobresalen de la rasante de la vialidad, calafateos, señalética horizontal en la Av. Aviación de Av. Vallarta a calle Ocampo frente 1, municipio de Zapopan, Jalisco.</v>
          </cell>
          <cell r="T97" t="str">
            <v>David Eduardo</v>
          </cell>
          <cell r="U97" t="str">
            <v>Lara</v>
          </cell>
          <cell r="V97" t="str">
            <v>Ochoa</v>
          </cell>
          <cell r="W97" t="str">
            <v xml:space="preserve">Construcciones ICU, S.A. de C.V. </v>
          </cell>
          <cell r="X97" t="str">
            <v>CIC080626ER2</v>
          </cell>
          <cell r="AD97">
            <v>42685</v>
          </cell>
          <cell r="AG97">
            <v>4960902.49</v>
          </cell>
          <cell r="AM97">
            <v>42688</v>
          </cell>
          <cell r="AN97">
            <v>42728</v>
          </cell>
          <cell r="AS97" t="str">
            <v>San Juan de Ocotán</v>
          </cell>
        </row>
        <row r="98">
          <cell r="B98" t="str">
            <v>Licitación por Invitación Restringida</v>
          </cell>
          <cell r="D98" t="str">
            <v>DOPI-MUN-RM-PAV-CI-151-2016</v>
          </cell>
          <cell r="I98" t="str">
            <v>Reencarpetado de la vialidad, desbastado de la carpeta existente, nivelación de pozos de visita, cajas de válvulas, rejillas pluviales, bocas de tormenta y elementos estructurales que sobresalen de la rasante de la vialidad, calafateos, señalética horizontal en la Av. Aviación de Av. Vallarta a calle Ocampo frente 2, municipio de Zapopan, Jalisco.</v>
          </cell>
          <cell r="T98" t="str">
            <v>Luis Armando</v>
          </cell>
          <cell r="U98" t="str">
            <v>Linares</v>
          </cell>
          <cell r="V98" t="str">
            <v>Cacho</v>
          </cell>
          <cell r="W98" t="str">
            <v>Urbanizadora y Constructora Roal, S.A. de C.V.</v>
          </cell>
          <cell r="X98" t="str">
            <v>URC160310857</v>
          </cell>
          <cell r="AD98">
            <v>42685</v>
          </cell>
          <cell r="AG98">
            <v>4130342.71</v>
          </cell>
          <cell r="AM98">
            <v>42688</v>
          </cell>
          <cell r="AN98">
            <v>42728</v>
          </cell>
          <cell r="AS98" t="str">
            <v>San Juan de Ocotán</v>
          </cell>
        </row>
        <row r="99">
          <cell r="B99" t="str">
            <v>Licitación por Invitación Restringida</v>
          </cell>
          <cell r="D99" t="str">
            <v>DOPI-MUN-RM-PAV-CI-152-2016</v>
          </cell>
          <cell r="I99" t="str">
            <v>Reencarpetado de la vialidad, desbastado de la carpeta existente, nivelación de pozos de visita, cajas de válvulas, rejillas pluviales, bocas de tormenta y elementos estructurales que sobresalen de la rasante de la vialidad, calafateos, señalética horizontal en la Av. 5 de Mayo de Periférico Poniente a Av. Aviación, municipio de Zapopan, Jalisco.</v>
          </cell>
          <cell r="T99" t="str">
            <v>Carlos Ignacio</v>
          </cell>
          <cell r="U99" t="str">
            <v>Curiel</v>
          </cell>
          <cell r="V99" t="str">
            <v>Dueñas</v>
          </cell>
          <cell r="W99" t="str">
            <v>Constructora Cecuchi, S.A. de C.V.</v>
          </cell>
          <cell r="X99" t="str">
            <v>CCE130723IR7</v>
          </cell>
          <cell r="AD99">
            <v>42685</v>
          </cell>
          <cell r="AG99">
            <v>5069996.18</v>
          </cell>
          <cell r="AM99">
            <v>42688</v>
          </cell>
          <cell r="AN99">
            <v>42728</v>
          </cell>
          <cell r="AS99" t="str">
            <v>San Juan de Ocotán</v>
          </cell>
        </row>
        <row r="100">
          <cell r="B100" t="str">
            <v>Licitación por Invitación Restringida</v>
          </cell>
          <cell r="D100" t="str">
            <v>DOPI-MUN-RM-PAV-CI-153-2016</v>
          </cell>
          <cell r="I100" t="str">
            <v>Construcción de pavimento de concreto hidráulico MR-45, de línea de agua potable, drenaje sanitario, electrificación, alumbrado público, guarniciones, banqueta, señalética horizontal y vertical en la calle Capulín, en la localidad de Tesistán, municipio de Zapopan, Jalisco.</v>
          </cell>
          <cell r="T100" t="str">
            <v xml:space="preserve"> Martha </v>
          </cell>
          <cell r="U100" t="str">
            <v>Jiménez</v>
          </cell>
          <cell r="V100" t="str">
            <v>López</v>
          </cell>
          <cell r="W100" t="str">
            <v>Inmobiliaria Bochum S. de R.L. de C.V.</v>
          </cell>
          <cell r="X100" t="str">
            <v>IBO090918ET9</v>
          </cell>
          <cell r="AD100">
            <v>42685</v>
          </cell>
          <cell r="AG100">
            <v>7253719.3200000003</v>
          </cell>
          <cell r="AM100">
            <v>42688</v>
          </cell>
          <cell r="AN100">
            <v>42728</v>
          </cell>
          <cell r="AS100" t="str">
            <v>Localidad de Tesistán</v>
          </cell>
        </row>
        <row r="101">
          <cell r="B101" t="str">
            <v>Licitación por Invitación Restringida</v>
          </cell>
          <cell r="D101" t="str">
            <v>DOPI-MUN-RM-PAV-CI-154-2016</v>
          </cell>
          <cell r="I101" t="str">
            <v>Construcción de la primera etapa de pavimento de concreto hidráulico MR-45, línea de agua potable, drenaje sanitario, colector sanitario, guarniciones, banqueta, bocas de tormenta en la calle Navio de la Av. La Calma a calle Boyero, en la colonia La Calma, municipio de Zapopan, Jalisco.</v>
          </cell>
          <cell r="T101" t="str">
            <v>Carlos</v>
          </cell>
          <cell r="U101" t="str">
            <v>Pérez</v>
          </cell>
          <cell r="V101" t="str">
            <v>Cruz</v>
          </cell>
          <cell r="W101" t="str">
            <v>Constructora Pecru, S.A. de C.V.</v>
          </cell>
          <cell r="X101" t="str">
            <v>CPE070123PD4</v>
          </cell>
          <cell r="AD101">
            <v>42685</v>
          </cell>
          <cell r="AG101">
            <v>3382310.92</v>
          </cell>
          <cell r="AM101">
            <v>42688</v>
          </cell>
          <cell r="AN101">
            <v>42728</v>
          </cell>
          <cell r="AS101" t="str">
            <v>Colonia La Calma</v>
          </cell>
        </row>
        <row r="102">
          <cell r="B102" t="str">
            <v>Licitación por Invitación Restringida</v>
          </cell>
          <cell r="D102" t="str">
            <v>DOPI-MUN-RM-PAV-CI-155-2016</v>
          </cell>
          <cell r="I102" t="str">
            <v>Construcción de empedrado tradicional y huellas de rodamiento de concreto hidráulico MR-42, cunetas, guarniciones, banquetas, señalamiento vertical y horizontal en el camino al Arenero, municipio de Zapopan, Jalisco.</v>
          </cell>
          <cell r="T102" t="str">
            <v>Arturo</v>
          </cell>
          <cell r="U102" t="str">
            <v>Rangel</v>
          </cell>
          <cell r="V102" t="str">
            <v>Paez</v>
          </cell>
          <cell r="W102" t="str">
            <v>Constructora Lasa, S.A. de C.V.</v>
          </cell>
          <cell r="X102" t="str">
            <v>CLA890925ER5</v>
          </cell>
          <cell r="AD102">
            <v>42685</v>
          </cell>
          <cell r="AG102">
            <v>7468157.6799999997</v>
          </cell>
          <cell r="AM102">
            <v>42688</v>
          </cell>
          <cell r="AN102">
            <v>42728</v>
          </cell>
          <cell r="AS102" t="str">
            <v>Colonia Bajío</v>
          </cell>
        </row>
        <row r="103">
          <cell r="B103" t="str">
            <v>Licitación por Invitación Restringida</v>
          </cell>
          <cell r="D103" t="str">
            <v>DOPI-MUN-RM-IE-CI-156-2016</v>
          </cell>
          <cell r="I103" t="str">
            <v>Suministro y colocación de estructuras de protección de rayos ultravioleta en los planteles educativos: Escuela Primaria Niños Héroes y Salvador López Chávez, matricula 750, colonia Pinar de la Calma; Escuela Primaria Idolina Gaona Cosio de Vidaurri, matricula 703, colonia Los Cajetes; Escuela Primaria Antonio Caso y Patria, matricula 490, colonia El Briseño segunda sección; Escuela Primaria Paulo Freire y 24 de Octubre, matricula 675, colonia Mariano Otero; Escuela Primaria Rafael Ramírez, matricula 240, colonia Paseos del Briseño, municipio de Zapopan, Jalisco.</v>
          </cell>
          <cell r="T103" t="str">
            <v>Eduardo</v>
          </cell>
          <cell r="U103" t="str">
            <v>Cruz</v>
          </cell>
          <cell r="V103" t="str">
            <v>Moguel</v>
          </cell>
          <cell r="W103" t="str">
            <v>Balken, S.A. de C.V.</v>
          </cell>
          <cell r="X103" t="str">
            <v>BAL990803661</v>
          </cell>
          <cell r="AD103">
            <v>42685</v>
          </cell>
          <cell r="AG103">
            <v>4189228.4</v>
          </cell>
          <cell r="AM103">
            <v>42688</v>
          </cell>
          <cell r="AN103">
            <v>42728</v>
          </cell>
          <cell r="AS103" t="str">
            <v>Varias colonias del Municipio</v>
          </cell>
        </row>
        <row r="104">
          <cell r="B104" t="str">
            <v>Licitación por Invitación Restringida</v>
          </cell>
          <cell r="D104" t="str">
            <v>DOPI-MUN-RM-IE-CI-157-2016</v>
          </cell>
          <cell r="I104" t="str">
            <v>Suministro y colocación de estructuras de protección de rayos ultravioleta en los planteles educativos: Escuela Primaria Emiliano Zapata y Lázaro Cárdenas del Río, matricula 493, colonia San Isidro Ejidal; Escuela Primaria Ramón López Velarde, matricula 478, colonia Arcos de Zapopan tercera sección; Escuela Primaria Valentín Gómez Farias, matricula 243, colonia San Isidro Ejidal; Escuela Primaria José María Morelos y Pavón, matricula 194, colonia San José del Bajío, municipio de Zapopan, Jalisco.</v>
          </cell>
          <cell r="T104" t="str">
            <v>Vicente</v>
          </cell>
          <cell r="U104" t="str">
            <v>Mendoza</v>
          </cell>
          <cell r="V104" t="str">
            <v>Lamas</v>
          </cell>
          <cell r="W104" t="str">
            <v>Constructora y Urbanizadora Arista, S.A. de C.V.</v>
          </cell>
          <cell r="X104" t="str">
            <v>CUA130425I70</v>
          </cell>
          <cell r="AD104">
            <v>42685</v>
          </cell>
          <cell r="AG104">
            <v>3269771.91</v>
          </cell>
          <cell r="AM104">
            <v>42688</v>
          </cell>
          <cell r="AN104">
            <v>42728</v>
          </cell>
          <cell r="AS104" t="str">
            <v>Varias colonias del Municipio</v>
          </cell>
        </row>
        <row r="105">
          <cell r="B105" t="str">
            <v>Licitación por Invitación Restringida</v>
          </cell>
          <cell r="D105" t="str">
            <v>DOPI-MUN-RM-IE-CI-158-2016</v>
          </cell>
          <cell r="I105" t="str">
            <v>Suministro y colocación de estructuras de protección de rayos ultravioleta en los planteles educativos: Escuela Primaria 5 de Mayo y Bernardo Ortíz de Montellano, matricula 642, colonia Misión del Bosque; Escuela Primaria Rural Luis Pérez Verdía, matricula 220, colonia San Francisco de Ixcatán; Escuela Primaria Rural Mariano Azuela, matricula 198, colonia Río Blanco; Escuela Primaria Rural Miguel Hidalgo y Costilla, matricula 140, Ampliación de Copala, municipio de Zapopan, Jalisco.</v>
          </cell>
          <cell r="T105" t="str">
            <v>J. Gerardo</v>
          </cell>
          <cell r="U105" t="str">
            <v>Nicanor</v>
          </cell>
          <cell r="V105" t="str">
            <v>Mejia Mariscal</v>
          </cell>
          <cell r="W105" t="str">
            <v>Ineco Construye, S.A. de C.V.</v>
          </cell>
          <cell r="X105" t="str">
            <v>ICO980722M04</v>
          </cell>
          <cell r="AD105">
            <v>42685</v>
          </cell>
          <cell r="AG105">
            <v>3328458.75</v>
          </cell>
          <cell r="AM105">
            <v>42688</v>
          </cell>
          <cell r="AN105">
            <v>42728</v>
          </cell>
          <cell r="AS105" t="str">
            <v>Varias colonias del Municipio</v>
          </cell>
        </row>
        <row r="106">
          <cell r="B106" t="str">
            <v>Licitación Pública</v>
          </cell>
          <cell r="D106" t="str">
            <v>DOPI-MUN-RM-IM-LP-173-2016</v>
          </cell>
          <cell r="I106" t="str">
            <v>Rehabilitación de la instalación eléctrica, iluminación y alumbrado público en el mercado municipal de Atemajac, municipio de Zapopan, Jalisco.</v>
          </cell>
          <cell r="T106" t="str">
            <v>Amalia</v>
          </cell>
          <cell r="U106" t="str">
            <v>Moreno</v>
          </cell>
          <cell r="V106" t="str">
            <v>Maldonado</v>
          </cell>
          <cell r="W106" t="str">
            <v>Grupo Constructor los Muros, S.A. de C.V.</v>
          </cell>
          <cell r="X106" t="str">
            <v>GCM020226F28</v>
          </cell>
          <cell r="AD106">
            <v>42726</v>
          </cell>
          <cell r="AG106">
            <v>8929443.7100000009</v>
          </cell>
          <cell r="AM106">
            <v>42727</v>
          </cell>
          <cell r="AN106">
            <v>42816</v>
          </cell>
          <cell r="AS106" t="str">
            <v>Atemajac</v>
          </cell>
        </row>
        <row r="107">
          <cell r="B107" t="str">
            <v>Licitación Pública</v>
          </cell>
          <cell r="D107" t="str">
            <v>DOPI-MUN-RM-IM-LP-174-2016</v>
          </cell>
          <cell r="I107" t="str">
            <v>Rehabilitación de la red hidrosanitaria, instalación de la red contra incendio, obra civil, elevador y acabados en el mercado municipal de Atemajac, municipio de Zapopan , Jalisco.</v>
          </cell>
          <cell r="T107" t="str">
            <v xml:space="preserve">Leobardo </v>
          </cell>
          <cell r="U107" t="str">
            <v>Preciado</v>
          </cell>
          <cell r="V107" t="str">
            <v>Zepeda</v>
          </cell>
          <cell r="W107" t="str">
            <v xml:space="preserve">Consorcio Constructor Adobes, S. A. de C. V. </v>
          </cell>
          <cell r="X107" t="str">
            <v>CCA971126QC9</v>
          </cell>
          <cell r="AD107">
            <v>42726</v>
          </cell>
          <cell r="AG107">
            <v>10276943.060000001</v>
          </cell>
          <cell r="AM107">
            <v>42727</v>
          </cell>
          <cell r="AN107">
            <v>42816</v>
          </cell>
          <cell r="AS107" t="str">
            <v>Atemajac</v>
          </cell>
        </row>
        <row r="108">
          <cell r="B108" t="str">
            <v>Licitación Pública</v>
          </cell>
          <cell r="D108" t="str">
            <v>DOPI-MUN-RM-DP-LP-175-2016</v>
          </cell>
          <cell r="I108" t="str">
            <v>Sustitución de rejillas de bocas de tormenta en diferentes vialidades del municipio.</v>
          </cell>
          <cell r="T108" t="str">
            <v>José Omar</v>
          </cell>
          <cell r="U108" t="str">
            <v>Fernández</v>
          </cell>
          <cell r="V108" t="str">
            <v>Vázquez</v>
          </cell>
          <cell r="W108" t="str">
            <v>José Omar Fernández Vázquez</v>
          </cell>
          <cell r="X108" t="str">
            <v>FEVO740619686</v>
          </cell>
          <cell r="AD108">
            <v>42726</v>
          </cell>
          <cell r="AG108">
            <v>2998448.3</v>
          </cell>
          <cell r="AM108">
            <v>42727</v>
          </cell>
          <cell r="AN108">
            <v>42846</v>
          </cell>
          <cell r="AS108" t="str">
            <v>Varias colonias del Municipio</v>
          </cell>
        </row>
        <row r="109">
          <cell r="B109" t="str">
            <v>Licitación Pública</v>
          </cell>
          <cell r="D109" t="str">
            <v>DOPI-MUN-RM-ID-LP-176-2016</v>
          </cell>
          <cell r="I109" t="str">
            <v>Rehabilitación de las instalaciones y equipamiento deportivo de la Unidad Deportiva Miramar, municipio de Zapopan, Jalisco</v>
          </cell>
          <cell r="T109" t="str">
            <v>José Antonio</v>
          </cell>
          <cell r="U109" t="str">
            <v>Álvarez</v>
          </cell>
          <cell r="V109" t="str">
            <v>Garcia</v>
          </cell>
          <cell r="W109" t="str">
            <v>Urcoma 1970, S.A. de C.V.</v>
          </cell>
          <cell r="X109" t="str">
            <v>UMN160125869</v>
          </cell>
          <cell r="AD109">
            <v>42726</v>
          </cell>
          <cell r="AG109">
            <v>7420078.3799999999</v>
          </cell>
          <cell r="AM109">
            <v>42727</v>
          </cell>
          <cell r="AN109">
            <v>42816</v>
          </cell>
          <cell r="AS109" t="str">
            <v>Colonia Miramar</v>
          </cell>
        </row>
        <row r="110">
          <cell r="B110" t="str">
            <v>Licitación Pública</v>
          </cell>
          <cell r="D110" t="str">
            <v>DOPI-MUN-RM-ID-LP-177-2016</v>
          </cell>
          <cell r="I110" t="str">
            <v>Rehabilitación de las Instalaciones y equipamiento deportivo de la Unidad Deportiva Paseos del Briseño, municipio de Zapopan, Jalisco</v>
          </cell>
          <cell r="T110" t="str">
            <v>Francisco Javier</v>
          </cell>
          <cell r="U110" t="str">
            <v>Diaz</v>
          </cell>
          <cell r="V110" t="str">
            <v>Ruiz</v>
          </cell>
          <cell r="W110" t="str">
            <v>Constructora Diru, S.A. de C.V.</v>
          </cell>
          <cell r="X110" t="str">
            <v>CDI950714B79</v>
          </cell>
          <cell r="AD110">
            <v>42726</v>
          </cell>
          <cell r="AG110">
            <v>8768312.9199999999</v>
          </cell>
          <cell r="AM110">
            <v>42727</v>
          </cell>
          <cell r="AN110">
            <v>42816</v>
          </cell>
          <cell r="AS110" t="str">
            <v>Colonia Paseos del Briseño</v>
          </cell>
        </row>
        <row r="111">
          <cell r="B111" t="str">
            <v>Licitación Pública</v>
          </cell>
          <cell r="D111" t="str">
            <v>DOPI-MUN-RM-ID-LP-178-2016</v>
          </cell>
          <cell r="I111" t="str">
            <v>Rehabilitación de las Instalaciones y equipamiento deportivo de la Unidad Deportiva San Juan de Ocotán, municipio de Zapopan, Jalisco</v>
          </cell>
          <cell r="T111" t="str">
            <v>Eduardo</v>
          </cell>
          <cell r="U111" t="str">
            <v>Romero</v>
          </cell>
          <cell r="V111" t="str">
            <v>Lugo</v>
          </cell>
          <cell r="W111" t="str">
            <v>RS Obras y Servicios S.A. de C.V.</v>
          </cell>
          <cell r="X111" t="str">
            <v>ROS120904PV9</v>
          </cell>
          <cell r="AD111">
            <v>42726</v>
          </cell>
          <cell r="AG111">
            <v>7913055.7999999998</v>
          </cell>
          <cell r="AM111">
            <v>42727</v>
          </cell>
          <cell r="AN111">
            <v>42794</v>
          </cell>
          <cell r="AS111" t="str">
            <v>Colonia San Juan de Ocotán</v>
          </cell>
        </row>
        <row r="112">
          <cell r="B112" t="str">
            <v>Licitación Pública</v>
          </cell>
          <cell r="D112" t="str">
            <v>DOPI-MUN-RM-MOV-LP-179-2016</v>
          </cell>
          <cell r="I112" t="str">
            <v>Construcción de cruceros seguros, incluye señaletica horizontal y vertical, acceso universal en esquinas,semaforización y paradas de autobús en diferentes cruceros, zona 1 del Municipio de Zapopan, Jallisco</v>
          </cell>
          <cell r="T112" t="str">
            <v>José Omar</v>
          </cell>
          <cell r="U112" t="str">
            <v>Fernández</v>
          </cell>
          <cell r="V112" t="str">
            <v>Vázquez</v>
          </cell>
          <cell r="W112" t="str">
            <v>José Omar Fernández Vázquez</v>
          </cell>
          <cell r="X112" t="str">
            <v>FEVO740619686</v>
          </cell>
          <cell r="AD112">
            <v>42726</v>
          </cell>
          <cell r="AG112">
            <v>3582511.3</v>
          </cell>
          <cell r="AM112">
            <v>42727</v>
          </cell>
          <cell r="AN112">
            <v>42846</v>
          </cell>
          <cell r="AS112" t="str">
            <v>Varias colonias del Municipio</v>
          </cell>
        </row>
        <row r="113">
          <cell r="B113" t="str">
            <v>Licitación Pública</v>
          </cell>
          <cell r="D113" t="str">
            <v>DOPI-MUN-RM-MOV-LP-180-2016</v>
          </cell>
          <cell r="I113" t="str">
            <v>Construcción de cruceros seguros, incluye señaletica horizontal y vertical, acceso universal en esquinas,semaforización y paradas de autobús en diferentes cruceros, zona 2 del Municipio de Zapopan, Jallisco</v>
          </cell>
          <cell r="T113" t="str">
            <v>José Jaime</v>
          </cell>
          <cell r="U113" t="str">
            <v>Camarena</v>
          </cell>
          <cell r="V113" t="str">
            <v>Correa</v>
          </cell>
          <cell r="W113" t="str">
            <v>Firmitas Constructa, S.A de C.V.</v>
          </cell>
          <cell r="X113" t="str">
            <v>FCO110711N24</v>
          </cell>
          <cell r="AD113">
            <v>42726</v>
          </cell>
          <cell r="AG113">
            <v>4703307.2300000004</v>
          </cell>
          <cell r="AM113">
            <v>42727</v>
          </cell>
          <cell r="AN113">
            <v>42846</v>
          </cell>
          <cell r="AS113" t="str">
            <v>Varias colonias del Municipio</v>
          </cell>
        </row>
        <row r="114">
          <cell r="D114" t="str">
            <v>DOPI-FED-R23-IM-LP-188-2016</v>
          </cell>
          <cell r="T114" t="str">
            <v>Luis German</v>
          </cell>
          <cell r="U114" t="str">
            <v xml:space="preserve">Delgadillo </v>
          </cell>
          <cell r="V114" t="str">
            <v>Alcazar</v>
          </cell>
          <cell r="W114" t="str">
            <v>Axioma Proyectos e Ingeniería, S. A. de C. V.</v>
          </cell>
          <cell r="X114" t="str">
            <v>APE111122MI0</v>
          </cell>
          <cell r="AD114">
            <v>42704</v>
          </cell>
          <cell r="AG114">
            <v>18435309.59</v>
          </cell>
          <cell r="AL114" t="str">
            <v>Construcción de la primera etapa del centro comunitario, Centro de Emprendimiento, en Miramar, frente 1.</v>
          </cell>
          <cell r="AM114">
            <v>42705</v>
          </cell>
          <cell r="AN114">
            <v>42735</v>
          </cell>
          <cell r="AS114" t="str">
            <v>Colonia Miramar</v>
          </cell>
        </row>
        <row r="115">
          <cell r="D115" t="str">
            <v>DOPI-FED-R23-IM-LP-189-2016</v>
          </cell>
          <cell r="T115" t="str">
            <v>Gustavo Alejandro</v>
          </cell>
          <cell r="U115" t="str">
            <v>Ledezma</v>
          </cell>
          <cell r="V115" t="str">
            <v xml:space="preserve"> Cervantes</v>
          </cell>
          <cell r="W115" t="str">
            <v>Edificaciones y Proyectos Roca, S.A. de C.V.</v>
          </cell>
          <cell r="X115" t="str">
            <v>EPR131016I71</v>
          </cell>
          <cell r="AD115">
            <v>42704</v>
          </cell>
          <cell r="AG115">
            <v>4817658.4800000004</v>
          </cell>
          <cell r="AL115" t="str">
            <v>Construcción de la primera etapa del centro comunitario, Centro de Emprendimiento, en Miramar, frente 2.</v>
          </cell>
          <cell r="AM115">
            <v>42705</v>
          </cell>
          <cell r="AN115">
            <v>42735</v>
          </cell>
          <cell r="AS115" t="str">
            <v>Colonia Miramar</v>
          </cell>
        </row>
        <row r="116">
          <cell r="D116" t="str">
            <v>DOPI-FED-PR-PAV-LP-190-2016</v>
          </cell>
          <cell r="T116" t="str">
            <v>Blanca Estela</v>
          </cell>
          <cell r="U116" t="str">
            <v>Moreno</v>
          </cell>
          <cell r="V116" t="str">
            <v>Lemus</v>
          </cell>
          <cell r="W116" t="str">
            <v xml:space="preserve">Estudios, Proyectos y Construcciones de Guadalajara, S.A. de C.V. </v>
          </cell>
          <cell r="X116" t="str">
            <v>EPC7107236R1</v>
          </cell>
          <cell r="AD116">
            <v>42704</v>
          </cell>
          <cell r="AG116">
            <v>2963838.41</v>
          </cell>
          <cell r="AL116" t="str">
            <v>Pavimentación con concreto hidráulico de la Calle Rizo Ayala, incluye: red de agua potable y alcantarillado, alumbrado público y guarniciones, banquetas, renivelación de pozos y cajas, señalamiento horizontal y vertical, municipio de Zapopan, Jalisco.</v>
          </cell>
          <cell r="AM116">
            <v>42705</v>
          </cell>
          <cell r="AN116">
            <v>42735</v>
          </cell>
          <cell r="AS116" t="str">
            <v>Colonia La Martinica</v>
          </cell>
        </row>
        <row r="117">
          <cell r="D117" t="str">
            <v>DOPI-FED-PR-PAV-LP-191-2016</v>
          </cell>
          <cell r="T117" t="str">
            <v>Sergio Cesar</v>
          </cell>
          <cell r="U117" t="str">
            <v>Diaz</v>
          </cell>
          <cell r="V117" t="str">
            <v>Quiroz</v>
          </cell>
          <cell r="W117" t="str">
            <v>Grupo Unicreto S.A. de C.V.</v>
          </cell>
          <cell r="X117" t="str">
            <v>GUN880613NY1</v>
          </cell>
          <cell r="AD117">
            <v>42704</v>
          </cell>
          <cell r="AG117">
            <v>9700078.7599999998</v>
          </cell>
          <cell r="AL117" t="str">
            <v>Reencarpetamiento de vialidad Calle Pípila con concreto hidráulico desde la Calle Felipe Ángeles a la Calle Rizo Ayala, incluye: guarniciones, banquetas, renivelación de pozos y cajas, señalamiento vertical y horizontal, Municipio de Zapopan, Jalisco</v>
          </cell>
          <cell r="AM117">
            <v>42705</v>
          </cell>
          <cell r="AN117">
            <v>42735</v>
          </cell>
          <cell r="AS117" t="str">
            <v>Colonia La Martinica</v>
          </cell>
        </row>
        <row r="118">
          <cell r="D118" t="str">
            <v>DOPI-FED-PR-PAV-LP-192-2016</v>
          </cell>
          <cell r="T118" t="str">
            <v>José</v>
          </cell>
          <cell r="U118" t="str">
            <v>Plascencia</v>
          </cell>
          <cell r="V118" t="str">
            <v>Casillas</v>
          </cell>
          <cell r="W118" t="str">
            <v>PyP Constructora, S.A. de C.V.</v>
          </cell>
          <cell r="X118" t="str">
            <v>PPC980828SY4</v>
          </cell>
          <cell r="AD118">
            <v>42704</v>
          </cell>
          <cell r="AG118">
            <v>9006202.9700000007</v>
          </cell>
          <cell r="AL118" t="str">
            <v>Reencarpetamiento de vialidad con concreto hidráulico Calle González Gallo desde la Av. Prolongación Federalismo al andador Rosario Guadalupe, incluye: guarniciones, banquetas, renivelaciones de pozos y cajas, señalamiento vertical y horizontal, Municipio de Zapopan, Jalisco.</v>
          </cell>
          <cell r="AM118">
            <v>42705</v>
          </cell>
          <cell r="AN118">
            <v>42735</v>
          </cell>
          <cell r="AS118" t="str">
            <v>Colonia Parque del Auditorio</v>
          </cell>
        </row>
        <row r="119">
          <cell r="D119" t="str">
            <v>DOPI-FED-PR-PAV-LP-193-2016</v>
          </cell>
          <cell r="T119" t="str">
            <v>Erick</v>
          </cell>
          <cell r="U119" t="str">
            <v>Villaseñor</v>
          </cell>
          <cell r="V119" t="str">
            <v>Gutiérrez</v>
          </cell>
          <cell r="W119" t="str">
            <v>Pixide Constructora, S.A. de C.V.</v>
          </cell>
          <cell r="X119" t="str">
            <v>PCO140829425</v>
          </cell>
          <cell r="AD119">
            <v>42704</v>
          </cell>
          <cell r="AG119">
            <v>1879618.12</v>
          </cell>
          <cell r="AL119" t="str">
            <v>Construcción de vialidad con concreto hidráulico en calle Ingeniero Alberto Mora López, desde la calle Elote a Carretera a Saltillo, incluye: guarniciones, banquetas, red de agua potable y alcantarillado y red de alumbrado público, zona las Mesas, municipio de Zapopan, Jalisco.</v>
          </cell>
          <cell r="AM119">
            <v>42705</v>
          </cell>
          <cell r="AN119">
            <v>42735</v>
          </cell>
          <cell r="AS119" t="str">
            <v>Colonia Mesa Colorada Oriente</v>
          </cell>
        </row>
        <row r="120">
          <cell r="D120" t="str">
            <v>DOPI-FED-SM-RS-LP-194-2016</v>
          </cell>
          <cell r="T120" t="str">
            <v>Héctor</v>
          </cell>
          <cell r="U120" t="str">
            <v>Gaytán</v>
          </cell>
          <cell r="V120" t="str">
            <v>Galicia</v>
          </cell>
          <cell r="W120" t="str">
            <v>Secoi Construcciones y Servicios, S.A. de C.V.</v>
          </cell>
          <cell r="X120" t="str">
            <v>SCS1301173MA</v>
          </cell>
          <cell r="AD120">
            <v>42704</v>
          </cell>
          <cell r="AG120">
            <v>53876349.590000004</v>
          </cell>
          <cell r="AL120" t="str">
            <v>Construcción de la celda V y primera fase del equipamiento de la planta de separación y alta compactación para el relleno sanitario Picachos del municipio de Zapopan, Jalisco.</v>
          </cell>
          <cell r="AM120">
            <v>42705</v>
          </cell>
          <cell r="AN120">
            <v>42735</v>
          </cell>
          <cell r="AS120" t="str">
            <v>Relleno Sanitario de Picachos</v>
          </cell>
        </row>
        <row r="121">
          <cell r="D121" t="str">
            <v>DOPI-EST-FC-IS-LP-195-2016</v>
          </cell>
          <cell r="T121" t="str">
            <v>Luis Armando</v>
          </cell>
          <cell r="U121" t="str">
            <v>Linares</v>
          </cell>
          <cell r="V121" t="str">
            <v>Cacho</v>
          </cell>
          <cell r="W121" t="str">
            <v>Urbanizadora y Constructora Roal, S.A. de C.V.</v>
          </cell>
          <cell r="X121" t="str">
            <v>URC160310857</v>
          </cell>
          <cell r="AD121">
            <v>42726</v>
          </cell>
          <cell r="AG121">
            <v>4495293.74</v>
          </cell>
          <cell r="AL121" t="str">
            <v>Rehabilitación de Cruz Verde Federalismo, Municipio de Zapopan, Jalisco.</v>
          </cell>
          <cell r="AM121">
            <v>42727</v>
          </cell>
          <cell r="AN121">
            <v>42816</v>
          </cell>
          <cell r="AS121" t="str">
            <v>Colonia Auditorio</v>
          </cell>
        </row>
        <row r="122">
          <cell r="D122" t="str">
            <v>DOPI-EST-CR-IM-LP-196-2016</v>
          </cell>
          <cell r="T122" t="str">
            <v>José Antonio</v>
          </cell>
          <cell r="U122" t="str">
            <v>Álvarez</v>
          </cell>
          <cell r="V122" t="str">
            <v>García</v>
          </cell>
          <cell r="W122" t="str">
            <v>Urcoma 1970, S.A. de C.V.</v>
          </cell>
          <cell r="X122" t="str">
            <v>UMN160125869</v>
          </cell>
          <cell r="AD122">
            <v>42726</v>
          </cell>
          <cell r="AG122">
            <v>14395555.26</v>
          </cell>
          <cell r="AL122" t="str">
            <v>Construcción del Centro Cultural en Villa de Guadalupe.</v>
          </cell>
          <cell r="AM122">
            <v>42727</v>
          </cell>
          <cell r="AN122">
            <v>42846</v>
          </cell>
          <cell r="AS122" t="str">
            <v>Colonia Villa de Guadalupe</v>
          </cell>
        </row>
        <row r="123">
          <cell r="D123" t="str">
            <v>DOPI‐MUN‐PP‐EP‐CI‐198‐2016</v>
          </cell>
          <cell r="T123" t="str">
            <v>Amalia</v>
          </cell>
          <cell r="U123" t="str">
            <v>Moreno</v>
          </cell>
          <cell r="V123" t="str">
            <v>Maldonado</v>
          </cell>
          <cell r="W123" t="str">
            <v>Grupo Constructor los Muros, S.A. de C.V.</v>
          </cell>
          <cell r="X123" t="str">
            <v>GCM020226F28</v>
          </cell>
          <cell r="AD123">
            <v>42727</v>
          </cell>
          <cell r="AG123">
            <v>8110239.25</v>
          </cell>
          <cell r="AL123" t="str">
            <v>Mejoramiento de la imagen urbana de la plaza pública de localidad de Tesistán municipio de Zapopan, Jalisco.</v>
          </cell>
          <cell r="AM123">
            <v>42730</v>
          </cell>
          <cell r="AN123">
            <v>42831</v>
          </cell>
          <cell r="AS123" t="str">
            <v>Localidad de Tesistán</v>
          </cell>
        </row>
        <row r="124">
          <cell r="D124" t="str">
            <v>DOPI‐MUN‐PP‐IS‐LP‐199‐2016</v>
          </cell>
          <cell r="T124" t="str">
            <v>Ernesto</v>
          </cell>
          <cell r="U124" t="str">
            <v>Olivares</v>
          </cell>
          <cell r="V124" t="str">
            <v>Álvarez</v>
          </cell>
          <cell r="W124" t="str">
            <v>Servicios Metropolitanos de Jalisco, S.A. de C.V.</v>
          </cell>
          <cell r="X124" t="str">
            <v>SMJ090317FS9</v>
          </cell>
          <cell r="AD124">
            <v>42754</v>
          </cell>
          <cell r="AG124">
            <v>28125202.050000001</v>
          </cell>
          <cell r="AL124" t="str">
            <v>Construcción de la cruz verde Villa de Guadalupe, en la zona de las mesas, municipio de Zapopan, Jalisco.</v>
          </cell>
          <cell r="AM124">
            <v>42755</v>
          </cell>
          <cell r="AN124">
            <v>42874</v>
          </cell>
          <cell r="AS124" t="str">
            <v>Zona de Las Mesas</v>
          </cell>
        </row>
        <row r="125">
          <cell r="D125" t="str">
            <v>DOPI-MUN-PP-ID-CI-200-2016</v>
          </cell>
          <cell r="T125" t="str">
            <v>Carlos Alberto</v>
          </cell>
          <cell r="U125" t="str">
            <v>Villaseñor</v>
          </cell>
          <cell r="V125" t="str">
            <v>Núñez</v>
          </cell>
          <cell r="W125" t="str">
            <v>MTQ de México, S.A. de C.V.</v>
          </cell>
          <cell r="X125" t="str">
            <v>MME011214IV5</v>
          </cell>
          <cell r="AD125">
            <v>42727</v>
          </cell>
          <cell r="AG125">
            <v>6502584.6699999999</v>
          </cell>
          <cell r="AL125" t="str">
            <v>Rehabilitación de las instalaciones y equipamiento deportivo de la Unidad Deportiva Lomas de Tabachines, municipio de Zapopan, Jalisco.</v>
          </cell>
          <cell r="AM125">
            <v>42730</v>
          </cell>
          <cell r="AN125">
            <v>42820</v>
          </cell>
          <cell r="AS125" t="str">
            <v>Colonia Lomas de Tabachines</v>
          </cell>
        </row>
        <row r="126">
          <cell r="D126" t="str">
            <v>DOPI-MUN-RM-ID-CI-201-2016</v>
          </cell>
          <cell r="T126" t="str">
            <v>Juan José</v>
          </cell>
          <cell r="U126" t="str">
            <v>Gutiérrez</v>
          </cell>
          <cell r="V126" t="str">
            <v>Contreras</v>
          </cell>
          <cell r="W126" t="str">
            <v>Rencoist Construcciones, S.A. de C.V.</v>
          </cell>
          <cell r="X126" t="str">
            <v>RCO130920JX9</v>
          </cell>
          <cell r="AD126">
            <v>42727</v>
          </cell>
          <cell r="AG126">
            <v>7474586.25</v>
          </cell>
          <cell r="AL126" t="str">
            <v>Rehabilitación de las instalaciones y equipamiento deportivo de la Unidad Deportiva Santa María del Pueblito, municipio de Zapopan, Jalisco.</v>
          </cell>
          <cell r="AM126">
            <v>42730</v>
          </cell>
          <cell r="AN126">
            <v>42850</v>
          </cell>
          <cell r="AS126" t="str">
            <v>Colonia Santa Maria del Pueblito</v>
          </cell>
        </row>
        <row r="127">
          <cell r="D127" t="str">
            <v>DOPI-EST-CM-PAV-LP-202-2016</v>
          </cell>
          <cell r="T127" t="str">
            <v>Ignacio Javier</v>
          </cell>
          <cell r="U127" t="str">
            <v>Curiel</v>
          </cell>
          <cell r="V127" t="str">
            <v>Dueñas</v>
          </cell>
          <cell r="W127" t="str">
            <v>TC Construcción y Mantenimiento, S.A. de C.V.</v>
          </cell>
          <cell r="X127" t="str">
            <v>TCM100915HA1</v>
          </cell>
          <cell r="AD127">
            <v>42754</v>
          </cell>
          <cell r="AG127">
            <v>16710004.48</v>
          </cell>
          <cell r="AL127" t="str">
            <v>Renovación urbana en área habitacional y de zona comercial del Andador 20 de Noviembre en el Centro de Zapopan, Jalisco.</v>
          </cell>
          <cell r="AM127">
            <v>42755</v>
          </cell>
          <cell r="AN127">
            <v>42834</v>
          </cell>
          <cell r="AS127" t="str">
            <v>Zapopan Centro</v>
          </cell>
        </row>
        <row r="128">
          <cell r="D128" t="str">
            <v>DOPI-EST-CM-PAV-LP-203-2016</v>
          </cell>
          <cell r="T128" t="str">
            <v>Felipe Daniel</v>
          </cell>
          <cell r="U128" t="str">
            <v>Nuñez</v>
          </cell>
          <cell r="V128" t="str">
            <v>Hernández</v>
          </cell>
          <cell r="W128" t="str">
            <v>Grupo Constructor Felca, S.A. de C.V.</v>
          </cell>
          <cell r="X128" t="str">
            <v>GCF8504255B8</v>
          </cell>
          <cell r="AD128">
            <v>42754</v>
          </cell>
          <cell r="AG128">
            <v>12580210.390000001</v>
          </cell>
          <cell r="AL128" t="str">
            <v>Renovación urbana de área habitacional y de zona comercial de laterales de Av. Aviación, del tramo de Juan Gil Preciado a Camino Antiguo a Tesistán, en Zapopan, Jalisco.</v>
          </cell>
          <cell r="AM128">
            <v>42755</v>
          </cell>
          <cell r="AN128">
            <v>42834</v>
          </cell>
          <cell r="AS128" t="str">
            <v>Col. Nuevo México</v>
          </cell>
        </row>
        <row r="129">
          <cell r="D129" t="str">
            <v>DOPI-EST-CM-PAV-LP-204-2016</v>
          </cell>
          <cell r="T129" t="str">
            <v>Andrés Eduardo</v>
          </cell>
          <cell r="U129" t="str">
            <v>Aceves</v>
          </cell>
          <cell r="V129" t="str">
            <v>Castañeda</v>
          </cell>
          <cell r="W129" t="str">
            <v>Secri Constructora, S.A. de C.V.</v>
          </cell>
          <cell r="X129" t="str">
            <v>SCO100609EVA</v>
          </cell>
          <cell r="AD129">
            <v>42754</v>
          </cell>
          <cell r="AG129">
            <v>44287096.670000002</v>
          </cell>
          <cell r="AL129" t="str">
            <v>Renovación urbana de área habitacional y de zona comercial de Av. Aviación, del tramo del Ingreso de Base Aérea No. 2 a Camino Antiguo a Tesistán, en Zapopan, Jalisco.</v>
          </cell>
          <cell r="AM129">
            <v>42755</v>
          </cell>
          <cell r="AN129">
            <v>42834</v>
          </cell>
          <cell r="AS129" t="str">
            <v>Col. Nuevo México</v>
          </cell>
        </row>
        <row r="130">
          <cell r="D130" t="str">
            <v>DOPI-EST-CM-PAV-LP-205-2016</v>
          </cell>
          <cell r="T130" t="str">
            <v>Mario</v>
          </cell>
          <cell r="U130" t="str">
            <v>Beltrán</v>
          </cell>
          <cell r="V130" t="str">
            <v>Rodríguez</v>
          </cell>
          <cell r="W130" t="str">
            <v xml:space="preserve">Constructora y Desarrolladora Barba y Asociados, S. A. de C. V. </v>
          </cell>
          <cell r="X130" t="str">
            <v>CDB0506068Z4</v>
          </cell>
          <cell r="AD130">
            <v>42754</v>
          </cell>
          <cell r="AG130">
            <v>18744083.59</v>
          </cell>
          <cell r="AL130" t="str">
            <v>Renovación urbana de área habitacional de lateral Poniente de Periférico, de Prolongación Av. Central Guillermo González Camarena a Calle 5 de Mayo (incluye puente peatonal sobre Periférico), para la interconexión comercial a Calle 5 de Mayo, Andares, Av. Aviación, Zona Real y Av. Vallarta, en Zapopan, Jalisco.</v>
          </cell>
          <cell r="AM130">
            <v>42755</v>
          </cell>
          <cell r="AN130">
            <v>42834</v>
          </cell>
          <cell r="AS130" t="str">
            <v>Col. San Juan de Ocotán</v>
          </cell>
        </row>
        <row r="131">
          <cell r="D131" t="str">
            <v>DOPI-MUN-RM-ID-CI-206-2016</v>
          </cell>
          <cell r="T131" t="str">
            <v>Apolinar</v>
          </cell>
          <cell r="U131" t="str">
            <v>Gómez</v>
          </cell>
          <cell r="V131" t="str">
            <v>Alonso</v>
          </cell>
          <cell r="W131" t="str">
            <v>Edificaciones y Transformaciones Técnicas, S.A. de C.V.</v>
          </cell>
          <cell r="X131" t="str">
            <v>ETT9302049B2</v>
          </cell>
          <cell r="AD131">
            <v>42727</v>
          </cell>
          <cell r="AG131">
            <v>7998190.21</v>
          </cell>
          <cell r="AL131" t="str">
            <v>Rehabilitación de las instalaciones y equipamiento deportivo de la Unidad Deportiva Miguel de la Madrid, municipio de Zapopan, Jalisco.</v>
          </cell>
          <cell r="AM131">
            <v>42730</v>
          </cell>
          <cell r="AN131">
            <v>42850</v>
          </cell>
          <cell r="AS131" t="str">
            <v>Colonia Miguel de la Madrid</v>
          </cell>
        </row>
        <row r="132">
          <cell r="D132" t="str">
            <v>DOPI-MUN-RM-ID-CI-207-2016</v>
          </cell>
          <cell r="T132" t="str">
            <v xml:space="preserve">Leobardo </v>
          </cell>
          <cell r="U132" t="str">
            <v>Preciado</v>
          </cell>
          <cell r="V132" t="str">
            <v>Zepeda</v>
          </cell>
          <cell r="W132" t="str">
            <v>Consorcio Constructor Adobes, S. A. de C. V.</v>
          </cell>
          <cell r="X132" t="str">
            <v>CCA971126QC9</v>
          </cell>
          <cell r="AD132">
            <v>42727</v>
          </cell>
          <cell r="AG132">
            <v>7900442.7599999998</v>
          </cell>
          <cell r="AL132" t="str">
            <v>Rehabilitación de las instalaciones y equipamiento deportivo de la Unidad Deportiva Villas de Guadalupe, municipio de Zapopan, Jalisco.</v>
          </cell>
          <cell r="AM132">
            <v>42730</v>
          </cell>
          <cell r="AN132">
            <v>42850</v>
          </cell>
          <cell r="AS132" t="str">
            <v>Colonia Villa de Guadalupe</v>
          </cell>
        </row>
        <row r="133">
          <cell r="D133" t="str">
            <v>DOPI-MUN-RM-ID-CI-208-2016</v>
          </cell>
          <cell r="T133" t="str">
            <v>David</v>
          </cell>
          <cell r="U133" t="str">
            <v>Hernández</v>
          </cell>
          <cell r="V133" t="str">
            <v>Flores</v>
          </cell>
          <cell r="W133" t="str">
            <v>Constructora San Sebastián, S.A. de C.V.</v>
          </cell>
          <cell r="X133" t="str">
            <v>CSS8303089S9</v>
          </cell>
          <cell r="AD133">
            <v>42727</v>
          </cell>
          <cell r="AG133">
            <v>7996437.3600000003</v>
          </cell>
          <cell r="AL133" t="str">
            <v>Rehabilitación de las instalaciones y equipamiento deportivo de la Unidad Deportiva Santa Margarita, municipio de Zapopan, Jalisco.</v>
          </cell>
          <cell r="AM133">
            <v>42730</v>
          </cell>
          <cell r="AN133">
            <v>42850</v>
          </cell>
          <cell r="AS133" t="str">
            <v>Colonia Santa Margarita</v>
          </cell>
        </row>
        <row r="134">
          <cell r="D134" t="str">
            <v>DOPI-MUN-RM-PAV-CI-209-2016</v>
          </cell>
          <cell r="T134" t="str">
            <v>Jorge Alfredo</v>
          </cell>
          <cell r="U134" t="str">
            <v>Ochoa</v>
          </cell>
          <cell r="V134" t="str">
            <v>González</v>
          </cell>
          <cell r="W134" t="str">
            <v>Aedificant, S.A. de C.V.</v>
          </cell>
          <cell r="X134" t="str">
            <v>AED890925181</v>
          </cell>
          <cell r="AD134">
            <v>42727</v>
          </cell>
          <cell r="AG134">
            <v>5570941.0800000001</v>
          </cell>
          <cell r="AL134" t="str">
            <v>Construcción de pavimento de concreto hidráulico MR-45 y jardinería, en la Glorieta Venustiano Carranza en la colonia Constitución, municipio de Zapopan, Jalisco</v>
          </cell>
          <cell r="AM134">
            <v>42730</v>
          </cell>
          <cell r="AN134">
            <v>42762</v>
          </cell>
          <cell r="AS134" t="str">
            <v>Colonia Constitución</v>
          </cell>
        </row>
        <row r="135">
          <cell r="D135" t="str">
            <v>DOPI-MUN-RM-PAV-CI-210-2016</v>
          </cell>
          <cell r="T135" t="str">
            <v>Elvia Alejandra</v>
          </cell>
          <cell r="U135" t="str">
            <v>Torres</v>
          </cell>
          <cell r="V135" t="str">
            <v>Villa</v>
          </cell>
          <cell r="W135" t="str">
            <v>Procourza, S.A. de C.V.</v>
          </cell>
          <cell r="X135" t="str">
            <v>PRO0205208F2</v>
          </cell>
          <cell r="AD135">
            <v>42727</v>
          </cell>
          <cell r="AG135">
            <v>7995338.8700000001</v>
          </cell>
          <cell r="AL135" t="str">
            <v>Construcción de pavimento de concreto hidráulico, red de agua potable, alcantarillado sanitario, alumbrado público, banquetas, señalamiento vertical y horizontal, de la Prol. Laureles de Av. Del Rodeo a Periférico Norte Manuel Gómez Morín, municipio de Zapopan, Jalisco.</v>
          </cell>
          <cell r="AM135">
            <v>42730</v>
          </cell>
          <cell r="AN135">
            <v>42820</v>
          </cell>
          <cell r="AS135" t="str">
            <v>Colonia Belenes Norte</v>
          </cell>
        </row>
        <row r="136">
          <cell r="D136" t="str">
            <v>DOPI-MUN-RM-AP-CI-211-2016</v>
          </cell>
          <cell r="T136" t="str">
            <v>Rosalba Edilia</v>
          </cell>
          <cell r="U136" t="str">
            <v>Sandoval</v>
          </cell>
          <cell r="V136" t="str">
            <v>Huizar</v>
          </cell>
          <cell r="W136" t="str">
            <v>Infraestructura San Miguel, S.A. de C.V.</v>
          </cell>
          <cell r="X136" t="str">
            <v>ISM0112209Y5</v>
          </cell>
          <cell r="AD136">
            <v>42727</v>
          </cell>
          <cell r="AG136">
            <v>2591650.5499999998</v>
          </cell>
          <cell r="AL136" t="str">
            <v>Construcción de línea de agua potable, drenaje sanitario, preparación para instalaciones de Telmex y CFE, pozos de absorción, en la Glorieta Venustiano Carranza en la colonia Constitución, municipio de Zapopan, Jalisco</v>
          </cell>
          <cell r="AM136">
            <v>42730</v>
          </cell>
          <cell r="AN136">
            <v>42760</v>
          </cell>
          <cell r="AS136" t="str">
            <v>Colonia Constitución</v>
          </cell>
        </row>
        <row r="137">
          <cell r="D137" t="str">
            <v>DOPI-FED-HAB-PAV-CI-214-2016</v>
          </cell>
          <cell r="T137" t="str">
            <v>Miguel Ángel</v>
          </cell>
          <cell r="U137" t="str">
            <v>Romero</v>
          </cell>
          <cell r="V137" t="str">
            <v>Lugo</v>
          </cell>
          <cell r="W137" t="str">
            <v>Obras y Comercialización de la Construcción, S.A. de C.V.</v>
          </cell>
          <cell r="X137" t="str">
            <v>OCC940714PB0</v>
          </cell>
          <cell r="AD137">
            <v>42717</v>
          </cell>
          <cell r="AG137">
            <v>6282745.2800000003</v>
          </cell>
          <cell r="AL137" t="str">
            <v>Pavimentación de concreto hidráulico en la calle Casiano Torres Poniente, municipio de Zapopan, Jalisco.</v>
          </cell>
          <cell r="AM137">
            <v>42718</v>
          </cell>
          <cell r="AN137">
            <v>42735</v>
          </cell>
          <cell r="AS137" t="str">
            <v>Colonia Vista Hermosa</v>
          </cell>
        </row>
        <row r="138">
          <cell r="D138" t="str">
            <v>DOPI-MUN-RM-IM-CI-225-2016</v>
          </cell>
          <cell r="T138" t="str">
            <v>Edgardo</v>
          </cell>
          <cell r="U138" t="str">
            <v>Zúñiga</v>
          </cell>
          <cell r="V138" t="str">
            <v>Beristaín</v>
          </cell>
          <cell r="W138" t="str">
            <v>Proyección Integral Zure, S.A. de C.V.</v>
          </cell>
          <cell r="X138" t="str">
            <v>PIZ070717DX6</v>
          </cell>
          <cell r="AD138">
            <v>42727</v>
          </cell>
          <cell r="AG138">
            <v>2484449.75</v>
          </cell>
          <cell r="AL138" t="str">
            <v>Rehabilitación de la Unidad Administrativa Las Águilas (cubierta, pintura, instalaciones eléctricas, instalaciones hidráulicas, nave central, impermeabilización, accesibilidad, baños, puertas de acceso principal) Frente 2</v>
          </cell>
          <cell r="AM138">
            <v>42730</v>
          </cell>
          <cell r="AN138">
            <v>42820</v>
          </cell>
        </row>
        <row r="139">
          <cell r="D139" t="str">
            <v>DOPI-MUN-RM-MOV-CI-226-2016</v>
          </cell>
          <cell r="T139" t="str">
            <v>Bernardo</v>
          </cell>
          <cell r="U139" t="str">
            <v>Saenz</v>
          </cell>
          <cell r="V139" t="str">
            <v>Barba</v>
          </cell>
          <cell r="W139" t="str">
            <v>Grupo Edificador Mayab, S.A. de C.V.</v>
          </cell>
          <cell r="X139" t="str">
            <v>GEM070112PX8</v>
          </cell>
          <cell r="AD139">
            <v>42727</v>
          </cell>
          <cell r="AG139">
            <v>3949999.31</v>
          </cell>
          <cell r="AL139" t="str">
            <v>Rehabilitación de ciclovía Santa Margarita e iluminación, municipio de Zapopan, Jalisco.</v>
          </cell>
          <cell r="AM139">
            <v>42730</v>
          </cell>
          <cell r="AN139">
            <v>42820</v>
          </cell>
        </row>
        <row r="140">
          <cell r="B140" t="str">
            <v>Licitación por Invitación Restringida</v>
          </cell>
          <cell r="D140" t="str">
            <v>DOPI-MUN-R33-AP-CI-228-2016</v>
          </cell>
          <cell r="T140" t="str">
            <v>Karla Mariana</v>
          </cell>
          <cell r="U140" t="str">
            <v>Méndez</v>
          </cell>
          <cell r="V140" t="str">
            <v>Rodríguez</v>
          </cell>
          <cell r="W140" t="str">
            <v>Grupo la Fuente, S.A. de C.V.</v>
          </cell>
          <cell r="X140" t="str">
            <v>GFU021009BC1</v>
          </cell>
          <cell r="AD140">
            <v>42727</v>
          </cell>
          <cell r="AG140">
            <v>6196741.5800000001</v>
          </cell>
          <cell r="AL140" t="str">
            <v xml:space="preserve">Perforación y equipamiento de pozo en la localidad de Los Patios, en el municipio de Zapopan, Jalisco. </v>
          </cell>
          <cell r="AM140">
            <v>42730</v>
          </cell>
          <cell r="AN140">
            <v>42850</v>
          </cell>
          <cell r="AS140" t="str">
            <v>Localidad Los Patios</v>
          </cell>
        </row>
        <row r="141">
          <cell r="B141" t="str">
            <v>Licitación por Invitación Restringida</v>
          </cell>
          <cell r="D141" t="str">
            <v>DOPI-MUN-R33-AP-CI-229-2016</v>
          </cell>
          <cell r="T141" t="str">
            <v>José Antonio</v>
          </cell>
          <cell r="U141" t="str">
            <v>Álvarez</v>
          </cell>
          <cell r="V141" t="str">
            <v>García</v>
          </cell>
          <cell r="W141" t="str">
            <v>Urcoma 1970, S.A. de C.V.</v>
          </cell>
          <cell r="X141" t="str">
            <v>UMN160125869</v>
          </cell>
          <cell r="AD141">
            <v>42727</v>
          </cell>
          <cell r="AG141">
            <v>3453426.13</v>
          </cell>
          <cell r="AL141" t="str">
            <v>Construcción de línea de conducción de agua potable de 3" de tubería galvanizada, en la localidad San José, en el municipio de Zapopan, Jalisco.</v>
          </cell>
          <cell r="AM141">
            <v>42730</v>
          </cell>
          <cell r="AN141">
            <v>42850</v>
          </cell>
          <cell r="AS141" t="str">
            <v>Localidad San José</v>
          </cell>
        </row>
        <row r="142">
          <cell r="B142" t="str">
            <v>Licitación por Invitación Restringida</v>
          </cell>
          <cell r="D142" t="str">
            <v>DOPI-MUN-R33-AP-CI-230-2016</v>
          </cell>
          <cell r="T142" t="str">
            <v>Ernesto</v>
          </cell>
          <cell r="U142" t="str">
            <v>Zamora</v>
          </cell>
          <cell r="V142" t="str">
            <v>Corona</v>
          </cell>
          <cell r="W142" t="str">
            <v>Keops Ingenieria y Construccion, S.A. de C.V.</v>
          </cell>
          <cell r="X142" t="str">
            <v>KIC040617JIA</v>
          </cell>
          <cell r="AD142">
            <v>42727</v>
          </cell>
          <cell r="AG142">
            <v>1996402.43</v>
          </cell>
          <cell r="AL142" t="str">
            <v>Construcción de línea de agua potable en la Carretera a San Esteban de Carretera a Saltillo a calle Norte, en la localidad de San Isidro, en el municipio de Zapopan, Jalisco.</v>
          </cell>
          <cell r="AM142">
            <v>42730</v>
          </cell>
          <cell r="AN142">
            <v>42820</v>
          </cell>
          <cell r="AS142" t="str">
            <v>Localidad San Isidro</v>
          </cell>
        </row>
        <row r="143">
          <cell r="B143" t="str">
            <v>Licitación por Invitación Restringida</v>
          </cell>
          <cell r="D143" t="str">
            <v>DOPI-MUN-R33-AP-CI-231-2016</v>
          </cell>
          <cell r="T143" t="str">
            <v>Adalberto</v>
          </cell>
          <cell r="U143" t="str">
            <v>Medina</v>
          </cell>
          <cell r="V143" t="str">
            <v>Morales</v>
          </cell>
          <cell r="W143" t="str">
            <v>Urdem, S.A. de C.V.</v>
          </cell>
          <cell r="X143" t="str">
            <v>URD130830U21</v>
          </cell>
          <cell r="AD143">
            <v>42727</v>
          </cell>
          <cell r="AG143">
            <v>3589467.88</v>
          </cell>
          <cell r="AL143" t="str">
            <v>Construcción de la primera etapa de línea de agua potable en la colonia Colinas del Rio, en el municipio de Zapopan, Jalisco.</v>
          </cell>
          <cell r="AM143">
            <v>42730</v>
          </cell>
          <cell r="AN143">
            <v>42850</v>
          </cell>
          <cell r="AS143" t="str">
            <v>Colonia Colinas del Rio</v>
          </cell>
        </row>
        <row r="144">
          <cell r="B144" t="str">
            <v>Licitación por Invitación Restringida</v>
          </cell>
          <cell r="D144" t="str">
            <v>DOPI-MUN-R33-PAV-CI-232-2016</v>
          </cell>
          <cell r="T144" t="str">
            <v>Edwin</v>
          </cell>
          <cell r="U144" t="str">
            <v>Aguiar</v>
          </cell>
          <cell r="V144" t="str">
            <v>Escatel</v>
          </cell>
          <cell r="W144" t="str">
            <v>Manjarrez Urbanizaciones, S.A. de C.V.</v>
          </cell>
          <cell r="X144" t="str">
            <v>MUR090325P33</v>
          </cell>
          <cell r="AD144">
            <v>42727</v>
          </cell>
          <cell r="AG144">
            <v>3867999.72</v>
          </cell>
          <cell r="AL144" t="str">
            <v>Pavimentación con concreto hidráulico, línea de agua potable, drenaje sanitario y alumbrado público, en la calle Abel Salgado, de Carretera a Saltillo a calle Ojo de Agua, en la colonia Agua Fría, municipio de Zapopan Jalisco, frente 1.</v>
          </cell>
          <cell r="AM144">
            <v>42730</v>
          </cell>
          <cell r="AN144">
            <v>42880</v>
          </cell>
          <cell r="AS144" t="str">
            <v>Colonia Agua Fria</v>
          </cell>
        </row>
        <row r="145">
          <cell r="B145" t="str">
            <v>Licitación por Invitación Restringida</v>
          </cell>
          <cell r="D145" t="str">
            <v>DOPI-MUN-R33-PAV-CI-233-2016</v>
          </cell>
          <cell r="T145" t="str">
            <v>Clarissa Gabriela</v>
          </cell>
          <cell r="U145" t="str">
            <v>Valdez</v>
          </cell>
          <cell r="V145" t="str">
            <v>Manjarrez</v>
          </cell>
          <cell r="W145" t="str">
            <v>Tekton Grupo Empresarial, S.A. de C.V.</v>
          </cell>
          <cell r="X145" t="str">
            <v>TGE101215JI6</v>
          </cell>
          <cell r="AD145">
            <v>42727</v>
          </cell>
          <cell r="AG145">
            <v>3638106.52</v>
          </cell>
          <cell r="AL145" t="str">
            <v>Pavimentación con concreto hidráulico, línea de agua potable, drenaje sanitario y alumbrado público,  en la calle Abel Salgado, de Carretera a Saltillo a calle Ojo de Agua, en la colonia Agua Fría, municipio de Zapopan Jalisco, frente 2.</v>
          </cell>
          <cell r="AM145">
            <v>42730</v>
          </cell>
          <cell r="AN145">
            <v>42880</v>
          </cell>
          <cell r="AS145" t="str">
            <v>Colonia Agua Fria</v>
          </cell>
        </row>
        <row r="146">
          <cell r="B146" t="str">
            <v>Licitación por Invitación Restringida</v>
          </cell>
          <cell r="D146" t="str">
            <v>DOPI-MUN-R33-PAV-CI-238-2016</v>
          </cell>
          <cell r="T146" t="str">
            <v>Hugo Armando</v>
          </cell>
          <cell r="U146" t="str">
            <v>Prieto</v>
          </cell>
          <cell r="V146" t="str">
            <v>Jiménez</v>
          </cell>
          <cell r="W146" t="str">
            <v>Constructora Rural del Pais, S.A. de C.V.</v>
          </cell>
          <cell r="X146" t="str">
            <v>CRP870708I62</v>
          </cell>
          <cell r="AD146">
            <v>42727</v>
          </cell>
          <cell r="AG146">
            <v>2216780.09</v>
          </cell>
          <cell r="AL146" t="str">
            <v>Pavimentación con empedrado zampeado en la calle Mármol, de calle Cantera al arroyo y calle Obsidiana, de calle Opalo a calle Coral, en la colonia Pedregal de Zapopan (Loma el Pedregal), en Zapopan, Jalisco</v>
          </cell>
          <cell r="AM146">
            <v>42730</v>
          </cell>
          <cell r="AN146">
            <v>42880</v>
          </cell>
          <cell r="AS146" t="str">
            <v>Colonia Loma el Pedregal</v>
          </cell>
        </row>
      </sheetData>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zapopan.gob.mx/wp-content/uploads/2017/02/DOPI_MUN_RP_PAV_LP_025_16.pdf" TargetMode="External"/><Relationship Id="rId13" Type="http://schemas.openxmlformats.org/officeDocument/2006/relationships/hyperlink" Target="http://www.zapopan.gob.mx/wp-content/uploads/2016/11/DOPI_MUN_RP_EP_AD_028_16.pdf" TargetMode="External"/><Relationship Id="rId18" Type="http://schemas.openxmlformats.org/officeDocument/2006/relationships/hyperlink" Target="http://www.zapopan.gob.mx/wp-content/uploads/2017/01/015_16.pdf" TargetMode="External"/><Relationship Id="rId26" Type="http://schemas.openxmlformats.org/officeDocument/2006/relationships/hyperlink" Target="http://www.zapopan.gob.mx/wp-content/uploads/2017/05/Contrato_033_2016.pdf" TargetMode="External"/><Relationship Id="rId39" Type="http://schemas.openxmlformats.org/officeDocument/2006/relationships/hyperlink" Target="http://www.zapopan.gob.mx/wp-content/uploads/2017/06/DOPI_232_2015.pdf" TargetMode="External"/><Relationship Id="rId3" Type="http://schemas.openxmlformats.org/officeDocument/2006/relationships/hyperlink" Target="http://www.zapopan.gob.mx/wp-content/uploads/2017/01/021_16.pdf" TargetMode="External"/><Relationship Id="rId21" Type="http://schemas.openxmlformats.org/officeDocument/2006/relationships/hyperlink" Target="http://www.zapopan.gob.mx/wp-content/uploads/2017/05/Contrato_020_2016-1.pdf" TargetMode="External"/><Relationship Id="rId34" Type="http://schemas.openxmlformats.org/officeDocument/2006/relationships/hyperlink" Target="http://www.zapopan.gob.mx/wp-content/uploads/2017/06/DOPI_105_2016.pdf" TargetMode="External"/><Relationship Id="rId42" Type="http://schemas.openxmlformats.org/officeDocument/2006/relationships/hyperlink" Target="http://www.zapopan.gob.mx/wp-content/uploads/2017/06/DOPI_239_2015.pdf" TargetMode="External"/><Relationship Id="rId47" Type="http://schemas.openxmlformats.org/officeDocument/2006/relationships/drawing" Target="../drawings/drawing1.xml"/><Relationship Id="rId7" Type="http://schemas.openxmlformats.org/officeDocument/2006/relationships/hyperlink" Target="http://www.zapopan.gob.mx/wp-content/uploads/2017/02/DOPI_MUN_RP_PAV_LP_026_16.pdf" TargetMode="External"/><Relationship Id="rId12" Type="http://schemas.openxmlformats.org/officeDocument/2006/relationships/hyperlink" Target="http://www.zapopan.gob.mx/wp-content/uploads/2017/01/028_16.pdf" TargetMode="External"/><Relationship Id="rId17" Type="http://schemas.openxmlformats.org/officeDocument/2006/relationships/hyperlink" Target="http://www.zapopan.gob.mx/wp-content/uploads/2017/05/Contrato_015_2016.pdf" TargetMode="External"/><Relationship Id="rId25" Type="http://schemas.openxmlformats.org/officeDocument/2006/relationships/hyperlink" Target="http://www.zapopan.gob.mx/wp-content/uploads/2017/05/Contrato_030_2016.pdf" TargetMode="External"/><Relationship Id="rId33" Type="http://schemas.openxmlformats.org/officeDocument/2006/relationships/hyperlink" Target="http://www.zapopan.gob.mx/wp-content/uploads/2017/06/DOPI_102_2016.pdf" TargetMode="External"/><Relationship Id="rId38" Type="http://schemas.openxmlformats.org/officeDocument/2006/relationships/hyperlink" Target="http://www.zapopan.gob.mx/wp-content/uploads/2017/06/DOPI_231_2015.pdf" TargetMode="External"/><Relationship Id="rId46" Type="http://schemas.openxmlformats.org/officeDocument/2006/relationships/printerSettings" Target="../printerSettings/printerSettings1.bin"/><Relationship Id="rId2" Type="http://schemas.openxmlformats.org/officeDocument/2006/relationships/hyperlink" Target="http://www.zapopan.gob.mx/wp-content/uploads/2017/02/DOPI_MUN_RP_PROY_CI_017_16.pdf" TargetMode="External"/><Relationship Id="rId16" Type="http://schemas.openxmlformats.org/officeDocument/2006/relationships/hyperlink" Target="http://www.zapopan.gob.mx/wp-content/uploads/2017/05/Contrato_007_2016.pdf" TargetMode="External"/><Relationship Id="rId20" Type="http://schemas.openxmlformats.org/officeDocument/2006/relationships/hyperlink" Target="http://www.zapopan.gob.mx/wp-content/uploads/2017/05/Contrato_019_2016.pdf" TargetMode="External"/><Relationship Id="rId29" Type="http://schemas.openxmlformats.org/officeDocument/2006/relationships/hyperlink" Target="http://www.zapopan.gob.mx/wp-content/uploads/2017/05/Contrato_108_2016.pdf" TargetMode="External"/><Relationship Id="rId41" Type="http://schemas.openxmlformats.org/officeDocument/2006/relationships/hyperlink" Target="http://www.zapopan.gob.mx/wp-content/uploads/2017/06/DOPI_237_2015.pdf" TargetMode="External"/><Relationship Id="rId1" Type="http://schemas.openxmlformats.org/officeDocument/2006/relationships/hyperlink" Target="http://www.zapopan.gob.mx/wp-content/uploads/2017/01/015_16.pdf" TargetMode="External"/><Relationship Id="rId6" Type="http://schemas.openxmlformats.org/officeDocument/2006/relationships/hyperlink" Target="http://www.zapopan.gob.mx/wp-content/uploads/2017/02/DOPI_MUN_RP_PAV_LP_025_16.pdf" TargetMode="External"/><Relationship Id="rId11" Type="http://schemas.openxmlformats.org/officeDocument/2006/relationships/hyperlink" Target="http://www.zapopan.gob.mx/wp-content/uploads/2016/11/DOPI_MUN_RP_EP_AD_027_16.pdf" TargetMode="External"/><Relationship Id="rId24" Type="http://schemas.openxmlformats.org/officeDocument/2006/relationships/hyperlink" Target="http://www.zapopan.gob.mx/wp-content/uploads/2017/05/Contrato_024_2016.pdf" TargetMode="External"/><Relationship Id="rId32" Type="http://schemas.openxmlformats.org/officeDocument/2006/relationships/hyperlink" Target="http://www.zapopan.gob.mx/wp-content/uploads/2017/06/DOPI_054_2016.pdf" TargetMode="External"/><Relationship Id="rId37" Type="http://schemas.openxmlformats.org/officeDocument/2006/relationships/hyperlink" Target="http://www.zapopan.gob.mx/wp-content/uploads/2017/06/DOPI_230_2015.pdf" TargetMode="External"/><Relationship Id="rId40" Type="http://schemas.openxmlformats.org/officeDocument/2006/relationships/hyperlink" Target="http://www.zapopan.gob.mx/wp-content/uploads/2017/06/DOPI_236_2015.pdf" TargetMode="External"/><Relationship Id="rId45" Type="http://schemas.openxmlformats.org/officeDocument/2006/relationships/hyperlink" Target="http://www.zapopan.gob.mx/wp-content/uploads/2017/06/DOPI_243_2015.pdf" TargetMode="External"/><Relationship Id="rId5" Type="http://schemas.openxmlformats.org/officeDocument/2006/relationships/hyperlink" Target="http://www.zapopan.gob.mx/wp-content/uploads/2017/02/DOPI_MUN_RP_PAV_LP_023_16.pdf" TargetMode="External"/><Relationship Id="rId15" Type="http://schemas.openxmlformats.org/officeDocument/2006/relationships/hyperlink" Target="http://www.zapopan.gob.mx/wp-content/uploads/2017/02/DOPI_MUN_RP_OC_AD_034_16.pdf" TargetMode="External"/><Relationship Id="rId23" Type="http://schemas.openxmlformats.org/officeDocument/2006/relationships/hyperlink" Target="http://www.zapopan.gob.mx/wp-content/uploads/2017/05/Contrato_022_2016.pdf" TargetMode="External"/><Relationship Id="rId28" Type="http://schemas.openxmlformats.org/officeDocument/2006/relationships/hyperlink" Target="http://www.zapopan.gob.mx/wp-content/uploads/2017/05/Contrato_064_2016.pdf" TargetMode="External"/><Relationship Id="rId36" Type="http://schemas.openxmlformats.org/officeDocument/2006/relationships/hyperlink" Target="http://www.zapopan.gob.mx/wp-content/uploads/2017/06/DOPI_119_2016.pdf" TargetMode="External"/><Relationship Id="rId10" Type="http://schemas.openxmlformats.org/officeDocument/2006/relationships/hyperlink" Target="http://www.zapopan.gob.mx/wp-content/uploads/2017/01/027_16.pdf" TargetMode="External"/><Relationship Id="rId19" Type="http://schemas.openxmlformats.org/officeDocument/2006/relationships/hyperlink" Target="http://www.zapopan.gob.mx/wp-content/uploads/2017/02/DOPI_MUN_RP_PROY_CI_017_16.pdf" TargetMode="External"/><Relationship Id="rId31" Type="http://schemas.openxmlformats.org/officeDocument/2006/relationships/hyperlink" Target="http://www.zapopan.gob.mx/wp-content/uploads/2017/06/DOPI_012_2016.pdf" TargetMode="External"/><Relationship Id="rId44" Type="http://schemas.openxmlformats.org/officeDocument/2006/relationships/hyperlink" Target="http://www.zapopan.gob.mx/wp-content/uploads/2017/06/DOPI_241_2015.pdf" TargetMode="External"/><Relationship Id="rId4" Type="http://schemas.openxmlformats.org/officeDocument/2006/relationships/hyperlink" Target="http://www.zapopan.gob.mx/wp-content/uploads/2017/02/DOPI_MUN_RP_PAV_LP_023_16.pdf" TargetMode="External"/><Relationship Id="rId9" Type="http://schemas.openxmlformats.org/officeDocument/2006/relationships/hyperlink" Target="http://www.zapopan.gob.mx/wp-content/uploads/2017/02/DOPI_MUN_RP_PAV_LP_026_16.pdf" TargetMode="External"/><Relationship Id="rId14" Type="http://schemas.openxmlformats.org/officeDocument/2006/relationships/hyperlink" Target="http://www.zapopan.gob.mx/wp-content/uploads/2017/02/DOPI_MUN_RP_OC_AD_034_16.pdf" TargetMode="External"/><Relationship Id="rId22" Type="http://schemas.openxmlformats.org/officeDocument/2006/relationships/hyperlink" Target="http://www.zapopan.gob.mx/wp-content/uploads/2017/01/021_16.pdf" TargetMode="External"/><Relationship Id="rId27" Type="http://schemas.openxmlformats.org/officeDocument/2006/relationships/hyperlink" Target="http://www.zapopan.gob.mx/wp-content/uploads/2017/05/Contrato_035_2016.pdf" TargetMode="External"/><Relationship Id="rId30" Type="http://schemas.openxmlformats.org/officeDocument/2006/relationships/hyperlink" Target="http://www.zapopan.gob.mx/wp-content/uploads/2017/06/DOPI_005_2016.pdf" TargetMode="External"/><Relationship Id="rId35" Type="http://schemas.openxmlformats.org/officeDocument/2006/relationships/hyperlink" Target="http://www.zapopan.gob.mx/wp-content/uploads/2017/06/DOPI_107_2016.pdf" TargetMode="External"/><Relationship Id="rId43" Type="http://schemas.openxmlformats.org/officeDocument/2006/relationships/hyperlink" Target="http://www.zapopan.gob.mx/wp-content/uploads/2017/06/DOPI_240_2015.pdf" TargetMode="External"/></Relationships>
</file>

<file path=xl/worksheets/sheet1.xml><?xml version="1.0" encoding="utf-8"?>
<worksheet xmlns="http://schemas.openxmlformats.org/spreadsheetml/2006/main" xmlns:r="http://schemas.openxmlformats.org/officeDocument/2006/relationships">
  <sheetPr>
    <pageSetUpPr fitToPage="1"/>
  </sheetPr>
  <dimension ref="A1:AB293"/>
  <sheetViews>
    <sheetView tabSelected="1" zoomScaleNormal="100" zoomScaleSheetLayoutView="100" workbookViewId="0">
      <selection activeCell="A4" sqref="A4:A5"/>
    </sheetView>
  </sheetViews>
  <sheetFormatPr baseColWidth="10" defaultColWidth="11.42578125" defaultRowHeight="15"/>
  <cols>
    <col min="1" max="1" width="12.7109375" style="2" customWidth="1"/>
    <col min="2" max="2" width="19.42578125" style="3" customWidth="1"/>
    <col min="3" max="3" width="35.28515625" style="3" customWidth="1"/>
    <col min="4" max="4" width="12.7109375" style="3" customWidth="1"/>
    <col min="5" max="5" width="41.28515625" style="3" customWidth="1"/>
    <col min="6" max="6" width="16.5703125" style="3" customWidth="1"/>
    <col min="7" max="7" width="13.42578125" style="3" customWidth="1"/>
    <col min="8" max="8" width="15.140625" style="3" customWidth="1"/>
    <col min="9" max="9" width="18" style="3" customWidth="1"/>
    <col min="10" max="11" width="12.7109375" style="3" customWidth="1"/>
    <col min="12" max="12" width="20.7109375" style="3" customWidth="1"/>
    <col min="13" max="13" width="15.140625" style="3" customWidth="1"/>
    <col min="14" max="14" width="13.42578125" style="3" customWidth="1"/>
    <col min="15" max="15" width="12.7109375" style="21" customWidth="1"/>
    <col min="16" max="19" width="12.7109375" style="3" customWidth="1"/>
    <col min="20" max="20" width="26.28515625" style="3" customWidth="1"/>
    <col min="21" max="21" width="18.7109375" style="3" customWidth="1"/>
    <col min="22" max="23" width="12.7109375" style="3" customWidth="1"/>
    <col min="24" max="24" width="20" style="3" customWidth="1"/>
    <col min="25" max="26" width="12.7109375" style="3" customWidth="1"/>
    <col min="27" max="27" width="23.42578125" style="3" customWidth="1"/>
    <col min="28" max="28" width="12.7109375" style="3" customWidth="1"/>
  </cols>
  <sheetData>
    <row r="1" spans="1:28" ht="42" customHeight="1">
      <c r="A1" s="23" t="s">
        <v>0</v>
      </c>
      <c r="B1" s="24"/>
      <c r="C1" s="24"/>
      <c r="D1" s="24"/>
      <c r="E1" s="24"/>
      <c r="F1" s="24"/>
      <c r="G1" s="24"/>
      <c r="H1" s="24"/>
      <c r="I1" s="24"/>
      <c r="J1" s="24"/>
      <c r="K1" s="24"/>
      <c r="L1" s="24"/>
      <c r="M1" s="24"/>
      <c r="N1" s="24"/>
      <c r="O1" s="24"/>
      <c r="P1" s="24"/>
      <c r="Q1" s="24"/>
      <c r="R1" s="24"/>
      <c r="S1" s="24"/>
      <c r="T1" s="24"/>
      <c r="U1" s="24"/>
      <c r="V1" s="24"/>
      <c r="W1" s="24"/>
      <c r="X1" s="24"/>
      <c r="Y1" s="24"/>
      <c r="Z1" s="24"/>
      <c r="AA1" s="24"/>
      <c r="AB1" s="25"/>
    </row>
    <row r="2" spans="1:28" ht="36.75" customHeight="1">
      <c r="A2" s="26" t="s">
        <v>1</v>
      </c>
      <c r="B2" s="27"/>
      <c r="C2" s="27"/>
      <c r="D2" s="27"/>
      <c r="E2" s="27"/>
      <c r="F2" s="27"/>
      <c r="G2" s="27"/>
      <c r="H2" s="27"/>
      <c r="I2" s="27"/>
      <c r="J2" s="27"/>
      <c r="K2" s="27"/>
      <c r="L2" s="27"/>
      <c r="M2" s="27"/>
      <c r="N2" s="27"/>
      <c r="O2" s="27"/>
      <c r="P2" s="27"/>
      <c r="Q2" s="27"/>
      <c r="R2" s="27"/>
      <c r="S2" s="27"/>
      <c r="T2" s="27"/>
      <c r="U2" s="27"/>
      <c r="V2" s="27"/>
      <c r="W2" s="27"/>
      <c r="X2" s="27"/>
      <c r="Y2" s="27"/>
      <c r="Z2" s="27"/>
      <c r="AA2" s="27"/>
      <c r="AB2" s="28"/>
    </row>
    <row r="3" spans="1:28" ht="39" customHeight="1">
      <c r="A3" s="29" t="s">
        <v>919</v>
      </c>
      <c r="B3" s="30"/>
      <c r="C3" s="30"/>
      <c r="D3" s="30"/>
      <c r="E3" s="30"/>
      <c r="F3" s="30"/>
      <c r="G3" s="30"/>
      <c r="H3" s="30"/>
      <c r="I3" s="30"/>
      <c r="J3" s="30"/>
      <c r="K3" s="30"/>
      <c r="L3" s="30"/>
      <c r="M3" s="30"/>
      <c r="N3" s="30"/>
      <c r="O3" s="30"/>
      <c r="P3" s="30"/>
      <c r="Q3" s="30"/>
      <c r="R3" s="30"/>
      <c r="S3" s="30"/>
      <c r="T3" s="30"/>
      <c r="U3" s="30"/>
      <c r="V3" s="30"/>
      <c r="W3" s="30"/>
      <c r="X3" s="30"/>
      <c r="Y3" s="30"/>
      <c r="Z3" s="30"/>
      <c r="AA3" s="30"/>
      <c r="AB3" s="31"/>
    </row>
    <row r="4" spans="1:28" ht="40.5" customHeight="1">
      <c r="A4" s="32" t="s">
        <v>2</v>
      </c>
      <c r="B4" s="32" t="s">
        <v>3</v>
      </c>
      <c r="C4" s="32" t="s">
        <v>4</v>
      </c>
      <c r="D4" s="32" t="s">
        <v>5</v>
      </c>
      <c r="E4" s="32" t="s">
        <v>6</v>
      </c>
      <c r="F4" s="32" t="s">
        <v>7</v>
      </c>
      <c r="G4" s="32" t="s">
        <v>8</v>
      </c>
      <c r="H4" s="32" t="s">
        <v>9</v>
      </c>
      <c r="I4" s="32" t="s">
        <v>10</v>
      </c>
      <c r="J4" s="32"/>
      <c r="K4" s="32"/>
      <c r="L4" s="32"/>
      <c r="M4" s="32"/>
      <c r="N4" s="32" t="s">
        <v>11</v>
      </c>
      <c r="O4" s="32" t="s">
        <v>12</v>
      </c>
      <c r="P4" s="32" t="s">
        <v>13</v>
      </c>
      <c r="Q4" s="32" t="s">
        <v>14</v>
      </c>
      <c r="R4" s="32" t="s">
        <v>15</v>
      </c>
      <c r="S4" s="32" t="s">
        <v>16</v>
      </c>
      <c r="T4" s="32" t="s">
        <v>17</v>
      </c>
      <c r="U4" s="32" t="s">
        <v>18</v>
      </c>
      <c r="V4" s="32" t="s">
        <v>19</v>
      </c>
      <c r="W4" s="32"/>
      <c r="X4" s="32" t="s">
        <v>20</v>
      </c>
      <c r="Y4" s="32"/>
      <c r="Z4" s="32"/>
      <c r="AA4" s="32" t="s">
        <v>21</v>
      </c>
      <c r="AB4" s="32" t="s">
        <v>22</v>
      </c>
    </row>
    <row r="5" spans="1:28" ht="67.5">
      <c r="A5" s="32"/>
      <c r="B5" s="32"/>
      <c r="C5" s="32"/>
      <c r="D5" s="32"/>
      <c r="E5" s="32"/>
      <c r="F5" s="32"/>
      <c r="G5" s="32"/>
      <c r="H5" s="32"/>
      <c r="I5" s="4" t="s">
        <v>23</v>
      </c>
      <c r="J5" s="4" t="s">
        <v>24</v>
      </c>
      <c r="K5" s="4" t="s">
        <v>25</v>
      </c>
      <c r="L5" s="4" t="s">
        <v>26</v>
      </c>
      <c r="M5" s="4" t="s">
        <v>27</v>
      </c>
      <c r="N5" s="32"/>
      <c r="O5" s="32"/>
      <c r="P5" s="32"/>
      <c r="Q5" s="32"/>
      <c r="R5" s="32"/>
      <c r="S5" s="32"/>
      <c r="T5" s="32"/>
      <c r="U5" s="32"/>
      <c r="V5" s="4" t="s">
        <v>28</v>
      </c>
      <c r="W5" s="4" t="s">
        <v>29</v>
      </c>
      <c r="X5" s="4" t="s">
        <v>23</v>
      </c>
      <c r="Y5" s="4" t="s">
        <v>24</v>
      </c>
      <c r="Z5" s="4" t="s">
        <v>25</v>
      </c>
      <c r="AA5" s="32"/>
      <c r="AB5" s="32"/>
    </row>
    <row r="6" spans="1:28" ht="72" customHeight="1">
      <c r="A6" s="6">
        <v>2016</v>
      </c>
      <c r="B6" s="6" t="s">
        <v>64</v>
      </c>
      <c r="C6" s="8" t="s">
        <v>156</v>
      </c>
      <c r="D6" s="7">
        <v>42394</v>
      </c>
      <c r="E6" s="8" t="s">
        <v>157</v>
      </c>
      <c r="F6" s="8" t="s">
        <v>67</v>
      </c>
      <c r="G6" s="9">
        <v>999296.99880000006</v>
      </c>
      <c r="H6" s="8" t="s">
        <v>158</v>
      </c>
      <c r="I6" s="6" t="s">
        <v>159</v>
      </c>
      <c r="J6" s="6" t="s">
        <v>160</v>
      </c>
      <c r="K6" s="6" t="s">
        <v>161</v>
      </c>
      <c r="L6" s="8" t="s">
        <v>162</v>
      </c>
      <c r="M6" s="6" t="s">
        <v>163</v>
      </c>
      <c r="N6" s="9">
        <f t="shared" ref="N6:N34" si="0">G6</f>
        <v>999296.99880000006</v>
      </c>
      <c r="O6" s="11">
        <v>953158.19</v>
      </c>
      <c r="P6" s="6" t="s">
        <v>164</v>
      </c>
      <c r="Q6" s="9">
        <f>N6/1960</f>
        <v>509.84540755102046</v>
      </c>
      <c r="R6" s="6" t="s">
        <v>42</v>
      </c>
      <c r="S6" s="12">
        <v>120000</v>
      </c>
      <c r="T6" s="8" t="s">
        <v>43</v>
      </c>
      <c r="U6" s="6" t="s">
        <v>44</v>
      </c>
      <c r="V6" s="7">
        <v>42396</v>
      </c>
      <c r="W6" s="7">
        <v>42429</v>
      </c>
      <c r="X6" s="6" t="s">
        <v>165</v>
      </c>
      <c r="Y6" s="6" t="s">
        <v>166</v>
      </c>
      <c r="Z6" s="6" t="s">
        <v>167</v>
      </c>
      <c r="AA6" s="6" t="s">
        <v>40</v>
      </c>
      <c r="AB6" s="6" t="s">
        <v>40</v>
      </c>
    </row>
    <row r="7" spans="1:28" ht="72.599999999999994" customHeight="1">
      <c r="A7" s="6">
        <v>2016</v>
      </c>
      <c r="B7" s="6" t="s">
        <v>64</v>
      </c>
      <c r="C7" s="8" t="s">
        <v>168</v>
      </c>
      <c r="D7" s="13">
        <v>42387</v>
      </c>
      <c r="E7" s="8" t="s">
        <v>169</v>
      </c>
      <c r="F7" s="8" t="s">
        <v>67</v>
      </c>
      <c r="G7" s="9">
        <v>1615350.24</v>
      </c>
      <c r="H7" s="8" t="s">
        <v>170</v>
      </c>
      <c r="I7" s="6" t="s">
        <v>171</v>
      </c>
      <c r="J7" s="6" t="s">
        <v>107</v>
      </c>
      <c r="K7" s="6" t="s">
        <v>172</v>
      </c>
      <c r="L7" s="8" t="s">
        <v>173</v>
      </c>
      <c r="M7" s="6" t="s">
        <v>174</v>
      </c>
      <c r="N7" s="9">
        <f t="shared" si="0"/>
        <v>1615350.24</v>
      </c>
      <c r="O7" s="11">
        <v>1615350.24</v>
      </c>
      <c r="P7" s="6" t="s">
        <v>175</v>
      </c>
      <c r="Q7" s="9">
        <f>N7/6297</f>
        <v>256.52695569318723</v>
      </c>
      <c r="R7" s="6" t="s">
        <v>42</v>
      </c>
      <c r="S7" s="12">
        <v>25642</v>
      </c>
      <c r="T7" s="8" t="s">
        <v>43</v>
      </c>
      <c r="U7" s="6" t="s">
        <v>44</v>
      </c>
      <c r="V7" s="7">
        <v>42388</v>
      </c>
      <c r="W7" s="7">
        <v>42429</v>
      </c>
      <c r="X7" s="6" t="s">
        <v>87</v>
      </c>
      <c r="Y7" s="6" t="s">
        <v>88</v>
      </c>
      <c r="Z7" s="6" t="s">
        <v>89</v>
      </c>
      <c r="AA7" s="6" t="s">
        <v>40</v>
      </c>
      <c r="AB7" s="6" t="s">
        <v>40</v>
      </c>
    </row>
    <row r="8" spans="1:28" ht="81">
      <c r="A8" s="6">
        <v>2016</v>
      </c>
      <c r="B8" s="6" t="s">
        <v>64</v>
      </c>
      <c r="C8" s="8" t="s">
        <v>176</v>
      </c>
      <c r="D8" s="13">
        <v>42387</v>
      </c>
      <c r="E8" s="8" t="s">
        <v>177</v>
      </c>
      <c r="F8" s="8" t="s">
        <v>67</v>
      </c>
      <c r="G8" s="9">
        <v>1245297.3500000001</v>
      </c>
      <c r="H8" s="8" t="s">
        <v>170</v>
      </c>
      <c r="I8" s="6" t="s">
        <v>178</v>
      </c>
      <c r="J8" s="6" t="s">
        <v>70</v>
      </c>
      <c r="K8" s="6" t="s">
        <v>71</v>
      </c>
      <c r="L8" s="8" t="s">
        <v>179</v>
      </c>
      <c r="M8" s="6" t="s">
        <v>180</v>
      </c>
      <c r="N8" s="9">
        <f t="shared" si="0"/>
        <v>1245297.3500000001</v>
      </c>
      <c r="O8" s="11">
        <v>1184976.27</v>
      </c>
      <c r="P8" s="6" t="s">
        <v>181</v>
      </c>
      <c r="Q8" s="9">
        <f>N8/6297</f>
        <v>197.7604176592028</v>
      </c>
      <c r="R8" s="6" t="s">
        <v>42</v>
      </c>
      <c r="S8" s="12">
        <v>25642</v>
      </c>
      <c r="T8" s="8" t="s">
        <v>43</v>
      </c>
      <c r="U8" s="6" t="s">
        <v>44</v>
      </c>
      <c r="V8" s="7">
        <v>42388</v>
      </c>
      <c r="W8" s="7">
        <v>42429</v>
      </c>
      <c r="X8" s="6" t="s">
        <v>87</v>
      </c>
      <c r="Y8" s="6" t="s">
        <v>88</v>
      </c>
      <c r="Z8" s="6" t="s">
        <v>89</v>
      </c>
      <c r="AA8" s="6" t="s">
        <v>40</v>
      </c>
      <c r="AB8" s="6" t="s">
        <v>40</v>
      </c>
    </row>
    <row r="9" spans="1:28" ht="148.5">
      <c r="A9" s="6">
        <v>2016</v>
      </c>
      <c r="B9" s="6" t="s">
        <v>64</v>
      </c>
      <c r="C9" s="8" t="s">
        <v>182</v>
      </c>
      <c r="D9" s="13">
        <v>42413</v>
      </c>
      <c r="E9" s="8" t="s">
        <v>183</v>
      </c>
      <c r="F9" s="8" t="s">
        <v>184</v>
      </c>
      <c r="G9" s="9">
        <v>1029282.8540000001</v>
      </c>
      <c r="H9" s="8" t="s">
        <v>185</v>
      </c>
      <c r="I9" s="6" t="s">
        <v>186</v>
      </c>
      <c r="J9" s="6" t="s">
        <v>187</v>
      </c>
      <c r="K9" s="6" t="s">
        <v>188</v>
      </c>
      <c r="L9" s="8" t="s">
        <v>189</v>
      </c>
      <c r="M9" s="6" t="s">
        <v>190</v>
      </c>
      <c r="N9" s="9">
        <f t="shared" si="0"/>
        <v>1029282.8540000001</v>
      </c>
      <c r="O9" s="10" t="s">
        <v>40</v>
      </c>
      <c r="P9" s="6" t="s">
        <v>191</v>
      </c>
      <c r="Q9" s="9">
        <f>N9/781</f>
        <v>1317.9037823303458</v>
      </c>
      <c r="R9" s="6" t="s">
        <v>42</v>
      </c>
      <c r="S9" s="12">
        <v>6339</v>
      </c>
      <c r="T9" s="8" t="s">
        <v>43</v>
      </c>
      <c r="U9" s="6" t="s">
        <v>44</v>
      </c>
      <c r="V9" s="7">
        <v>42415</v>
      </c>
      <c r="W9" s="7">
        <v>42484</v>
      </c>
      <c r="X9" s="6" t="s">
        <v>131</v>
      </c>
      <c r="Y9" s="6" t="s">
        <v>132</v>
      </c>
      <c r="Z9" s="6" t="s">
        <v>133</v>
      </c>
      <c r="AA9" s="6" t="s">
        <v>40</v>
      </c>
      <c r="AB9" s="6" t="s">
        <v>40</v>
      </c>
    </row>
    <row r="10" spans="1:28" ht="81">
      <c r="A10" s="6">
        <v>2016</v>
      </c>
      <c r="B10" s="6" t="s">
        <v>64</v>
      </c>
      <c r="C10" s="8" t="s">
        <v>192</v>
      </c>
      <c r="D10" s="13">
        <v>42420</v>
      </c>
      <c r="E10" s="8" t="s">
        <v>193</v>
      </c>
      <c r="F10" s="8" t="s">
        <v>67</v>
      </c>
      <c r="G10" s="9">
        <v>1480259.25</v>
      </c>
      <c r="H10" s="8" t="s">
        <v>194</v>
      </c>
      <c r="I10" s="6" t="s">
        <v>195</v>
      </c>
      <c r="J10" s="6" t="s">
        <v>196</v>
      </c>
      <c r="K10" s="6" t="s">
        <v>197</v>
      </c>
      <c r="L10" s="8" t="s">
        <v>198</v>
      </c>
      <c r="M10" s="6" t="s">
        <v>199</v>
      </c>
      <c r="N10" s="9">
        <f t="shared" si="0"/>
        <v>1480259.25</v>
      </c>
      <c r="O10" s="11">
        <v>1480062.03</v>
      </c>
      <c r="P10" s="6" t="s">
        <v>200</v>
      </c>
      <c r="Q10" s="9">
        <f>N10/850</f>
        <v>1741.4814705882352</v>
      </c>
      <c r="R10" s="6" t="s">
        <v>42</v>
      </c>
      <c r="S10" s="12">
        <v>279130</v>
      </c>
      <c r="T10" s="8" t="s">
        <v>43</v>
      </c>
      <c r="U10" s="6" t="s">
        <v>44</v>
      </c>
      <c r="V10" s="7">
        <v>42422</v>
      </c>
      <c r="W10" s="7">
        <v>42505</v>
      </c>
      <c r="X10" s="6" t="s">
        <v>87</v>
      </c>
      <c r="Y10" s="6" t="s">
        <v>88</v>
      </c>
      <c r="Z10" s="6" t="s">
        <v>89</v>
      </c>
      <c r="AA10" s="22" t="s">
        <v>934</v>
      </c>
      <c r="AB10" s="6" t="s">
        <v>40</v>
      </c>
    </row>
    <row r="11" spans="1:28" ht="94.5">
      <c r="A11" s="6">
        <v>2016</v>
      </c>
      <c r="B11" s="6" t="s">
        <v>64</v>
      </c>
      <c r="C11" s="8" t="s">
        <v>201</v>
      </c>
      <c r="D11" s="13">
        <v>42420</v>
      </c>
      <c r="E11" s="8" t="s">
        <v>202</v>
      </c>
      <c r="F11" s="8" t="s">
        <v>67</v>
      </c>
      <c r="G11" s="9">
        <v>595635.78</v>
      </c>
      <c r="H11" s="8" t="s">
        <v>203</v>
      </c>
      <c r="I11" s="6" t="s">
        <v>204</v>
      </c>
      <c r="J11" s="6" t="s">
        <v>205</v>
      </c>
      <c r="K11" s="6" t="s">
        <v>206</v>
      </c>
      <c r="L11" s="8" t="s">
        <v>207</v>
      </c>
      <c r="M11" s="6" t="s">
        <v>208</v>
      </c>
      <c r="N11" s="9">
        <f t="shared" si="0"/>
        <v>595635.78</v>
      </c>
      <c r="O11" s="10" t="s">
        <v>40</v>
      </c>
      <c r="P11" s="6" t="s">
        <v>209</v>
      </c>
      <c r="Q11" s="9">
        <f>N11/1007.23</f>
        <v>591.36024542557311</v>
      </c>
      <c r="R11" s="6" t="s">
        <v>42</v>
      </c>
      <c r="S11" s="12">
        <v>4008</v>
      </c>
      <c r="T11" s="8" t="s">
        <v>43</v>
      </c>
      <c r="U11" s="6" t="s">
        <v>44</v>
      </c>
      <c r="V11" s="7">
        <v>42422</v>
      </c>
      <c r="W11" s="7">
        <v>42484</v>
      </c>
      <c r="X11" s="6" t="s">
        <v>210</v>
      </c>
      <c r="Y11" s="6" t="s">
        <v>211</v>
      </c>
      <c r="Z11" s="6" t="s">
        <v>212</v>
      </c>
      <c r="AA11" s="6" t="s">
        <v>40</v>
      </c>
      <c r="AB11" s="6" t="s">
        <v>40</v>
      </c>
    </row>
    <row r="12" spans="1:28" ht="54">
      <c r="A12" s="6">
        <v>2016</v>
      </c>
      <c r="B12" s="6" t="s">
        <v>64</v>
      </c>
      <c r="C12" s="8" t="s">
        <v>213</v>
      </c>
      <c r="D12" s="13">
        <v>42420</v>
      </c>
      <c r="E12" s="8" t="s">
        <v>214</v>
      </c>
      <c r="F12" s="8" t="s">
        <v>184</v>
      </c>
      <c r="G12" s="9">
        <v>680157.27</v>
      </c>
      <c r="H12" s="8" t="s">
        <v>215</v>
      </c>
      <c r="I12" s="6" t="s">
        <v>216</v>
      </c>
      <c r="J12" s="6" t="s">
        <v>217</v>
      </c>
      <c r="K12" s="6" t="s">
        <v>218</v>
      </c>
      <c r="L12" s="8" t="s">
        <v>219</v>
      </c>
      <c r="M12" s="6" t="s">
        <v>220</v>
      </c>
      <c r="N12" s="9">
        <f t="shared" si="0"/>
        <v>680157.27</v>
      </c>
      <c r="O12" s="10" t="s">
        <v>40</v>
      </c>
      <c r="P12" s="6" t="s">
        <v>221</v>
      </c>
      <c r="Q12" s="9">
        <f>N12/12</f>
        <v>56679.772499999999</v>
      </c>
      <c r="R12" s="6" t="s">
        <v>222</v>
      </c>
      <c r="S12" s="12">
        <v>1243756</v>
      </c>
      <c r="T12" s="8" t="s">
        <v>43</v>
      </c>
      <c r="U12" s="6" t="s">
        <v>44</v>
      </c>
      <c r="V12" s="7">
        <v>42422</v>
      </c>
      <c r="W12" s="7">
        <v>42484</v>
      </c>
      <c r="X12" s="6" t="s">
        <v>99</v>
      </c>
      <c r="Y12" s="6" t="s">
        <v>100</v>
      </c>
      <c r="Z12" s="6" t="s">
        <v>101</v>
      </c>
      <c r="AA12" s="22" t="s">
        <v>920</v>
      </c>
      <c r="AB12" s="6" t="s">
        <v>40</v>
      </c>
    </row>
    <row r="13" spans="1:28" ht="40.5">
      <c r="A13" s="6">
        <v>2016</v>
      </c>
      <c r="B13" s="6" t="s">
        <v>64</v>
      </c>
      <c r="C13" s="8" t="s">
        <v>223</v>
      </c>
      <c r="D13" s="13">
        <v>42406</v>
      </c>
      <c r="E13" s="8" t="s">
        <v>224</v>
      </c>
      <c r="F13" s="8" t="s">
        <v>184</v>
      </c>
      <c r="G13" s="9">
        <v>1135877.45</v>
      </c>
      <c r="H13" s="8" t="s">
        <v>225</v>
      </c>
      <c r="I13" s="6" t="s">
        <v>226</v>
      </c>
      <c r="J13" s="6" t="s">
        <v>227</v>
      </c>
      <c r="K13" s="6" t="s">
        <v>228</v>
      </c>
      <c r="L13" s="16" t="s">
        <v>229</v>
      </c>
      <c r="M13" s="6" t="s">
        <v>230</v>
      </c>
      <c r="N13" s="9">
        <f t="shared" si="0"/>
        <v>1135877.45</v>
      </c>
      <c r="O13" s="10" t="s">
        <v>40</v>
      </c>
      <c r="P13" s="6" t="s">
        <v>231</v>
      </c>
      <c r="Q13" s="9" t="s">
        <v>231</v>
      </c>
      <c r="R13" s="6" t="s">
        <v>232</v>
      </c>
      <c r="S13" s="12" t="s">
        <v>232</v>
      </c>
      <c r="T13" s="8" t="s">
        <v>43</v>
      </c>
      <c r="U13" s="6" t="s">
        <v>44</v>
      </c>
      <c r="V13" s="7">
        <v>42408</v>
      </c>
      <c r="W13" s="7">
        <v>42551</v>
      </c>
      <c r="X13" s="6" t="s">
        <v>233</v>
      </c>
      <c r="Y13" s="6" t="s">
        <v>234</v>
      </c>
      <c r="Z13" s="6" t="s">
        <v>235</v>
      </c>
      <c r="AA13" s="6" t="s">
        <v>40</v>
      </c>
      <c r="AB13" s="6" t="s">
        <v>40</v>
      </c>
    </row>
    <row r="14" spans="1:28" ht="54">
      <c r="A14" s="6">
        <v>2016</v>
      </c>
      <c r="B14" s="6" t="s">
        <v>64</v>
      </c>
      <c r="C14" s="8" t="s">
        <v>236</v>
      </c>
      <c r="D14" s="13">
        <v>42406</v>
      </c>
      <c r="E14" s="8" t="s">
        <v>237</v>
      </c>
      <c r="F14" s="8" t="s">
        <v>184</v>
      </c>
      <c r="G14" s="9">
        <v>1394867.44</v>
      </c>
      <c r="H14" s="8" t="s">
        <v>225</v>
      </c>
      <c r="I14" s="6" t="s">
        <v>238</v>
      </c>
      <c r="J14" s="6" t="s">
        <v>239</v>
      </c>
      <c r="K14" s="6" t="s">
        <v>240</v>
      </c>
      <c r="L14" s="8" t="s">
        <v>241</v>
      </c>
      <c r="M14" s="6" t="s">
        <v>242</v>
      </c>
      <c r="N14" s="9">
        <f t="shared" si="0"/>
        <v>1394867.44</v>
      </c>
      <c r="O14" s="10" t="s">
        <v>40</v>
      </c>
      <c r="P14" s="6" t="s">
        <v>231</v>
      </c>
      <c r="Q14" s="9" t="s">
        <v>231</v>
      </c>
      <c r="R14" s="6" t="s">
        <v>232</v>
      </c>
      <c r="S14" s="12" t="s">
        <v>232</v>
      </c>
      <c r="T14" s="8" t="s">
        <v>43</v>
      </c>
      <c r="U14" s="6" t="s">
        <v>44</v>
      </c>
      <c r="V14" s="7">
        <v>42408</v>
      </c>
      <c r="W14" s="7">
        <v>42551</v>
      </c>
      <c r="X14" s="6" t="s">
        <v>243</v>
      </c>
      <c r="Y14" s="6" t="s">
        <v>244</v>
      </c>
      <c r="Z14" s="6" t="s">
        <v>245</v>
      </c>
      <c r="AA14" s="6" t="s">
        <v>40</v>
      </c>
      <c r="AB14" s="6" t="s">
        <v>40</v>
      </c>
    </row>
    <row r="15" spans="1:28" ht="40.5">
      <c r="A15" s="6">
        <v>2016</v>
      </c>
      <c r="B15" s="6" t="s">
        <v>64</v>
      </c>
      <c r="C15" s="8" t="s">
        <v>246</v>
      </c>
      <c r="D15" s="13">
        <v>42406</v>
      </c>
      <c r="E15" s="8" t="s">
        <v>247</v>
      </c>
      <c r="F15" s="8" t="s">
        <v>184</v>
      </c>
      <c r="G15" s="9">
        <v>1293527.1299999999</v>
      </c>
      <c r="H15" s="8" t="s">
        <v>225</v>
      </c>
      <c r="I15" s="10" t="s">
        <v>248</v>
      </c>
      <c r="J15" s="10" t="s">
        <v>133</v>
      </c>
      <c r="K15" s="10" t="s">
        <v>249</v>
      </c>
      <c r="L15" s="8" t="s">
        <v>250</v>
      </c>
      <c r="M15" s="10" t="s">
        <v>251</v>
      </c>
      <c r="N15" s="9">
        <f t="shared" si="0"/>
        <v>1293527.1299999999</v>
      </c>
      <c r="O15" s="10" t="s">
        <v>40</v>
      </c>
      <c r="P15" s="6" t="s">
        <v>231</v>
      </c>
      <c r="Q15" s="9" t="s">
        <v>231</v>
      </c>
      <c r="R15" s="6" t="s">
        <v>232</v>
      </c>
      <c r="S15" s="12" t="s">
        <v>232</v>
      </c>
      <c r="T15" s="8" t="s">
        <v>43</v>
      </c>
      <c r="U15" s="6" t="s">
        <v>44</v>
      </c>
      <c r="V15" s="7">
        <v>42408</v>
      </c>
      <c r="W15" s="7">
        <v>42551</v>
      </c>
      <c r="X15" s="6" t="s">
        <v>252</v>
      </c>
      <c r="Y15" s="6" t="s">
        <v>253</v>
      </c>
      <c r="Z15" s="6" t="s">
        <v>254</v>
      </c>
      <c r="AA15" s="6" t="s">
        <v>40</v>
      </c>
      <c r="AB15" s="6" t="s">
        <v>40</v>
      </c>
    </row>
    <row r="16" spans="1:28" ht="54">
      <c r="A16" s="6">
        <v>2016</v>
      </c>
      <c r="B16" s="6" t="s">
        <v>64</v>
      </c>
      <c r="C16" s="8" t="s">
        <v>255</v>
      </c>
      <c r="D16" s="13">
        <v>42406</v>
      </c>
      <c r="E16" s="8" t="s">
        <v>256</v>
      </c>
      <c r="F16" s="8" t="s">
        <v>184</v>
      </c>
      <c r="G16" s="9">
        <v>1456436.78</v>
      </c>
      <c r="H16" s="8" t="s">
        <v>225</v>
      </c>
      <c r="I16" s="6" t="s">
        <v>257</v>
      </c>
      <c r="J16" s="6" t="s">
        <v>258</v>
      </c>
      <c r="K16" s="6" t="s">
        <v>259</v>
      </c>
      <c r="L16" s="16" t="s">
        <v>260</v>
      </c>
      <c r="M16" s="6" t="s">
        <v>261</v>
      </c>
      <c r="N16" s="9">
        <f t="shared" si="0"/>
        <v>1456436.78</v>
      </c>
      <c r="O16" s="10" t="s">
        <v>40</v>
      </c>
      <c r="P16" s="6" t="s">
        <v>231</v>
      </c>
      <c r="Q16" s="9" t="s">
        <v>231</v>
      </c>
      <c r="R16" s="6" t="s">
        <v>232</v>
      </c>
      <c r="S16" s="12" t="s">
        <v>232</v>
      </c>
      <c r="T16" s="8" t="s">
        <v>43</v>
      </c>
      <c r="U16" s="6" t="s">
        <v>44</v>
      </c>
      <c r="V16" s="7">
        <v>42408</v>
      </c>
      <c r="W16" s="7">
        <v>42735</v>
      </c>
      <c r="X16" s="6" t="s">
        <v>262</v>
      </c>
      <c r="Y16" s="6" t="s">
        <v>112</v>
      </c>
      <c r="Z16" s="6" t="s">
        <v>263</v>
      </c>
      <c r="AA16" s="6" t="s">
        <v>40</v>
      </c>
      <c r="AB16" s="6" t="s">
        <v>40</v>
      </c>
    </row>
    <row r="17" spans="1:28" ht="54">
      <c r="A17" s="6">
        <v>2016</v>
      </c>
      <c r="B17" s="6" t="s">
        <v>64</v>
      </c>
      <c r="C17" s="8" t="s">
        <v>264</v>
      </c>
      <c r="D17" s="13">
        <v>42406</v>
      </c>
      <c r="E17" s="8" t="s">
        <v>265</v>
      </c>
      <c r="F17" s="8" t="s">
        <v>184</v>
      </c>
      <c r="G17" s="9">
        <v>1528326.3</v>
      </c>
      <c r="H17" s="8" t="s">
        <v>225</v>
      </c>
      <c r="I17" s="6" t="s">
        <v>266</v>
      </c>
      <c r="J17" s="6" t="s">
        <v>267</v>
      </c>
      <c r="K17" s="6" t="s">
        <v>268</v>
      </c>
      <c r="L17" s="16" t="s">
        <v>269</v>
      </c>
      <c r="M17" s="6" t="s">
        <v>270</v>
      </c>
      <c r="N17" s="9">
        <f t="shared" si="0"/>
        <v>1528326.3</v>
      </c>
      <c r="O17" s="10" t="s">
        <v>40</v>
      </c>
      <c r="P17" s="6" t="s">
        <v>231</v>
      </c>
      <c r="Q17" s="9" t="s">
        <v>231</v>
      </c>
      <c r="R17" s="6" t="s">
        <v>232</v>
      </c>
      <c r="S17" s="12" t="s">
        <v>232</v>
      </c>
      <c r="T17" s="8" t="s">
        <v>43</v>
      </c>
      <c r="U17" s="6" t="s">
        <v>44</v>
      </c>
      <c r="V17" s="7">
        <v>42408</v>
      </c>
      <c r="W17" s="7">
        <v>42735</v>
      </c>
      <c r="X17" s="6" t="s">
        <v>262</v>
      </c>
      <c r="Y17" s="6" t="s">
        <v>112</v>
      </c>
      <c r="Z17" s="6" t="s">
        <v>263</v>
      </c>
      <c r="AA17" s="22" t="s">
        <v>935</v>
      </c>
      <c r="AB17" s="6" t="s">
        <v>40</v>
      </c>
    </row>
    <row r="18" spans="1:28" ht="54">
      <c r="A18" s="6">
        <v>2016</v>
      </c>
      <c r="B18" s="6" t="s">
        <v>64</v>
      </c>
      <c r="C18" s="8" t="s">
        <v>271</v>
      </c>
      <c r="D18" s="13">
        <v>42406</v>
      </c>
      <c r="E18" s="8" t="s">
        <v>272</v>
      </c>
      <c r="F18" s="8" t="s">
        <v>184</v>
      </c>
      <c r="G18" s="9">
        <v>1201315.48</v>
      </c>
      <c r="H18" s="8" t="s">
        <v>225</v>
      </c>
      <c r="I18" s="6" t="s">
        <v>273</v>
      </c>
      <c r="J18" s="6" t="s">
        <v>258</v>
      </c>
      <c r="K18" s="6" t="s">
        <v>274</v>
      </c>
      <c r="L18" s="8" t="s">
        <v>275</v>
      </c>
      <c r="M18" s="6" t="s">
        <v>276</v>
      </c>
      <c r="N18" s="9">
        <f t="shared" si="0"/>
        <v>1201315.48</v>
      </c>
      <c r="O18" s="10" t="s">
        <v>40</v>
      </c>
      <c r="P18" s="6" t="s">
        <v>231</v>
      </c>
      <c r="Q18" s="9" t="s">
        <v>231</v>
      </c>
      <c r="R18" s="6" t="s">
        <v>232</v>
      </c>
      <c r="S18" s="12" t="s">
        <v>232</v>
      </c>
      <c r="T18" s="8" t="s">
        <v>43</v>
      </c>
      <c r="U18" s="6" t="s">
        <v>44</v>
      </c>
      <c r="V18" s="7">
        <v>42408</v>
      </c>
      <c r="W18" s="7">
        <v>42551</v>
      </c>
      <c r="X18" s="6" t="s">
        <v>262</v>
      </c>
      <c r="Y18" s="6" t="s">
        <v>112</v>
      </c>
      <c r="Z18" s="6" t="s">
        <v>263</v>
      </c>
      <c r="AA18" s="22" t="s">
        <v>921</v>
      </c>
      <c r="AB18" s="6" t="s">
        <v>40</v>
      </c>
    </row>
    <row r="19" spans="1:28" ht="40.5">
      <c r="A19" s="6">
        <v>2016</v>
      </c>
      <c r="B19" s="6" t="s">
        <v>64</v>
      </c>
      <c r="C19" s="8" t="s">
        <v>277</v>
      </c>
      <c r="D19" s="13">
        <v>42406</v>
      </c>
      <c r="E19" s="8" t="s">
        <v>278</v>
      </c>
      <c r="F19" s="8" t="s">
        <v>184</v>
      </c>
      <c r="G19" s="9">
        <v>1385659.75</v>
      </c>
      <c r="H19" s="8" t="s">
        <v>225</v>
      </c>
      <c r="I19" s="6" t="s">
        <v>279</v>
      </c>
      <c r="J19" s="6" t="s">
        <v>280</v>
      </c>
      <c r="K19" s="6" t="s">
        <v>281</v>
      </c>
      <c r="L19" s="16" t="s">
        <v>282</v>
      </c>
      <c r="M19" s="6" t="s">
        <v>283</v>
      </c>
      <c r="N19" s="9">
        <f t="shared" si="0"/>
        <v>1385659.75</v>
      </c>
      <c r="O19" s="10" t="s">
        <v>40</v>
      </c>
      <c r="P19" s="6" t="s">
        <v>231</v>
      </c>
      <c r="Q19" s="9" t="s">
        <v>231</v>
      </c>
      <c r="R19" s="6" t="s">
        <v>232</v>
      </c>
      <c r="S19" s="12" t="s">
        <v>232</v>
      </c>
      <c r="T19" s="8" t="s">
        <v>43</v>
      </c>
      <c r="U19" s="6" t="s">
        <v>44</v>
      </c>
      <c r="V19" s="7">
        <v>42408</v>
      </c>
      <c r="W19" s="7">
        <v>42551</v>
      </c>
      <c r="X19" s="6" t="s">
        <v>284</v>
      </c>
      <c r="Y19" s="6" t="s">
        <v>285</v>
      </c>
      <c r="Z19" s="6" t="s">
        <v>286</v>
      </c>
      <c r="AA19" s="6" t="s">
        <v>40</v>
      </c>
      <c r="AB19" s="6" t="s">
        <v>40</v>
      </c>
    </row>
    <row r="20" spans="1:28" ht="54">
      <c r="A20" s="6">
        <v>2016</v>
      </c>
      <c r="B20" s="6" t="s">
        <v>64</v>
      </c>
      <c r="C20" s="18" t="s">
        <v>287</v>
      </c>
      <c r="D20" s="13">
        <v>42413</v>
      </c>
      <c r="E20" s="8" t="s">
        <v>288</v>
      </c>
      <c r="F20" s="8" t="s">
        <v>67</v>
      </c>
      <c r="G20" s="9">
        <v>1547300.2</v>
      </c>
      <c r="H20" s="8" t="s">
        <v>289</v>
      </c>
      <c r="I20" s="6" t="s">
        <v>290</v>
      </c>
      <c r="J20" s="6" t="s">
        <v>291</v>
      </c>
      <c r="K20" s="6" t="s">
        <v>117</v>
      </c>
      <c r="L20" s="8" t="s">
        <v>292</v>
      </c>
      <c r="M20" s="6" t="s">
        <v>293</v>
      </c>
      <c r="N20" s="9">
        <f t="shared" si="0"/>
        <v>1547300.2</v>
      </c>
      <c r="O20" s="11">
        <v>1547263.27</v>
      </c>
      <c r="P20" s="6" t="s">
        <v>294</v>
      </c>
      <c r="Q20" s="9">
        <f>N20/2546.52</f>
        <v>607.61360601919478</v>
      </c>
      <c r="R20" s="6" t="s">
        <v>42</v>
      </c>
      <c r="S20" s="12">
        <v>2614</v>
      </c>
      <c r="T20" s="8" t="s">
        <v>43</v>
      </c>
      <c r="U20" s="6" t="s">
        <v>44</v>
      </c>
      <c r="V20" s="7">
        <v>42415</v>
      </c>
      <c r="W20" s="7">
        <v>42475</v>
      </c>
      <c r="X20" s="6" t="s">
        <v>210</v>
      </c>
      <c r="Y20" s="6" t="s">
        <v>295</v>
      </c>
      <c r="Z20" s="6" t="s">
        <v>254</v>
      </c>
      <c r="AA20" s="18" t="s">
        <v>922</v>
      </c>
      <c r="AB20" s="6" t="s">
        <v>40</v>
      </c>
    </row>
    <row r="21" spans="1:28" ht="67.5">
      <c r="A21" s="6">
        <v>2016</v>
      </c>
      <c r="B21" s="6" t="s">
        <v>296</v>
      </c>
      <c r="C21" s="8" t="s">
        <v>297</v>
      </c>
      <c r="D21" s="13">
        <v>42494</v>
      </c>
      <c r="E21" s="8" t="s">
        <v>298</v>
      </c>
      <c r="F21" s="8" t="s">
        <v>67</v>
      </c>
      <c r="G21" s="9">
        <v>3199054.38</v>
      </c>
      <c r="H21" s="8" t="s">
        <v>299</v>
      </c>
      <c r="I21" s="6" t="s">
        <v>252</v>
      </c>
      <c r="J21" s="6" t="s">
        <v>300</v>
      </c>
      <c r="K21" s="6" t="s">
        <v>117</v>
      </c>
      <c r="L21" s="8" t="s">
        <v>301</v>
      </c>
      <c r="M21" s="6" t="s">
        <v>302</v>
      </c>
      <c r="N21" s="9">
        <f>G21</f>
        <v>3199054.38</v>
      </c>
      <c r="O21" s="10" t="s">
        <v>40</v>
      </c>
      <c r="P21" s="6" t="s">
        <v>303</v>
      </c>
      <c r="Q21" s="9">
        <f>N21/525</f>
        <v>6093.436914285714</v>
      </c>
      <c r="R21" s="6" t="s">
        <v>42</v>
      </c>
      <c r="S21" s="12">
        <v>2614</v>
      </c>
      <c r="T21" s="8" t="s">
        <v>43</v>
      </c>
      <c r="U21" s="6" t="s">
        <v>44</v>
      </c>
      <c r="V21" s="7">
        <v>42495</v>
      </c>
      <c r="W21" s="7">
        <v>42580</v>
      </c>
      <c r="X21" s="6" t="s">
        <v>304</v>
      </c>
      <c r="Y21" s="6" t="s">
        <v>305</v>
      </c>
      <c r="Z21" s="6" t="s">
        <v>306</v>
      </c>
      <c r="AA21" s="6" t="s">
        <v>40</v>
      </c>
      <c r="AB21" s="6" t="s">
        <v>40</v>
      </c>
    </row>
    <row r="22" spans="1:28" ht="69.75" customHeight="1">
      <c r="A22" s="6">
        <v>2016</v>
      </c>
      <c r="B22" s="6" t="s">
        <v>296</v>
      </c>
      <c r="C22" s="18" t="s">
        <v>307</v>
      </c>
      <c r="D22" s="13">
        <v>42494</v>
      </c>
      <c r="E22" s="8" t="s">
        <v>308</v>
      </c>
      <c r="F22" s="8" t="s">
        <v>184</v>
      </c>
      <c r="G22" s="9">
        <v>3490706.8</v>
      </c>
      <c r="H22" s="8" t="s">
        <v>309</v>
      </c>
      <c r="I22" s="6" t="s">
        <v>310</v>
      </c>
      <c r="J22" s="6" t="s">
        <v>311</v>
      </c>
      <c r="K22" s="6" t="s">
        <v>245</v>
      </c>
      <c r="L22" s="8" t="s">
        <v>312</v>
      </c>
      <c r="M22" s="6" t="s">
        <v>313</v>
      </c>
      <c r="N22" s="9">
        <f t="shared" si="0"/>
        <v>3490706.8</v>
      </c>
      <c r="O22" s="10" t="s">
        <v>40</v>
      </c>
      <c r="P22" s="6" t="s">
        <v>231</v>
      </c>
      <c r="Q22" s="6" t="s">
        <v>231</v>
      </c>
      <c r="R22" s="6" t="s">
        <v>232</v>
      </c>
      <c r="S22" s="6" t="s">
        <v>232</v>
      </c>
      <c r="T22" s="8" t="s">
        <v>43</v>
      </c>
      <c r="U22" s="6" t="s">
        <v>44</v>
      </c>
      <c r="V22" s="7">
        <v>42495</v>
      </c>
      <c r="W22" s="7">
        <v>42580</v>
      </c>
      <c r="X22" s="6" t="s">
        <v>314</v>
      </c>
      <c r="Y22" s="6" t="s">
        <v>315</v>
      </c>
      <c r="Z22" s="6" t="s">
        <v>316</v>
      </c>
      <c r="AA22" s="22" t="s">
        <v>923</v>
      </c>
      <c r="AB22" s="6" t="s">
        <v>40</v>
      </c>
    </row>
    <row r="23" spans="1:28" ht="72" customHeight="1">
      <c r="A23" s="6">
        <v>2016</v>
      </c>
      <c r="B23" s="6" t="s">
        <v>296</v>
      </c>
      <c r="C23" s="8" t="s">
        <v>317</v>
      </c>
      <c r="D23" s="13">
        <v>42494</v>
      </c>
      <c r="E23" s="8" t="s">
        <v>318</v>
      </c>
      <c r="F23" s="8" t="s">
        <v>67</v>
      </c>
      <c r="G23" s="9">
        <v>4875705.4800000004</v>
      </c>
      <c r="H23" s="8" t="s">
        <v>319</v>
      </c>
      <c r="I23" s="6" t="s">
        <v>320</v>
      </c>
      <c r="J23" s="6" t="s">
        <v>172</v>
      </c>
      <c r="K23" s="6" t="s">
        <v>321</v>
      </c>
      <c r="L23" s="8" t="s">
        <v>322</v>
      </c>
      <c r="M23" s="6" t="s">
        <v>323</v>
      </c>
      <c r="N23" s="9">
        <f t="shared" si="0"/>
        <v>4875705.4800000004</v>
      </c>
      <c r="O23" s="10" t="s">
        <v>40</v>
      </c>
      <c r="P23" s="6" t="s">
        <v>231</v>
      </c>
      <c r="Q23" s="6" t="s">
        <v>231</v>
      </c>
      <c r="R23" s="6" t="s">
        <v>232</v>
      </c>
      <c r="S23" s="6" t="s">
        <v>232</v>
      </c>
      <c r="T23" s="8" t="s">
        <v>43</v>
      </c>
      <c r="U23" s="6" t="s">
        <v>44</v>
      </c>
      <c r="V23" s="7">
        <v>42495</v>
      </c>
      <c r="W23" s="7">
        <v>42580</v>
      </c>
      <c r="X23" s="6" t="s">
        <v>324</v>
      </c>
      <c r="Y23" s="6" t="s">
        <v>149</v>
      </c>
      <c r="Z23" s="6" t="s">
        <v>325</v>
      </c>
      <c r="AA23" s="22" t="s">
        <v>924</v>
      </c>
      <c r="AB23" s="6" t="s">
        <v>40</v>
      </c>
    </row>
    <row r="24" spans="1:28" ht="135">
      <c r="A24" s="6">
        <v>2016</v>
      </c>
      <c r="B24" s="6" t="s">
        <v>30</v>
      </c>
      <c r="C24" s="8" t="s">
        <v>326</v>
      </c>
      <c r="D24" s="13">
        <v>42494</v>
      </c>
      <c r="E24" s="8" t="s">
        <v>327</v>
      </c>
      <c r="F24" s="8" t="s">
        <v>67</v>
      </c>
      <c r="G24" s="9">
        <v>2407303.62</v>
      </c>
      <c r="H24" s="8" t="s">
        <v>328</v>
      </c>
      <c r="I24" s="6" t="s">
        <v>105</v>
      </c>
      <c r="J24" s="6" t="s">
        <v>259</v>
      </c>
      <c r="K24" s="6" t="s">
        <v>329</v>
      </c>
      <c r="L24" s="8" t="s">
        <v>330</v>
      </c>
      <c r="M24" s="6" t="s">
        <v>331</v>
      </c>
      <c r="N24" s="9">
        <f t="shared" si="0"/>
        <v>2407303.62</v>
      </c>
      <c r="O24" s="10" t="s">
        <v>40</v>
      </c>
      <c r="P24" s="6" t="s">
        <v>332</v>
      </c>
      <c r="Q24" s="9">
        <f>N24/1943</f>
        <v>1238.9622336592897</v>
      </c>
      <c r="R24" s="6" t="s">
        <v>42</v>
      </c>
      <c r="S24" s="12">
        <v>8735</v>
      </c>
      <c r="T24" s="8" t="s">
        <v>43</v>
      </c>
      <c r="U24" s="6" t="s">
        <v>44</v>
      </c>
      <c r="V24" s="7">
        <v>42495</v>
      </c>
      <c r="W24" s="7">
        <v>42560</v>
      </c>
      <c r="X24" s="6" t="s">
        <v>333</v>
      </c>
      <c r="Y24" s="6" t="s">
        <v>334</v>
      </c>
      <c r="Z24" s="6" t="s">
        <v>133</v>
      </c>
      <c r="AA24" s="22" t="s">
        <v>925</v>
      </c>
      <c r="AB24" s="6" t="s">
        <v>40</v>
      </c>
    </row>
    <row r="25" spans="1:28" ht="108">
      <c r="A25" s="6">
        <v>2016</v>
      </c>
      <c r="B25" s="6" t="s">
        <v>30</v>
      </c>
      <c r="C25" s="18" t="s">
        <v>335</v>
      </c>
      <c r="D25" s="13">
        <v>42494</v>
      </c>
      <c r="E25" s="8" t="s">
        <v>336</v>
      </c>
      <c r="F25" s="8" t="s">
        <v>67</v>
      </c>
      <c r="G25" s="9">
        <v>3751058.09</v>
      </c>
      <c r="H25" s="8" t="s">
        <v>337</v>
      </c>
      <c r="I25" s="6" t="s">
        <v>338</v>
      </c>
      <c r="J25" s="6" t="s">
        <v>112</v>
      </c>
      <c r="K25" s="6" t="s">
        <v>139</v>
      </c>
      <c r="L25" s="8" t="s">
        <v>339</v>
      </c>
      <c r="M25" s="6" t="s">
        <v>340</v>
      </c>
      <c r="N25" s="9">
        <f t="shared" si="0"/>
        <v>3751058.09</v>
      </c>
      <c r="O25" s="10" t="s">
        <v>40</v>
      </c>
      <c r="P25" s="6" t="s">
        <v>341</v>
      </c>
      <c r="Q25" s="9">
        <f>N25/3528</f>
        <v>1063.2250821995465</v>
      </c>
      <c r="R25" s="6" t="s">
        <v>42</v>
      </c>
      <c r="S25" s="12">
        <v>42592</v>
      </c>
      <c r="T25" s="8" t="s">
        <v>43</v>
      </c>
      <c r="U25" s="6" t="s">
        <v>44</v>
      </c>
      <c r="V25" s="7">
        <v>42495</v>
      </c>
      <c r="W25" s="7">
        <v>42560</v>
      </c>
      <c r="X25" s="6" t="s">
        <v>342</v>
      </c>
      <c r="Y25" s="6" t="s">
        <v>343</v>
      </c>
      <c r="Z25" s="6" t="s">
        <v>344</v>
      </c>
      <c r="AA25" s="18" t="s">
        <v>926</v>
      </c>
      <c r="AB25" s="6" t="s">
        <v>40</v>
      </c>
    </row>
    <row r="26" spans="1:28" ht="121.5">
      <c r="A26" s="6">
        <v>2016</v>
      </c>
      <c r="B26" s="6" t="s">
        <v>30</v>
      </c>
      <c r="C26" s="8" t="s">
        <v>345</v>
      </c>
      <c r="D26" s="13">
        <v>42494</v>
      </c>
      <c r="E26" s="8" t="s">
        <v>346</v>
      </c>
      <c r="F26" s="8" t="s">
        <v>67</v>
      </c>
      <c r="G26" s="9">
        <v>9061398</v>
      </c>
      <c r="H26" s="8" t="s">
        <v>347</v>
      </c>
      <c r="I26" s="6" t="s">
        <v>348</v>
      </c>
      <c r="J26" s="6" t="s">
        <v>349</v>
      </c>
      <c r="K26" s="6" t="s">
        <v>350</v>
      </c>
      <c r="L26" s="8" t="s">
        <v>351</v>
      </c>
      <c r="M26" s="6" t="s">
        <v>352</v>
      </c>
      <c r="N26" s="9">
        <f t="shared" si="0"/>
        <v>9061398</v>
      </c>
      <c r="O26" s="11">
        <v>9061387.8000000007</v>
      </c>
      <c r="P26" s="6" t="s">
        <v>353</v>
      </c>
      <c r="Q26" s="9">
        <f>N26/45550</f>
        <v>198.93299670691547</v>
      </c>
      <c r="R26" s="6" t="s">
        <v>42</v>
      </c>
      <c r="S26" s="12">
        <v>11135</v>
      </c>
      <c r="T26" s="8" t="s">
        <v>43</v>
      </c>
      <c r="U26" s="6" t="s">
        <v>44</v>
      </c>
      <c r="V26" s="7">
        <v>42495</v>
      </c>
      <c r="W26" s="7">
        <v>42560</v>
      </c>
      <c r="X26" s="6" t="s">
        <v>354</v>
      </c>
      <c r="Y26" s="6" t="s">
        <v>355</v>
      </c>
      <c r="Z26" s="6" t="s">
        <v>47</v>
      </c>
      <c r="AA26" s="22" t="s">
        <v>927</v>
      </c>
      <c r="AB26" s="6" t="s">
        <v>40</v>
      </c>
    </row>
    <row r="27" spans="1:28" ht="202.5">
      <c r="A27" s="6">
        <v>2016</v>
      </c>
      <c r="B27" s="6" t="s">
        <v>30</v>
      </c>
      <c r="C27" s="18" t="s">
        <v>356</v>
      </c>
      <c r="D27" s="13">
        <v>42494</v>
      </c>
      <c r="E27" s="8" t="s">
        <v>357</v>
      </c>
      <c r="F27" s="8" t="s">
        <v>67</v>
      </c>
      <c r="G27" s="9">
        <v>5488803.8799999999</v>
      </c>
      <c r="H27" s="8" t="s">
        <v>358</v>
      </c>
      <c r="I27" s="6" t="s">
        <v>359</v>
      </c>
      <c r="J27" s="6" t="s">
        <v>360</v>
      </c>
      <c r="K27" s="6" t="s">
        <v>361</v>
      </c>
      <c r="L27" s="8" t="s">
        <v>362</v>
      </c>
      <c r="M27" s="6" t="s">
        <v>363</v>
      </c>
      <c r="N27" s="9">
        <f t="shared" si="0"/>
        <v>5488803.8799999999</v>
      </c>
      <c r="O27" s="11">
        <v>5488803.8799999999</v>
      </c>
      <c r="P27" s="6" t="s">
        <v>364</v>
      </c>
      <c r="Q27" s="9">
        <f>N27/24196</f>
        <v>226.84757315258719</v>
      </c>
      <c r="R27" s="6" t="s">
        <v>42</v>
      </c>
      <c r="S27" s="12">
        <v>10706</v>
      </c>
      <c r="T27" s="8" t="s">
        <v>43</v>
      </c>
      <c r="U27" s="6" t="s">
        <v>44</v>
      </c>
      <c r="V27" s="7">
        <v>42494</v>
      </c>
      <c r="W27" s="7">
        <v>42559</v>
      </c>
      <c r="X27" s="6" t="s">
        <v>333</v>
      </c>
      <c r="Y27" s="6" t="s">
        <v>334</v>
      </c>
      <c r="Z27" s="6" t="s">
        <v>133</v>
      </c>
      <c r="AA27" s="19" t="s">
        <v>918</v>
      </c>
      <c r="AB27" s="6" t="s">
        <v>40</v>
      </c>
    </row>
    <row r="28" spans="1:28" ht="108">
      <c r="A28" s="6">
        <v>2016</v>
      </c>
      <c r="B28" s="6" t="s">
        <v>30</v>
      </c>
      <c r="C28" s="8" t="s">
        <v>365</v>
      </c>
      <c r="D28" s="13">
        <v>42494</v>
      </c>
      <c r="E28" s="8" t="s">
        <v>366</v>
      </c>
      <c r="F28" s="8" t="s">
        <v>67</v>
      </c>
      <c r="G28" s="9">
        <v>4882068.75</v>
      </c>
      <c r="H28" s="8" t="s">
        <v>367</v>
      </c>
      <c r="I28" s="6" t="s">
        <v>368</v>
      </c>
      <c r="J28" s="6" t="s">
        <v>57</v>
      </c>
      <c r="K28" s="6" t="s">
        <v>369</v>
      </c>
      <c r="L28" s="8" t="s">
        <v>370</v>
      </c>
      <c r="M28" s="6" t="s">
        <v>371</v>
      </c>
      <c r="N28" s="9">
        <f t="shared" si="0"/>
        <v>4882068.75</v>
      </c>
      <c r="O28" s="10" t="s">
        <v>40</v>
      </c>
      <c r="P28" s="6" t="s">
        <v>372</v>
      </c>
      <c r="Q28" s="9">
        <f>N28/14500</f>
        <v>336.69439655172414</v>
      </c>
      <c r="R28" s="6" t="s">
        <v>42</v>
      </c>
      <c r="S28" s="12">
        <v>42592</v>
      </c>
      <c r="T28" s="8" t="s">
        <v>43</v>
      </c>
      <c r="U28" s="6" t="s">
        <v>44</v>
      </c>
      <c r="V28" s="7">
        <v>42495</v>
      </c>
      <c r="W28" s="7">
        <v>42560</v>
      </c>
      <c r="X28" s="6" t="s">
        <v>342</v>
      </c>
      <c r="Y28" s="6" t="s">
        <v>343</v>
      </c>
      <c r="Z28" s="6" t="s">
        <v>344</v>
      </c>
      <c r="AA28" s="22" t="s">
        <v>928</v>
      </c>
      <c r="AB28" s="6" t="s">
        <v>40</v>
      </c>
    </row>
    <row r="29" spans="1:28" ht="108">
      <c r="A29" s="6">
        <v>2016</v>
      </c>
      <c r="B29" s="6" t="s">
        <v>30</v>
      </c>
      <c r="C29" s="18" t="s">
        <v>373</v>
      </c>
      <c r="D29" s="13">
        <v>42494</v>
      </c>
      <c r="E29" s="8" t="s">
        <v>374</v>
      </c>
      <c r="F29" s="8" t="s">
        <v>67</v>
      </c>
      <c r="G29" s="9">
        <v>5720790.3899999997</v>
      </c>
      <c r="H29" s="8" t="s">
        <v>375</v>
      </c>
      <c r="I29" s="6" t="s">
        <v>376</v>
      </c>
      <c r="J29" s="6" t="s">
        <v>377</v>
      </c>
      <c r="K29" s="6" t="s">
        <v>378</v>
      </c>
      <c r="L29" s="8" t="s">
        <v>379</v>
      </c>
      <c r="M29" s="6" t="s">
        <v>380</v>
      </c>
      <c r="N29" s="9">
        <f t="shared" si="0"/>
        <v>5720790.3899999997</v>
      </c>
      <c r="O29" s="10" t="s">
        <v>40</v>
      </c>
      <c r="P29" s="6" t="s">
        <v>381</v>
      </c>
      <c r="Q29" s="9">
        <f>N29/4855</f>
        <v>1178.3296374871265</v>
      </c>
      <c r="R29" s="6" t="s">
        <v>42</v>
      </c>
      <c r="S29" s="12">
        <v>134932</v>
      </c>
      <c r="T29" s="8" t="s">
        <v>43</v>
      </c>
      <c r="U29" s="6" t="s">
        <v>44</v>
      </c>
      <c r="V29" s="7">
        <v>42495</v>
      </c>
      <c r="W29" s="7">
        <v>42560</v>
      </c>
      <c r="X29" s="6" t="s">
        <v>382</v>
      </c>
      <c r="Y29" s="6" t="s">
        <v>383</v>
      </c>
      <c r="Z29" s="6" t="s">
        <v>384</v>
      </c>
      <c r="AA29" s="19" t="s">
        <v>918</v>
      </c>
      <c r="AB29" s="6" t="s">
        <v>40</v>
      </c>
    </row>
    <row r="30" spans="1:28" ht="108">
      <c r="A30" s="6">
        <v>2016</v>
      </c>
      <c r="B30" s="6" t="s">
        <v>30</v>
      </c>
      <c r="C30" s="18" t="s">
        <v>385</v>
      </c>
      <c r="D30" s="13">
        <v>42494</v>
      </c>
      <c r="E30" s="8" t="s">
        <v>386</v>
      </c>
      <c r="F30" s="8" t="s">
        <v>67</v>
      </c>
      <c r="G30" s="9">
        <v>5967161.3700000001</v>
      </c>
      <c r="H30" s="8" t="s">
        <v>375</v>
      </c>
      <c r="I30" s="6" t="s">
        <v>387</v>
      </c>
      <c r="J30" s="6" t="s">
        <v>388</v>
      </c>
      <c r="K30" s="6" t="s">
        <v>389</v>
      </c>
      <c r="L30" s="8" t="s">
        <v>390</v>
      </c>
      <c r="M30" s="6" t="s">
        <v>391</v>
      </c>
      <c r="N30" s="9">
        <f t="shared" si="0"/>
        <v>5967161.3700000001</v>
      </c>
      <c r="O30" s="11">
        <v>5807977.7399999993</v>
      </c>
      <c r="P30" s="6" t="s">
        <v>392</v>
      </c>
      <c r="Q30" s="9">
        <f>N30/3883</f>
        <v>1536.7399871233583</v>
      </c>
      <c r="R30" s="6" t="s">
        <v>42</v>
      </c>
      <c r="S30" s="12">
        <v>134932</v>
      </c>
      <c r="T30" s="8" t="s">
        <v>43</v>
      </c>
      <c r="U30" s="6" t="s">
        <v>44</v>
      </c>
      <c r="V30" s="7">
        <v>42495</v>
      </c>
      <c r="W30" s="7">
        <v>42560</v>
      </c>
      <c r="X30" s="6" t="s">
        <v>393</v>
      </c>
      <c r="Y30" s="6" t="s">
        <v>383</v>
      </c>
      <c r="Z30" s="6" t="s">
        <v>384</v>
      </c>
      <c r="AA30" s="19" t="s">
        <v>918</v>
      </c>
      <c r="AB30" s="6" t="s">
        <v>40</v>
      </c>
    </row>
    <row r="31" spans="1:28" ht="108">
      <c r="A31" s="6">
        <v>2016</v>
      </c>
      <c r="B31" s="6" t="s">
        <v>30</v>
      </c>
      <c r="C31" s="18" t="s">
        <v>394</v>
      </c>
      <c r="D31" s="13">
        <v>42494</v>
      </c>
      <c r="E31" s="8" t="s">
        <v>395</v>
      </c>
      <c r="F31" s="8" t="s">
        <v>67</v>
      </c>
      <c r="G31" s="9">
        <v>9872599.0299999993</v>
      </c>
      <c r="H31" s="8" t="s">
        <v>396</v>
      </c>
      <c r="I31" s="6" t="s">
        <v>397</v>
      </c>
      <c r="J31" s="6" t="s">
        <v>398</v>
      </c>
      <c r="K31" s="6" t="s">
        <v>399</v>
      </c>
      <c r="L31" s="8" t="s">
        <v>400</v>
      </c>
      <c r="M31" s="6" t="s">
        <v>401</v>
      </c>
      <c r="N31" s="9">
        <f t="shared" si="0"/>
        <v>9872599.0299999993</v>
      </c>
      <c r="O31" s="10" t="s">
        <v>40</v>
      </c>
      <c r="P31" s="6" t="s">
        <v>402</v>
      </c>
      <c r="Q31" s="9">
        <f>N31/32145</f>
        <v>307.12705024109499</v>
      </c>
      <c r="R31" s="6" t="s">
        <v>42</v>
      </c>
      <c r="S31" s="12">
        <v>119586</v>
      </c>
      <c r="T31" s="8" t="s">
        <v>43</v>
      </c>
      <c r="U31" s="6" t="s">
        <v>44</v>
      </c>
      <c r="V31" s="7">
        <v>42495</v>
      </c>
      <c r="W31" s="7">
        <v>42591</v>
      </c>
      <c r="X31" s="6" t="s">
        <v>403</v>
      </c>
      <c r="Y31" s="6" t="s">
        <v>404</v>
      </c>
      <c r="Z31" s="6" t="s">
        <v>405</v>
      </c>
      <c r="AA31" s="17" t="s">
        <v>918</v>
      </c>
      <c r="AB31" s="6" t="s">
        <v>40</v>
      </c>
    </row>
    <row r="32" spans="1:28" ht="108">
      <c r="A32" s="6">
        <v>2016</v>
      </c>
      <c r="B32" s="6" t="s">
        <v>30</v>
      </c>
      <c r="C32" s="18" t="s">
        <v>406</v>
      </c>
      <c r="D32" s="13">
        <v>42494</v>
      </c>
      <c r="E32" s="8" t="s">
        <v>407</v>
      </c>
      <c r="F32" s="8" t="s">
        <v>67</v>
      </c>
      <c r="G32" s="9">
        <v>9423095.6600000001</v>
      </c>
      <c r="H32" s="8" t="s">
        <v>396</v>
      </c>
      <c r="I32" s="6" t="s">
        <v>397</v>
      </c>
      <c r="J32" s="6" t="s">
        <v>398</v>
      </c>
      <c r="K32" s="6" t="s">
        <v>399</v>
      </c>
      <c r="L32" s="8" t="s">
        <v>400</v>
      </c>
      <c r="M32" s="6" t="s">
        <v>401</v>
      </c>
      <c r="N32" s="9">
        <v>9423095.6600000001</v>
      </c>
      <c r="O32" s="11">
        <v>9423095.5600000005</v>
      </c>
      <c r="P32" s="6" t="s">
        <v>408</v>
      </c>
      <c r="Q32" s="9">
        <f>N32/30824</f>
        <v>305.70645146638981</v>
      </c>
      <c r="R32" s="6" t="s">
        <v>42</v>
      </c>
      <c r="S32" s="12">
        <v>119586</v>
      </c>
      <c r="T32" s="8" t="s">
        <v>43</v>
      </c>
      <c r="U32" s="6" t="s">
        <v>44</v>
      </c>
      <c r="V32" s="7">
        <v>42495</v>
      </c>
      <c r="W32" s="7">
        <v>42591</v>
      </c>
      <c r="X32" s="6" t="s">
        <v>403</v>
      </c>
      <c r="Y32" s="6" t="s">
        <v>404</v>
      </c>
      <c r="Z32" s="6" t="s">
        <v>405</v>
      </c>
      <c r="AA32" s="17" t="s">
        <v>918</v>
      </c>
      <c r="AB32" s="6" t="s">
        <v>40</v>
      </c>
    </row>
    <row r="33" spans="1:28" ht="121.5">
      <c r="A33" s="6">
        <v>2016</v>
      </c>
      <c r="B33" s="6" t="s">
        <v>30</v>
      </c>
      <c r="C33" s="8" t="s">
        <v>409</v>
      </c>
      <c r="D33" s="13">
        <v>42494</v>
      </c>
      <c r="E33" s="8" t="s">
        <v>410</v>
      </c>
      <c r="F33" s="8" t="s">
        <v>67</v>
      </c>
      <c r="G33" s="9">
        <v>5474275.04</v>
      </c>
      <c r="H33" s="8" t="s">
        <v>396</v>
      </c>
      <c r="I33" s="6" t="s">
        <v>411</v>
      </c>
      <c r="J33" s="6" t="s">
        <v>412</v>
      </c>
      <c r="K33" s="6" t="s">
        <v>413</v>
      </c>
      <c r="L33" s="8" t="s">
        <v>414</v>
      </c>
      <c r="M33" s="6" t="s">
        <v>415</v>
      </c>
      <c r="N33" s="9">
        <f t="shared" si="0"/>
        <v>5474275.04</v>
      </c>
      <c r="O33" s="10" t="s">
        <v>40</v>
      </c>
      <c r="P33" s="6" t="s">
        <v>416</v>
      </c>
      <c r="Q33" s="9">
        <f>N33/17667</f>
        <v>309.85877851361295</v>
      </c>
      <c r="R33" s="6" t="s">
        <v>42</v>
      </c>
      <c r="S33" s="12">
        <v>119586</v>
      </c>
      <c r="T33" s="8" t="s">
        <v>43</v>
      </c>
      <c r="U33" s="6" t="s">
        <v>44</v>
      </c>
      <c r="V33" s="7">
        <v>42495</v>
      </c>
      <c r="W33" s="7">
        <v>42591</v>
      </c>
      <c r="X33" s="6" t="s">
        <v>403</v>
      </c>
      <c r="Y33" s="6" t="s">
        <v>404</v>
      </c>
      <c r="Z33" s="6" t="s">
        <v>405</v>
      </c>
      <c r="AA33" s="6" t="s">
        <v>40</v>
      </c>
      <c r="AB33" s="6" t="s">
        <v>40</v>
      </c>
    </row>
    <row r="34" spans="1:28" ht="121.5">
      <c r="A34" s="6">
        <v>2016</v>
      </c>
      <c r="B34" s="6" t="s">
        <v>30</v>
      </c>
      <c r="C34" s="8" t="s">
        <v>417</v>
      </c>
      <c r="D34" s="13">
        <v>42494</v>
      </c>
      <c r="E34" s="8" t="s">
        <v>418</v>
      </c>
      <c r="F34" s="8" t="s">
        <v>67</v>
      </c>
      <c r="G34" s="9">
        <v>6468498.2699999996</v>
      </c>
      <c r="H34" s="8" t="s">
        <v>396</v>
      </c>
      <c r="I34" s="6" t="s">
        <v>419</v>
      </c>
      <c r="J34" s="6" t="s">
        <v>420</v>
      </c>
      <c r="K34" s="6" t="s">
        <v>254</v>
      </c>
      <c r="L34" s="8" t="s">
        <v>421</v>
      </c>
      <c r="M34" s="6" t="s">
        <v>422</v>
      </c>
      <c r="N34" s="9">
        <f t="shared" si="0"/>
        <v>6468498.2699999996</v>
      </c>
      <c r="O34" s="11">
        <v>6332481.5099999998</v>
      </c>
      <c r="P34" s="6" t="s">
        <v>423</v>
      </c>
      <c r="Q34" s="9">
        <f>N34/16932</f>
        <v>382.0280102763997</v>
      </c>
      <c r="R34" s="6" t="s">
        <v>42</v>
      </c>
      <c r="S34" s="12">
        <v>119586</v>
      </c>
      <c r="T34" s="8" t="s">
        <v>43</v>
      </c>
      <c r="U34" s="6" t="s">
        <v>44</v>
      </c>
      <c r="V34" s="7">
        <v>42495</v>
      </c>
      <c r="W34" s="7">
        <v>42591</v>
      </c>
      <c r="X34" s="6" t="s">
        <v>403</v>
      </c>
      <c r="Y34" s="6" t="s">
        <v>404</v>
      </c>
      <c r="Z34" s="6" t="s">
        <v>405</v>
      </c>
      <c r="AA34" s="22" t="s">
        <v>929</v>
      </c>
      <c r="AB34" s="6" t="s">
        <v>40</v>
      </c>
    </row>
    <row r="35" spans="1:28" ht="81">
      <c r="A35" s="6">
        <v>2016</v>
      </c>
      <c r="B35" s="6" t="s">
        <v>64</v>
      </c>
      <c r="C35" s="8" t="s">
        <v>424</v>
      </c>
      <c r="D35" s="13">
        <v>42461</v>
      </c>
      <c r="E35" s="8" t="s">
        <v>425</v>
      </c>
      <c r="F35" s="8" t="s">
        <v>184</v>
      </c>
      <c r="G35" s="9">
        <v>1555449.71</v>
      </c>
      <c r="H35" s="8" t="s">
        <v>426</v>
      </c>
      <c r="I35" s="6" t="s">
        <v>427</v>
      </c>
      <c r="J35" s="6" t="s">
        <v>133</v>
      </c>
      <c r="K35" s="6" t="s">
        <v>428</v>
      </c>
      <c r="L35" s="8" t="s">
        <v>429</v>
      </c>
      <c r="M35" s="6" t="s">
        <v>430</v>
      </c>
      <c r="N35" s="9">
        <v>1555449.71</v>
      </c>
      <c r="O35" s="10" t="s">
        <v>40</v>
      </c>
      <c r="P35" s="6" t="s">
        <v>431</v>
      </c>
      <c r="Q35" s="9">
        <f>N35/44265</f>
        <v>35.139494182762903</v>
      </c>
      <c r="R35" s="6" t="s">
        <v>42</v>
      </c>
      <c r="S35" s="12">
        <v>13837</v>
      </c>
      <c r="T35" s="8" t="s">
        <v>43</v>
      </c>
      <c r="U35" s="6" t="s">
        <v>44</v>
      </c>
      <c r="V35" s="7">
        <v>42464</v>
      </c>
      <c r="W35" s="7">
        <v>42536</v>
      </c>
      <c r="X35" s="6" t="s">
        <v>382</v>
      </c>
      <c r="Y35" s="6" t="s">
        <v>432</v>
      </c>
      <c r="Z35" s="6" t="s">
        <v>433</v>
      </c>
      <c r="AA35" s="6" t="s">
        <v>40</v>
      </c>
      <c r="AB35" s="6" t="s">
        <v>40</v>
      </c>
    </row>
    <row r="36" spans="1:28" ht="54">
      <c r="A36" s="6">
        <v>2016</v>
      </c>
      <c r="B36" s="6" t="s">
        <v>64</v>
      </c>
      <c r="C36" s="8" t="s">
        <v>434</v>
      </c>
      <c r="D36" s="13">
        <v>42461</v>
      </c>
      <c r="E36" s="8" t="s">
        <v>435</v>
      </c>
      <c r="F36" s="8" t="s">
        <v>184</v>
      </c>
      <c r="G36" s="9">
        <v>476740.63</v>
      </c>
      <c r="H36" s="8" t="s">
        <v>436</v>
      </c>
      <c r="I36" s="6" t="s">
        <v>210</v>
      </c>
      <c r="J36" s="6" t="s">
        <v>244</v>
      </c>
      <c r="K36" s="6" t="s">
        <v>437</v>
      </c>
      <c r="L36" s="8" t="s">
        <v>438</v>
      </c>
      <c r="M36" s="6" t="s">
        <v>439</v>
      </c>
      <c r="N36" s="9">
        <v>476740.63</v>
      </c>
      <c r="O36" s="11">
        <v>466284.81</v>
      </c>
      <c r="P36" s="6" t="s">
        <v>440</v>
      </c>
      <c r="Q36" s="9">
        <f>N36/248</f>
        <v>1922.3412499999999</v>
      </c>
      <c r="R36" s="6" t="s">
        <v>42</v>
      </c>
      <c r="S36" s="12">
        <v>171759</v>
      </c>
      <c r="T36" s="8" t="s">
        <v>43</v>
      </c>
      <c r="U36" s="6" t="s">
        <v>44</v>
      </c>
      <c r="V36" s="7">
        <v>42464</v>
      </c>
      <c r="W36" s="7">
        <v>42510</v>
      </c>
      <c r="X36" s="6" t="s">
        <v>441</v>
      </c>
      <c r="Y36" s="6" t="s">
        <v>442</v>
      </c>
      <c r="Z36" s="6" t="s">
        <v>101</v>
      </c>
      <c r="AA36" s="22" t="s">
        <v>930</v>
      </c>
      <c r="AB36" s="6" t="s">
        <v>40</v>
      </c>
    </row>
    <row r="37" spans="1:28" ht="54">
      <c r="A37" s="6">
        <v>2016</v>
      </c>
      <c r="B37" s="6" t="s">
        <v>64</v>
      </c>
      <c r="C37" s="18" t="s">
        <v>443</v>
      </c>
      <c r="D37" s="13">
        <v>42467</v>
      </c>
      <c r="E37" s="8" t="s">
        <v>444</v>
      </c>
      <c r="F37" s="8" t="s">
        <v>184</v>
      </c>
      <c r="G37" s="9">
        <v>1475860.34</v>
      </c>
      <c r="H37" s="8" t="s">
        <v>445</v>
      </c>
      <c r="I37" s="6" t="s">
        <v>186</v>
      </c>
      <c r="J37" s="6" t="s">
        <v>187</v>
      </c>
      <c r="K37" s="6" t="s">
        <v>188</v>
      </c>
      <c r="L37" s="8" t="s">
        <v>446</v>
      </c>
      <c r="M37" s="6" t="s">
        <v>190</v>
      </c>
      <c r="N37" s="9">
        <v>1475860.34</v>
      </c>
      <c r="O37" s="10" t="s">
        <v>40</v>
      </c>
      <c r="P37" s="6" t="s">
        <v>447</v>
      </c>
      <c r="Q37" s="9">
        <f>N37/37800</f>
        <v>39.043924338624343</v>
      </c>
      <c r="R37" s="6" t="s">
        <v>42</v>
      </c>
      <c r="S37" s="12">
        <v>6696</v>
      </c>
      <c r="T37" s="8" t="s">
        <v>43</v>
      </c>
      <c r="U37" s="6" t="s">
        <v>44</v>
      </c>
      <c r="V37" s="7">
        <v>42471</v>
      </c>
      <c r="W37" s="7">
        <v>42536</v>
      </c>
      <c r="X37" s="6" t="s">
        <v>131</v>
      </c>
      <c r="Y37" s="6" t="s">
        <v>448</v>
      </c>
      <c r="Z37" s="6" t="s">
        <v>133</v>
      </c>
      <c r="AA37" s="19" t="s">
        <v>918</v>
      </c>
      <c r="AB37" s="6" t="s">
        <v>40</v>
      </c>
    </row>
    <row r="38" spans="1:28" ht="81">
      <c r="A38" s="6">
        <v>2016</v>
      </c>
      <c r="B38" s="6" t="s">
        <v>64</v>
      </c>
      <c r="C38" s="8" t="s">
        <v>449</v>
      </c>
      <c r="D38" s="13">
        <v>42475</v>
      </c>
      <c r="E38" s="8" t="s">
        <v>450</v>
      </c>
      <c r="F38" s="8" t="s">
        <v>184</v>
      </c>
      <c r="G38" s="9">
        <v>1495685.74</v>
      </c>
      <c r="H38" s="8" t="s">
        <v>451</v>
      </c>
      <c r="I38" s="6" t="s">
        <v>452</v>
      </c>
      <c r="J38" s="6" t="s">
        <v>453</v>
      </c>
      <c r="K38" s="6" t="s">
        <v>454</v>
      </c>
      <c r="L38" s="8" t="s">
        <v>455</v>
      </c>
      <c r="M38" s="6" t="s">
        <v>456</v>
      </c>
      <c r="N38" s="9">
        <v>1495685.74</v>
      </c>
      <c r="O38" s="10" t="s">
        <v>40</v>
      </c>
      <c r="P38" s="6" t="s">
        <v>457</v>
      </c>
      <c r="Q38" s="9">
        <f>N38/44056</f>
        <v>33.949649082985289</v>
      </c>
      <c r="R38" s="6" t="s">
        <v>42</v>
      </c>
      <c r="S38" s="12">
        <v>10603</v>
      </c>
      <c r="T38" s="8" t="s">
        <v>43</v>
      </c>
      <c r="U38" s="6" t="s">
        <v>44</v>
      </c>
      <c r="V38" s="7">
        <v>42478</v>
      </c>
      <c r="W38" s="7">
        <v>42551</v>
      </c>
      <c r="X38" s="6" t="s">
        <v>342</v>
      </c>
      <c r="Y38" s="6" t="s">
        <v>343</v>
      </c>
      <c r="Z38" s="6" t="s">
        <v>77</v>
      </c>
      <c r="AA38" s="22" t="s">
        <v>931</v>
      </c>
      <c r="AB38" s="6" t="s">
        <v>40</v>
      </c>
    </row>
    <row r="39" spans="1:28" ht="67.5">
      <c r="A39" s="6">
        <v>2016</v>
      </c>
      <c r="B39" s="6" t="s">
        <v>64</v>
      </c>
      <c r="C39" s="8" t="s">
        <v>458</v>
      </c>
      <c r="D39" s="13">
        <v>42475</v>
      </c>
      <c r="E39" s="8" t="s">
        <v>459</v>
      </c>
      <c r="F39" s="8" t="s">
        <v>67</v>
      </c>
      <c r="G39" s="9">
        <v>225850.48</v>
      </c>
      <c r="H39" s="8" t="s">
        <v>460</v>
      </c>
      <c r="I39" s="6" t="s">
        <v>461</v>
      </c>
      <c r="J39" s="6" t="s">
        <v>462</v>
      </c>
      <c r="K39" s="6" t="s">
        <v>463</v>
      </c>
      <c r="L39" s="8" t="s">
        <v>464</v>
      </c>
      <c r="M39" s="6" t="s">
        <v>465</v>
      </c>
      <c r="N39" s="9">
        <v>225850.48</v>
      </c>
      <c r="O39" s="11">
        <v>224514.38</v>
      </c>
      <c r="P39" s="6" t="s">
        <v>466</v>
      </c>
      <c r="Q39" s="9">
        <f>N39/23</f>
        <v>9819.5860869565222</v>
      </c>
      <c r="R39" s="6" t="s">
        <v>42</v>
      </c>
      <c r="S39" s="12">
        <v>25</v>
      </c>
      <c r="T39" s="8" t="s">
        <v>43</v>
      </c>
      <c r="U39" s="6" t="s">
        <v>44</v>
      </c>
      <c r="V39" s="7">
        <v>42478</v>
      </c>
      <c r="W39" s="7">
        <v>42525</v>
      </c>
      <c r="X39" s="6" t="s">
        <v>382</v>
      </c>
      <c r="Y39" s="6" t="s">
        <v>383</v>
      </c>
      <c r="Z39" s="6" t="s">
        <v>300</v>
      </c>
      <c r="AA39" s="6" t="s">
        <v>40</v>
      </c>
      <c r="AB39" s="6" t="s">
        <v>40</v>
      </c>
    </row>
    <row r="40" spans="1:28" ht="54">
      <c r="A40" s="6">
        <v>2016</v>
      </c>
      <c r="B40" s="6" t="s">
        <v>64</v>
      </c>
      <c r="C40" s="8" t="s">
        <v>467</v>
      </c>
      <c r="D40" s="13">
        <v>42482</v>
      </c>
      <c r="E40" s="8" t="s">
        <v>468</v>
      </c>
      <c r="F40" s="8" t="s">
        <v>67</v>
      </c>
      <c r="G40" s="9">
        <v>385554.88</v>
      </c>
      <c r="H40" s="8" t="s">
        <v>469</v>
      </c>
      <c r="I40" s="6" t="s">
        <v>470</v>
      </c>
      <c r="J40" s="6" t="s">
        <v>113</v>
      </c>
      <c r="K40" s="6" t="s">
        <v>471</v>
      </c>
      <c r="L40" s="8" t="s">
        <v>472</v>
      </c>
      <c r="M40" s="6" t="s">
        <v>473</v>
      </c>
      <c r="N40" s="9">
        <v>385554.88</v>
      </c>
      <c r="O40" s="11">
        <v>361144.17000000004</v>
      </c>
      <c r="P40" s="6" t="s">
        <v>474</v>
      </c>
      <c r="Q40" s="9">
        <f>N40/125</f>
        <v>3084.4390400000002</v>
      </c>
      <c r="R40" s="6" t="s">
        <v>42</v>
      </c>
      <c r="S40" s="12">
        <v>172</v>
      </c>
      <c r="T40" s="8" t="s">
        <v>43</v>
      </c>
      <c r="U40" s="6" t="s">
        <v>44</v>
      </c>
      <c r="V40" s="7">
        <v>42485</v>
      </c>
      <c r="W40" s="7">
        <v>42521</v>
      </c>
      <c r="X40" s="6" t="s">
        <v>475</v>
      </c>
      <c r="Y40" s="6" t="s">
        <v>476</v>
      </c>
      <c r="Z40" s="6" t="s">
        <v>89</v>
      </c>
      <c r="AA40" s="6" t="s">
        <v>40</v>
      </c>
      <c r="AB40" s="6" t="s">
        <v>40</v>
      </c>
    </row>
    <row r="41" spans="1:28" ht="135">
      <c r="A41" s="6">
        <v>2016</v>
      </c>
      <c r="B41" s="6" t="s">
        <v>64</v>
      </c>
      <c r="C41" s="8" t="s">
        <v>477</v>
      </c>
      <c r="D41" s="13">
        <v>42482</v>
      </c>
      <c r="E41" s="8" t="s">
        <v>478</v>
      </c>
      <c r="F41" s="8" t="s">
        <v>184</v>
      </c>
      <c r="G41" s="9">
        <v>758305.64</v>
      </c>
      <c r="H41" s="8" t="s">
        <v>479</v>
      </c>
      <c r="I41" s="6" t="s">
        <v>480</v>
      </c>
      <c r="J41" s="6" t="s">
        <v>481</v>
      </c>
      <c r="K41" s="6" t="s">
        <v>482</v>
      </c>
      <c r="L41" s="8" t="s">
        <v>483</v>
      </c>
      <c r="M41" s="6" t="s">
        <v>484</v>
      </c>
      <c r="N41" s="9">
        <v>758305.64</v>
      </c>
      <c r="O41" s="11">
        <v>758301.15</v>
      </c>
      <c r="P41" s="6" t="s">
        <v>485</v>
      </c>
      <c r="Q41" s="9">
        <f>N41/216</f>
        <v>3510.6742592592595</v>
      </c>
      <c r="R41" s="6" t="s">
        <v>42</v>
      </c>
      <c r="S41" s="12">
        <v>4320</v>
      </c>
      <c r="T41" s="8" t="s">
        <v>43</v>
      </c>
      <c r="U41" s="6" t="s">
        <v>44</v>
      </c>
      <c r="V41" s="7">
        <v>42485</v>
      </c>
      <c r="W41" s="7">
        <v>42536</v>
      </c>
      <c r="X41" s="6" t="s">
        <v>131</v>
      </c>
      <c r="Y41" s="6" t="s">
        <v>448</v>
      </c>
      <c r="Z41" s="6" t="s">
        <v>133</v>
      </c>
      <c r="AA41" s="6" t="s">
        <v>40</v>
      </c>
      <c r="AB41" s="6" t="s">
        <v>40</v>
      </c>
    </row>
    <row r="42" spans="1:28" ht="40.5">
      <c r="A42" s="6">
        <v>2016</v>
      </c>
      <c r="B42" s="6" t="s">
        <v>64</v>
      </c>
      <c r="C42" s="8" t="s">
        <v>486</v>
      </c>
      <c r="D42" s="13">
        <v>42475</v>
      </c>
      <c r="E42" s="8" t="s">
        <v>487</v>
      </c>
      <c r="F42" s="8" t="s">
        <v>67</v>
      </c>
      <c r="G42" s="9">
        <v>377452.12</v>
      </c>
      <c r="H42" s="8" t="s">
        <v>488</v>
      </c>
      <c r="I42" s="6" t="s">
        <v>489</v>
      </c>
      <c r="J42" s="6" t="s">
        <v>490</v>
      </c>
      <c r="K42" s="6" t="s">
        <v>491</v>
      </c>
      <c r="L42" s="8" t="s">
        <v>492</v>
      </c>
      <c r="M42" s="6" t="s">
        <v>493</v>
      </c>
      <c r="N42" s="9">
        <v>377452.12</v>
      </c>
      <c r="O42" s="10" t="s">
        <v>40</v>
      </c>
      <c r="P42" s="6" t="s">
        <v>494</v>
      </c>
      <c r="Q42" s="9">
        <f>N42/735</f>
        <v>513.54029931972786</v>
      </c>
      <c r="R42" s="6" t="s">
        <v>42</v>
      </c>
      <c r="S42" s="12">
        <v>865</v>
      </c>
      <c r="T42" s="8" t="s">
        <v>43</v>
      </c>
      <c r="U42" s="6" t="s">
        <v>44</v>
      </c>
      <c r="V42" s="7">
        <v>42478</v>
      </c>
      <c r="W42" s="7">
        <v>42545</v>
      </c>
      <c r="X42" s="6" t="s">
        <v>495</v>
      </c>
      <c r="Y42" s="6" t="s">
        <v>496</v>
      </c>
      <c r="Z42" s="6" t="s">
        <v>497</v>
      </c>
      <c r="AA42" s="6" t="s">
        <v>40</v>
      </c>
      <c r="AB42" s="6" t="s">
        <v>40</v>
      </c>
    </row>
    <row r="43" spans="1:28" ht="162">
      <c r="A43" s="6">
        <v>2016</v>
      </c>
      <c r="B43" s="6" t="s">
        <v>64</v>
      </c>
      <c r="C43" s="8" t="s">
        <v>498</v>
      </c>
      <c r="D43" s="13">
        <v>42461</v>
      </c>
      <c r="E43" s="8" t="s">
        <v>499</v>
      </c>
      <c r="F43" s="8" t="s">
        <v>67</v>
      </c>
      <c r="G43" s="9">
        <v>365693.05</v>
      </c>
      <c r="H43" s="8" t="s">
        <v>500</v>
      </c>
      <c r="I43" s="6" t="s">
        <v>501</v>
      </c>
      <c r="J43" s="6" t="s">
        <v>502</v>
      </c>
      <c r="K43" s="6" t="s">
        <v>206</v>
      </c>
      <c r="L43" s="8" t="s">
        <v>503</v>
      </c>
      <c r="M43" s="6" t="s">
        <v>504</v>
      </c>
      <c r="N43" s="9">
        <v>365693.05</v>
      </c>
      <c r="O43" s="10" t="s">
        <v>40</v>
      </c>
      <c r="P43" s="6" t="s">
        <v>505</v>
      </c>
      <c r="Q43" s="9">
        <f>N43/1543</f>
        <v>237.00132858068696</v>
      </c>
      <c r="R43" s="6" t="s">
        <v>42</v>
      </c>
      <c r="S43" s="12">
        <v>1766</v>
      </c>
      <c r="T43" s="8" t="s">
        <v>43</v>
      </c>
      <c r="U43" s="6" t="s">
        <v>44</v>
      </c>
      <c r="V43" s="7">
        <v>42464</v>
      </c>
      <c r="W43" s="7">
        <v>42545</v>
      </c>
      <c r="X43" s="6" t="s">
        <v>495</v>
      </c>
      <c r="Y43" s="6" t="s">
        <v>496</v>
      </c>
      <c r="Z43" s="6" t="s">
        <v>497</v>
      </c>
      <c r="AA43" s="6" t="s">
        <v>40</v>
      </c>
      <c r="AB43" s="6" t="s">
        <v>40</v>
      </c>
    </row>
    <row r="44" spans="1:28" ht="94.5">
      <c r="A44" s="6">
        <v>2016</v>
      </c>
      <c r="B44" s="6" t="s">
        <v>64</v>
      </c>
      <c r="C44" s="8" t="s">
        <v>506</v>
      </c>
      <c r="D44" s="13">
        <v>42482</v>
      </c>
      <c r="E44" s="8" t="s">
        <v>507</v>
      </c>
      <c r="F44" s="8" t="s">
        <v>67</v>
      </c>
      <c r="G44" s="9">
        <v>256955.42</v>
      </c>
      <c r="H44" s="8" t="s">
        <v>508</v>
      </c>
      <c r="I44" s="6" t="s">
        <v>509</v>
      </c>
      <c r="J44" s="6" t="s">
        <v>161</v>
      </c>
      <c r="K44" s="6" t="s">
        <v>321</v>
      </c>
      <c r="L44" s="8" t="s">
        <v>510</v>
      </c>
      <c r="M44" s="6" t="s">
        <v>511</v>
      </c>
      <c r="N44" s="9">
        <v>256955.42</v>
      </c>
      <c r="O44" s="11">
        <v>226398.84</v>
      </c>
      <c r="P44" s="6" t="s">
        <v>110</v>
      </c>
      <c r="Q44" s="9">
        <f>N44/315</f>
        <v>815.73149206349206</v>
      </c>
      <c r="R44" s="6" t="s">
        <v>42</v>
      </c>
      <c r="S44" s="12">
        <v>1085</v>
      </c>
      <c r="T44" s="8" t="s">
        <v>43</v>
      </c>
      <c r="U44" s="6" t="s">
        <v>44</v>
      </c>
      <c r="V44" s="7">
        <v>42485</v>
      </c>
      <c r="W44" s="7">
        <v>42518</v>
      </c>
      <c r="X44" s="6" t="s">
        <v>512</v>
      </c>
      <c r="Y44" s="6" t="s">
        <v>513</v>
      </c>
      <c r="Z44" s="6" t="s">
        <v>280</v>
      </c>
      <c r="AA44" s="6" t="s">
        <v>40</v>
      </c>
      <c r="AB44" s="6" t="s">
        <v>40</v>
      </c>
    </row>
    <row r="45" spans="1:28" ht="202.5">
      <c r="A45" s="6">
        <v>2016</v>
      </c>
      <c r="B45" s="6" t="s">
        <v>64</v>
      </c>
      <c r="C45" s="8" t="s">
        <v>514</v>
      </c>
      <c r="D45" s="13">
        <v>42501</v>
      </c>
      <c r="E45" s="8" t="s">
        <v>515</v>
      </c>
      <c r="F45" s="8" t="s">
        <v>184</v>
      </c>
      <c r="G45" s="9">
        <v>1546969.1500000001</v>
      </c>
      <c r="H45" s="8" t="s">
        <v>516</v>
      </c>
      <c r="I45" s="6" t="str">
        <f>'[1]V, inciso o) (OP)'!M40</f>
        <v>José Antonio</v>
      </c>
      <c r="J45" s="6" t="str">
        <f>'[1]V, inciso o) (OP)'!N40</f>
        <v>Álvarez</v>
      </c>
      <c r="K45" s="6" t="str">
        <f>'[1]V, inciso o) (OP)'!O40</f>
        <v>Garcia</v>
      </c>
      <c r="L45" s="8" t="str">
        <f>'[1]V, inciso o) (OP)'!P40</f>
        <v>Urcoma 1970, S. A. de C. V. PCZ-041/2016</v>
      </c>
      <c r="M45" s="6" t="str">
        <f>'[1]V, inciso o) (OP)'!Q40</f>
        <v>UMN160125869</v>
      </c>
      <c r="N45" s="9">
        <v>1546969.15</v>
      </c>
      <c r="O45" s="11">
        <v>1546887.7200000002</v>
      </c>
      <c r="P45" s="6" t="s">
        <v>517</v>
      </c>
      <c r="Q45" s="6" t="s">
        <v>231</v>
      </c>
      <c r="R45" s="6" t="s">
        <v>42</v>
      </c>
      <c r="S45" s="12">
        <v>192531</v>
      </c>
      <c r="T45" s="8" t="s">
        <v>43</v>
      </c>
      <c r="U45" s="6" t="s">
        <v>44</v>
      </c>
      <c r="V45" s="7">
        <v>42502</v>
      </c>
      <c r="W45" s="7">
        <v>42582</v>
      </c>
      <c r="X45" s="6" t="s">
        <v>518</v>
      </c>
      <c r="Y45" s="6" t="s">
        <v>519</v>
      </c>
      <c r="Z45" s="6" t="s">
        <v>63</v>
      </c>
      <c r="AA45" s="6" t="s">
        <v>40</v>
      </c>
      <c r="AB45" s="6" t="s">
        <v>40</v>
      </c>
    </row>
    <row r="46" spans="1:28" ht="40.5">
      <c r="A46" s="6">
        <v>2016</v>
      </c>
      <c r="B46" s="6" t="s">
        <v>64</v>
      </c>
      <c r="C46" s="8" t="s">
        <v>520</v>
      </c>
      <c r="D46" s="13">
        <v>42503</v>
      </c>
      <c r="E46" s="8" t="s">
        <v>521</v>
      </c>
      <c r="F46" s="8" t="s">
        <v>67</v>
      </c>
      <c r="G46" s="9">
        <v>1495650.37</v>
      </c>
      <c r="H46" s="8" t="s">
        <v>522</v>
      </c>
      <c r="I46" s="6" t="str">
        <f>'[1]V, inciso o) (OP)'!M41</f>
        <v>Juan Francisco</v>
      </c>
      <c r="J46" s="6" t="str">
        <f>'[1]V, inciso o) (OP)'!N41</f>
        <v>Toscano</v>
      </c>
      <c r="K46" s="6" t="str">
        <f>'[1]V, inciso o) (OP)'!O41</f>
        <v>Lases</v>
      </c>
      <c r="L46" s="8" t="str">
        <f>'[1]V, inciso o) (OP)'!P41</f>
        <v>Infografía Digital de Occidente, S. A. de C. V. PCZ-178/2016</v>
      </c>
      <c r="M46" s="6" t="str">
        <f>'[1]V, inciso o) (OP)'!Q41</f>
        <v>IDO100427QG2</v>
      </c>
      <c r="N46" s="9">
        <v>1495650.37</v>
      </c>
      <c r="O46" s="10" t="s">
        <v>40</v>
      </c>
      <c r="P46" s="6" t="s">
        <v>231</v>
      </c>
      <c r="Q46" s="6" t="s">
        <v>231</v>
      </c>
      <c r="R46" s="6" t="s">
        <v>232</v>
      </c>
      <c r="S46" s="12" t="s">
        <v>232</v>
      </c>
      <c r="T46" s="8" t="s">
        <v>43</v>
      </c>
      <c r="U46" s="6" t="s">
        <v>44</v>
      </c>
      <c r="V46" s="7">
        <v>42506</v>
      </c>
      <c r="W46" s="7">
        <v>42582</v>
      </c>
      <c r="X46" s="6" t="s">
        <v>523</v>
      </c>
      <c r="Y46" s="6" t="s">
        <v>524</v>
      </c>
      <c r="Z46" s="6" t="s">
        <v>462</v>
      </c>
      <c r="AA46" s="6" t="s">
        <v>40</v>
      </c>
      <c r="AB46" s="6" t="s">
        <v>40</v>
      </c>
    </row>
    <row r="47" spans="1:28" ht="72.599999999999994" customHeight="1">
      <c r="A47" s="6">
        <v>2016</v>
      </c>
      <c r="B47" s="6" t="s">
        <v>296</v>
      </c>
      <c r="C47" s="8" t="s">
        <v>525</v>
      </c>
      <c r="D47" s="13">
        <v>42580</v>
      </c>
      <c r="E47" s="8" t="str">
        <f>'[1]V, inciso p) (OP)'!AL23</f>
        <v>Construcción de muro mecánicamente estabilizado (obra complementaria) para conexión al retorno vial a Periférico Norte y Av Juan Palomar y Arias, municipio de Zapopan, Jalisco.</v>
      </c>
      <c r="F47" s="8" t="s">
        <v>67</v>
      </c>
      <c r="G47" s="9">
        <f>'[1]V, inciso p) (OP)'!AG23</f>
        <v>4256046.82</v>
      </c>
      <c r="H47" s="8" t="str">
        <f>'[1]V, inciso p) (OP)'!AS23</f>
        <v>Col. Parque Industrial Belenes</v>
      </c>
      <c r="I47" s="6" t="s">
        <v>526</v>
      </c>
      <c r="J47" s="6" t="s">
        <v>462</v>
      </c>
      <c r="K47" s="6" t="s">
        <v>254</v>
      </c>
      <c r="L47" s="8" t="s">
        <v>527</v>
      </c>
      <c r="M47" s="6" t="s">
        <v>528</v>
      </c>
      <c r="N47" s="9">
        <v>4256046.82</v>
      </c>
      <c r="O47" s="11">
        <v>4256046.5200000005</v>
      </c>
      <c r="P47" s="6" t="s">
        <v>529</v>
      </c>
      <c r="Q47" s="9">
        <f>N47/750</f>
        <v>5674.7290933333334</v>
      </c>
      <c r="R47" s="6" t="s">
        <v>42</v>
      </c>
      <c r="S47" s="12">
        <v>92837</v>
      </c>
      <c r="T47" s="8" t="s">
        <v>43</v>
      </c>
      <c r="U47" s="6" t="s">
        <v>44</v>
      </c>
      <c r="V47" s="7">
        <v>42583</v>
      </c>
      <c r="W47" s="7">
        <v>42627</v>
      </c>
      <c r="X47" s="6" t="s">
        <v>530</v>
      </c>
      <c r="Y47" s="6" t="s">
        <v>343</v>
      </c>
      <c r="Z47" s="6" t="s">
        <v>344</v>
      </c>
      <c r="AA47" s="6" t="s">
        <v>40</v>
      </c>
      <c r="AB47" s="6" t="s">
        <v>40</v>
      </c>
    </row>
    <row r="48" spans="1:28" ht="94.5">
      <c r="A48" s="6">
        <v>2016</v>
      </c>
      <c r="B48" s="6" t="s">
        <v>296</v>
      </c>
      <c r="C48" s="8" t="s">
        <v>531</v>
      </c>
      <c r="D48" s="13">
        <v>42580</v>
      </c>
      <c r="E48" s="8" t="str">
        <f>'[1]V, inciso p) (OP)'!AL24</f>
        <v>Construcción de pavimento de concreto hidráulico, sustitución de líneas de agua potable y de drenaje sanitario, construcción de banquetas, guarniciones y alumbrado público, en el carril norte de la calle Puente el Palomar de la calle Campanario a calle Nardo, municipio de Zapopan, Jalisco.</v>
      </c>
      <c r="F48" s="8" t="s">
        <v>67</v>
      </c>
      <c r="G48" s="9">
        <f>'[1]V, inciso p) (OP)'!AG24</f>
        <v>4886861.9000000004</v>
      </c>
      <c r="H48" s="8" t="str">
        <f>'[1]V, inciso p) (OP)'!AS24</f>
        <v>Col. El Campanario</v>
      </c>
      <c r="I48" s="6" t="s">
        <v>532</v>
      </c>
      <c r="J48" s="6" t="s">
        <v>77</v>
      </c>
      <c r="K48" s="6" t="s">
        <v>295</v>
      </c>
      <c r="L48" s="8" t="s">
        <v>533</v>
      </c>
      <c r="M48" s="6" t="s">
        <v>534</v>
      </c>
      <c r="N48" s="9">
        <v>4886861.9000000004</v>
      </c>
      <c r="O48" s="10" t="s">
        <v>40</v>
      </c>
      <c r="P48" s="6" t="s">
        <v>535</v>
      </c>
      <c r="Q48" s="9">
        <f>N48/2466</f>
        <v>1981.6958231954584</v>
      </c>
      <c r="R48" s="6" t="s">
        <v>42</v>
      </c>
      <c r="S48" s="12">
        <v>2159</v>
      </c>
      <c r="T48" s="8" t="s">
        <v>43</v>
      </c>
      <c r="U48" s="6" t="s">
        <v>44</v>
      </c>
      <c r="V48" s="7">
        <v>42583</v>
      </c>
      <c r="W48" s="7">
        <v>42627</v>
      </c>
      <c r="X48" s="6" t="s">
        <v>536</v>
      </c>
      <c r="Y48" s="6" t="s">
        <v>383</v>
      </c>
      <c r="Z48" s="6" t="s">
        <v>300</v>
      </c>
      <c r="AA48" s="6" t="s">
        <v>40</v>
      </c>
      <c r="AB48" s="6" t="s">
        <v>40</v>
      </c>
    </row>
    <row r="49" spans="1:28" ht="108">
      <c r="A49" s="6">
        <v>2016</v>
      </c>
      <c r="B49" s="6" t="s">
        <v>296</v>
      </c>
      <c r="C49" s="8" t="s">
        <v>537</v>
      </c>
      <c r="D49" s="13">
        <v>42580</v>
      </c>
      <c r="E49" s="8" t="str">
        <f>'[1]V, inciso p) (OP)'!AL25</f>
        <v>Construcción de pavimento de concreto hidráulico, sustitución de líneas de agua potable, drenaje sanitario, construcción de banquetas, guarniciones y alumbrado público, en la calle Niños Héroes de Emiliano Zapata a Hidalgo y de Hidalgo de Niños Héroes a Ignacio Allende, en la localidad de Santa Lucia, municipio de Zapopan, Jalisco.</v>
      </c>
      <c r="F49" s="8" t="s">
        <v>67</v>
      </c>
      <c r="G49" s="9">
        <f>'[1]V, inciso p) (OP)'!AG25</f>
        <v>3920653.99</v>
      </c>
      <c r="H49" s="8" t="str">
        <f>'[1]V, inciso p) (OP)'!AS25</f>
        <v>Localidad Santa Lucía</v>
      </c>
      <c r="I49" s="6" t="s">
        <v>538</v>
      </c>
      <c r="J49" s="6" t="s">
        <v>539</v>
      </c>
      <c r="K49" s="6" t="s">
        <v>540</v>
      </c>
      <c r="L49" s="8" t="s">
        <v>541</v>
      </c>
      <c r="M49" s="6" t="s">
        <v>542</v>
      </c>
      <c r="N49" s="9">
        <v>3920653.99</v>
      </c>
      <c r="O49" s="10" t="s">
        <v>40</v>
      </c>
      <c r="P49" s="6" t="s">
        <v>543</v>
      </c>
      <c r="Q49" s="9">
        <f>N49/2014</f>
        <v>1946.7000943396229</v>
      </c>
      <c r="R49" s="6" t="s">
        <v>42</v>
      </c>
      <c r="S49" s="12">
        <v>1748</v>
      </c>
      <c r="T49" s="8" t="s">
        <v>43</v>
      </c>
      <c r="U49" s="6" t="s">
        <v>44</v>
      </c>
      <c r="V49" s="7">
        <v>42583</v>
      </c>
      <c r="W49" s="7">
        <v>42627</v>
      </c>
      <c r="X49" s="6" t="s">
        <v>544</v>
      </c>
      <c r="Y49" s="6" t="s">
        <v>545</v>
      </c>
      <c r="Z49" s="6" t="s">
        <v>212</v>
      </c>
      <c r="AA49" s="6" t="s">
        <v>40</v>
      </c>
      <c r="AB49" s="6" t="s">
        <v>40</v>
      </c>
    </row>
    <row r="50" spans="1:28" ht="67.5">
      <c r="A50" s="6">
        <v>2016</v>
      </c>
      <c r="B50" s="6" t="s">
        <v>296</v>
      </c>
      <c r="C50" s="8" t="s">
        <v>546</v>
      </c>
      <c r="D50" s="13">
        <v>42580</v>
      </c>
      <c r="E50" s="8" t="str">
        <f>'[1]V, inciso p) (OP)'!AL26</f>
        <v>Construcción de la red de agua potable y de drenaje sanitario en la carretera La Venta del Astillero - Santa Lucia, en la colonia La Soledad, localidad de Nextipac, municipio de Zapopan, Jalisco</v>
      </c>
      <c r="F50" s="8" t="s">
        <v>67</v>
      </c>
      <c r="G50" s="9">
        <f>'[1]V, inciso p) (OP)'!AG26</f>
        <v>5701133.4699999997</v>
      </c>
      <c r="H50" s="8" t="str">
        <f>'[1]V, inciso p) (OP)'!AS26</f>
        <v>Localidad de Nextipac</v>
      </c>
      <c r="I50" s="6" t="s">
        <v>547</v>
      </c>
      <c r="J50" s="6" t="s">
        <v>548</v>
      </c>
      <c r="K50" s="6" t="s">
        <v>549</v>
      </c>
      <c r="L50" s="8" t="s">
        <v>550</v>
      </c>
      <c r="M50" s="6" t="s">
        <v>551</v>
      </c>
      <c r="N50" s="9">
        <v>5701133.4699999997</v>
      </c>
      <c r="O50" s="10" t="s">
        <v>40</v>
      </c>
      <c r="P50" s="6" t="s">
        <v>552</v>
      </c>
      <c r="Q50" s="9">
        <f>N50/2390</f>
        <v>2385.4114937238492</v>
      </c>
      <c r="R50" s="6" t="s">
        <v>42</v>
      </c>
      <c r="S50" s="12">
        <v>5663</v>
      </c>
      <c r="T50" s="8" t="s">
        <v>43</v>
      </c>
      <c r="U50" s="6" t="s">
        <v>44</v>
      </c>
      <c r="V50" s="7">
        <v>42583</v>
      </c>
      <c r="W50" s="7">
        <v>42642</v>
      </c>
      <c r="X50" s="6" t="s">
        <v>544</v>
      </c>
      <c r="Y50" s="6" t="s">
        <v>545</v>
      </c>
      <c r="Z50" s="6" t="s">
        <v>212</v>
      </c>
      <c r="AA50" s="6" t="s">
        <v>40</v>
      </c>
      <c r="AB50" s="6" t="s">
        <v>40</v>
      </c>
    </row>
    <row r="51" spans="1:28" ht="67.5">
      <c r="A51" s="6">
        <v>2016</v>
      </c>
      <c r="B51" s="6" t="s">
        <v>296</v>
      </c>
      <c r="C51" s="8" t="s">
        <v>553</v>
      </c>
      <c r="D51" s="13">
        <v>42580</v>
      </c>
      <c r="E51" s="8" t="str">
        <f>'[1]V, inciso p) (OP)'!AL27</f>
        <v>Construcción de líneas de drenaje sanitario y de agua potable, subrasante y base hidráulica en la calle Cesario Rivera desde la carreta a Saltillo a la calle Jacinto González Peña, en la colonia Villas de Guadalupe, municipio de Zapopan, Jalisco.</v>
      </c>
      <c r="F51" s="8" t="s">
        <v>67</v>
      </c>
      <c r="G51" s="9">
        <f>'[1]V, inciso p) (OP)'!AG27</f>
        <v>2157478.2999999998</v>
      </c>
      <c r="H51" s="8" t="str">
        <f>'[1]V, inciso p) (OP)'!AS27</f>
        <v>Col. Villas de Guadalupe</v>
      </c>
      <c r="I51" s="6" t="s">
        <v>116</v>
      </c>
      <c r="J51" s="6" t="s">
        <v>149</v>
      </c>
      <c r="K51" s="6" t="s">
        <v>150</v>
      </c>
      <c r="L51" s="8" t="s">
        <v>554</v>
      </c>
      <c r="M51" s="6" t="s">
        <v>152</v>
      </c>
      <c r="N51" s="9">
        <v>2157478.2999999998</v>
      </c>
      <c r="O51" s="10" t="s">
        <v>40</v>
      </c>
      <c r="P51" s="6" t="s">
        <v>555</v>
      </c>
      <c r="Q51" s="9">
        <f>N51/808</f>
        <v>2670.1464108910891</v>
      </c>
      <c r="R51" s="6" t="s">
        <v>42</v>
      </c>
      <c r="S51" s="12">
        <v>2762</v>
      </c>
      <c r="T51" s="8" t="s">
        <v>43</v>
      </c>
      <c r="U51" s="6" t="s">
        <v>44</v>
      </c>
      <c r="V51" s="7">
        <v>42583</v>
      </c>
      <c r="W51" s="7">
        <v>42642</v>
      </c>
      <c r="X51" s="6" t="s">
        <v>556</v>
      </c>
      <c r="Y51" s="6" t="s">
        <v>557</v>
      </c>
      <c r="Z51" s="6" t="s">
        <v>558</v>
      </c>
      <c r="AA51" s="6" t="s">
        <v>40</v>
      </c>
      <c r="AB51" s="6" t="s">
        <v>40</v>
      </c>
    </row>
    <row r="52" spans="1:28" ht="67.5">
      <c r="A52" s="6">
        <v>2016</v>
      </c>
      <c r="B52" s="6" t="s">
        <v>296</v>
      </c>
      <c r="C52" s="8" t="s">
        <v>559</v>
      </c>
      <c r="D52" s="13">
        <v>42580</v>
      </c>
      <c r="E52" s="8" t="str">
        <f>'[1]V, inciso p) (OP)'!AL28</f>
        <v>Construcción de líneas de drenaje sanitario y de agua potable, subrasante y base hidráulica en la calle Idolina Gaona entre Decima Oriente y Cuarta Oriente  en la colonia Jardines de Nuevo México, municipio de Zapopan, Jalisco.</v>
      </c>
      <c r="F52" s="8" t="s">
        <v>67</v>
      </c>
      <c r="G52" s="9">
        <f>'[1]V, inciso p) (OP)'!AG28</f>
        <v>3164998.73</v>
      </c>
      <c r="H52" s="8" t="str">
        <f>'[1]V, inciso p) (OP)'!AS28</f>
        <v>Col. Jardines de Nuevo México</v>
      </c>
      <c r="I52" s="6" t="s">
        <v>547</v>
      </c>
      <c r="J52" s="6" t="s">
        <v>560</v>
      </c>
      <c r="K52" s="6" t="s">
        <v>117</v>
      </c>
      <c r="L52" s="8" t="s">
        <v>561</v>
      </c>
      <c r="M52" s="6" t="s">
        <v>562</v>
      </c>
      <c r="N52" s="9">
        <v>3164998.73</v>
      </c>
      <c r="O52" s="10" t="s">
        <v>40</v>
      </c>
      <c r="P52" s="6" t="s">
        <v>563</v>
      </c>
      <c r="Q52" s="9">
        <f>N52/561</f>
        <v>5641.7089661319069</v>
      </c>
      <c r="R52" s="6" t="s">
        <v>42</v>
      </c>
      <c r="S52" s="12">
        <v>4470</v>
      </c>
      <c r="T52" s="8" t="s">
        <v>43</v>
      </c>
      <c r="U52" s="6" t="s">
        <v>44</v>
      </c>
      <c r="V52" s="7">
        <v>42583</v>
      </c>
      <c r="W52" s="7">
        <v>42642</v>
      </c>
      <c r="X52" s="6" t="s">
        <v>544</v>
      </c>
      <c r="Y52" s="6" t="s">
        <v>545</v>
      </c>
      <c r="Z52" s="6" t="s">
        <v>212</v>
      </c>
      <c r="AA52" s="6" t="s">
        <v>40</v>
      </c>
      <c r="AB52" s="6" t="s">
        <v>40</v>
      </c>
    </row>
    <row r="53" spans="1:28" ht="94.5">
      <c r="A53" s="6">
        <v>2016</v>
      </c>
      <c r="B53" s="6" t="s">
        <v>30</v>
      </c>
      <c r="C53" s="8" t="str">
        <f>'[1]V, inciso p) (OP)'!D29</f>
        <v>DOPI-MUN-PP-PAV-LP-050-2016</v>
      </c>
      <c r="D53" s="13">
        <f>'[1]V, inciso p) (OP)'!AD29</f>
        <v>42593</v>
      </c>
      <c r="E53" s="8" t="str">
        <f>'[1]V, inciso p) (OP)'!AL29</f>
        <v>Construcción de pavimento de concreto hidráulico MR-45, sustitución de líneas de agua potable y de alcantarillado, alumbrado público, construcción de guarniciones y banquetas, en la calle Jalisco de la calle Aldama a la calle San Francisco, en la localidad de Tesistán, municipio de Zapopan, Jalisco.</v>
      </c>
      <c r="F53" s="8" t="s">
        <v>67</v>
      </c>
      <c r="G53" s="9">
        <f>'[1]V, inciso p) (OP)'!AG29</f>
        <v>4426493.25</v>
      </c>
      <c r="H53" s="8" t="str">
        <f>'[1]V, inciso p) (OP)'!AS29</f>
        <v>Tesitán</v>
      </c>
      <c r="I53" s="6" t="str">
        <f>'[1]V, inciso p) (OP)'!T29</f>
        <v>Julio Eduardo</v>
      </c>
      <c r="J53" s="6" t="str">
        <f>'[1]V, inciso p) (OP)'!U29</f>
        <v>Lopez</v>
      </c>
      <c r="K53" s="6" t="str">
        <f>'[1]V, inciso p) (OP)'!V29</f>
        <v>Perez</v>
      </c>
      <c r="L53" s="8" t="str">
        <f>'[1]V, inciso p) (OP)'!W29</f>
        <v>Proyectos e Insumos Industriales Jelp, S.A. de C.V.</v>
      </c>
      <c r="M53" s="6" t="str">
        <f>'[1]V, inciso p) (OP)'!X29</f>
        <v>PEI020208RW0</v>
      </c>
      <c r="N53" s="9">
        <f>G53</f>
        <v>4426493.25</v>
      </c>
      <c r="O53" s="10" t="s">
        <v>40</v>
      </c>
      <c r="P53" s="6" t="s">
        <v>564</v>
      </c>
      <c r="Q53" s="9">
        <f>N53/2010</f>
        <v>2202.2354477611939</v>
      </c>
      <c r="R53" s="6" t="s">
        <v>42</v>
      </c>
      <c r="S53" s="12">
        <v>60027</v>
      </c>
      <c r="T53" s="8" t="s">
        <v>43</v>
      </c>
      <c r="U53" s="6" t="s">
        <v>565</v>
      </c>
      <c r="V53" s="7">
        <f>'[1]V, inciso p) (OP)'!AM29</f>
        <v>42614</v>
      </c>
      <c r="W53" s="7">
        <f>'[1]V, inciso p) (OP)'!AN29</f>
        <v>42735</v>
      </c>
      <c r="X53" s="6" t="s">
        <v>544</v>
      </c>
      <c r="Y53" s="6" t="s">
        <v>545</v>
      </c>
      <c r="Z53" s="6" t="s">
        <v>212</v>
      </c>
      <c r="AA53" s="6" t="s">
        <v>40</v>
      </c>
      <c r="AB53" s="6" t="s">
        <v>40</v>
      </c>
    </row>
    <row r="54" spans="1:28" ht="94.5">
      <c r="A54" s="6">
        <v>2016</v>
      </c>
      <c r="B54" s="6" t="s">
        <v>30</v>
      </c>
      <c r="C54" s="8" t="str">
        <f>'[1]V, inciso p) (OP)'!D30</f>
        <v>DOPI-MUN-PP-PAV-LP-051-2016</v>
      </c>
      <c r="D54" s="13">
        <f>'[1]V, inciso p) (OP)'!AD30</f>
        <v>42600</v>
      </c>
      <c r="E54" s="8" t="str">
        <f>'[1]V, inciso p) (OP)'!AL30</f>
        <v>Construcción de pavimento de concreto hidráulico MR-45, sustitución de líneas de agua potable y de alcantarillado, alumbrado público, construcción de guarniciones y banquetas, en la calle Hidalgo de la calle Jalisco a la calle Lucio Blanco, en la localidad de Tesistán, municipio de Zapopan, Jalisco.</v>
      </c>
      <c r="F54" s="8" t="s">
        <v>67</v>
      </c>
      <c r="G54" s="9">
        <f>'[1]V, inciso p) (OP)'!AG30</f>
        <v>8579575.5199999996</v>
      </c>
      <c r="H54" s="8" t="str">
        <f>'[1]V, inciso p) (OP)'!AS30</f>
        <v>Tesitán</v>
      </c>
      <c r="I54" s="6" t="str">
        <f>'[1]V, inciso p) (OP)'!T30</f>
        <v xml:space="preserve">Cesar Agustin </v>
      </c>
      <c r="J54" s="6" t="str">
        <f>'[1]V, inciso p) (OP)'!U30</f>
        <v>Salgado</v>
      </c>
      <c r="K54" s="6" t="str">
        <f>'[1]V, inciso p) (OP)'!V30</f>
        <v>Santiago</v>
      </c>
      <c r="L54" s="8" t="str">
        <f>'[1]V, inciso p) (OP)'!W30</f>
        <v>Ecopav de México, S.A. de C.V.</v>
      </c>
      <c r="M54" s="6" t="str">
        <f>'[1]V, inciso p) (OP)'!X30</f>
        <v>FRA070416K99</v>
      </c>
      <c r="N54" s="9">
        <f t="shared" ref="N54:N75" si="1">G54</f>
        <v>8579575.5199999996</v>
      </c>
      <c r="O54" s="10" t="s">
        <v>40</v>
      </c>
      <c r="P54" s="6" t="s">
        <v>566</v>
      </c>
      <c r="Q54" s="9">
        <f>N54/4400</f>
        <v>1949.9035272727272</v>
      </c>
      <c r="R54" s="6" t="s">
        <v>42</v>
      </c>
      <c r="S54" s="12">
        <v>60027</v>
      </c>
      <c r="T54" s="8" t="s">
        <v>43</v>
      </c>
      <c r="U54" s="6" t="s">
        <v>565</v>
      </c>
      <c r="V54" s="7">
        <f>'[1]V, inciso p) (OP)'!AM30</f>
        <v>42614</v>
      </c>
      <c r="W54" s="7">
        <f>'[1]V, inciso p) (OP)'!AN30</f>
        <v>42735</v>
      </c>
      <c r="X54" s="6" t="s">
        <v>544</v>
      </c>
      <c r="Y54" s="6" t="s">
        <v>545</v>
      </c>
      <c r="Z54" s="6" t="s">
        <v>212</v>
      </c>
      <c r="AA54" s="6" t="s">
        <v>40</v>
      </c>
      <c r="AB54" s="6" t="s">
        <v>40</v>
      </c>
    </row>
    <row r="55" spans="1:28" ht="94.5">
      <c r="A55" s="6">
        <v>2016</v>
      </c>
      <c r="B55" s="6" t="s">
        <v>30</v>
      </c>
      <c r="C55" s="8" t="str">
        <f>'[1]V, inciso p) (OP)'!D31</f>
        <v>DOPI-MUN-PP-PAV-LP-052-2016</v>
      </c>
      <c r="D55" s="13">
        <f>'[1]V, inciso p) (OP)'!AD31</f>
        <v>42601</v>
      </c>
      <c r="E55" s="8" t="str">
        <f>'[1]V, inciso p) (OP)'!AL31</f>
        <v>Construcción de pavimento de concreto hidráulico MR-45, sustitución de líneas de agua potable y de alcantarillado, alumbrado público, construcción de guarniciones y banquetas, en la calle San Francisco de la calle Jalisco a la calle Independencia, en la localidad de Tesistán, municipio de Zapopan, Jalisco.</v>
      </c>
      <c r="F55" s="8" t="s">
        <v>67</v>
      </c>
      <c r="G55" s="9">
        <f>'[1]V, inciso p) (OP)'!AG31</f>
        <v>4875141.67</v>
      </c>
      <c r="H55" s="8" t="str">
        <f>'[1]V, inciso p) (OP)'!AS31</f>
        <v>Tesitán</v>
      </c>
      <c r="I55" s="6" t="str">
        <f>'[1]V, inciso p) (OP)'!T31</f>
        <v>Jose Antonio</v>
      </c>
      <c r="J55" s="6" t="str">
        <f>'[1]V, inciso p) (OP)'!U31</f>
        <v>Alvarez</v>
      </c>
      <c r="K55" s="6" t="str">
        <f>'[1]V, inciso p) (OP)'!V31</f>
        <v>Zuloaga</v>
      </c>
      <c r="L55" s="8" t="str">
        <f>'[1]V, inciso p) (OP)'!W31</f>
        <v>Grupo Desarrollador Alzu, S.A. de C.V.</v>
      </c>
      <c r="M55" s="6" t="str">
        <f>'[1]V, inciso p) (OP)'!X31</f>
        <v>GDA150928286</v>
      </c>
      <c r="N55" s="9">
        <f t="shared" si="1"/>
        <v>4875141.67</v>
      </c>
      <c r="O55" s="10" t="s">
        <v>40</v>
      </c>
      <c r="P55" s="6" t="s">
        <v>567</v>
      </c>
      <c r="Q55" s="9">
        <f>N55/3090</f>
        <v>1577.7157508090615</v>
      </c>
      <c r="R55" s="6" t="s">
        <v>42</v>
      </c>
      <c r="S55" s="12">
        <v>60027</v>
      </c>
      <c r="T55" s="8" t="s">
        <v>43</v>
      </c>
      <c r="U55" s="6" t="s">
        <v>565</v>
      </c>
      <c r="V55" s="7">
        <f>'[1]V, inciso p) (OP)'!AM31</f>
        <v>42614</v>
      </c>
      <c r="W55" s="7">
        <f>'[1]V, inciso p) (OP)'!AN31</f>
        <v>42735</v>
      </c>
      <c r="X55" s="6" t="s">
        <v>544</v>
      </c>
      <c r="Y55" s="6" t="s">
        <v>545</v>
      </c>
      <c r="Z55" s="6" t="s">
        <v>212</v>
      </c>
      <c r="AA55" s="6" t="s">
        <v>40</v>
      </c>
      <c r="AB55" s="6" t="s">
        <v>40</v>
      </c>
    </row>
    <row r="56" spans="1:28" ht="94.5">
      <c r="A56" s="6">
        <v>2016</v>
      </c>
      <c r="B56" s="6" t="s">
        <v>30</v>
      </c>
      <c r="C56" s="8" t="str">
        <f>'[1]V, inciso p) (OP)'!D32</f>
        <v>DOPI-MUN-PP-PAV-LP-053-2016</v>
      </c>
      <c r="D56" s="13">
        <f>'[1]V, inciso p) (OP)'!AD32</f>
        <v>42604</v>
      </c>
      <c r="E56" s="8" t="str">
        <f>'[1]V, inciso p) (OP)'!AL32</f>
        <v>Construcción de pavimento de concreto hidráulico MR-45, sustitución de líneas de agua potable y de alcantarillado, alumbrado público, construcción de guarniciones y banquetas, en la calle J. García Praga de la calle Jalisco a la calle Ramón Corona, en la localidad de Tesistán, municipio de Zapopan, Jalisco.</v>
      </c>
      <c r="F56" s="8" t="s">
        <v>67</v>
      </c>
      <c r="G56" s="9">
        <f>'[1]V, inciso p) (OP)'!AG32</f>
        <v>999852.22</v>
      </c>
      <c r="H56" s="8" t="str">
        <f>'[1]V, inciso p) (OP)'!AS32</f>
        <v>Tesitán</v>
      </c>
      <c r="I56" s="6" t="str">
        <f>'[1]V, inciso p) (OP)'!T32</f>
        <v>Guadalupe Alejandrina</v>
      </c>
      <c r="J56" s="6" t="str">
        <f>'[1]V, inciso p) (OP)'!U32</f>
        <v>Maldonado</v>
      </c>
      <c r="K56" s="6" t="str">
        <f>'[1]V, inciso p) (OP)'!V32</f>
        <v>Lara</v>
      </c>
      <c r="L56" s="8" t="str">
        <f>'[1]V, inciso p) (OP)'!W32</f>
        <v>L&amp;A Ejecución, Construcción y Proyectos Corporativo JM, S.A. de C.V.</v>
      </c>
      <c r="M56" s="6" t="str">
        <f>'[1]V, inciso p) (OP)'!X32</f>
        <v>LAE1306263B5</v>
      </c>
      <c r="N56" s="9">
        <f t="shared" si="1"/>
        <v>999852.22</v>
      </c>
      <c r="O56" s="10" t="s">
        <v>40</v>
      </c>
      <c r="P56" s="6" t="s">
        <v>568</v>
      </c>
      <c r="Q56" s="9">
        <f>N56/510</f>
        <v>1960.4945490196078</v>
      </c>
      <c r="R56" s="6" t="s">
        <v>42</v>
      </c>
      <c r="S56" s="12">
        <v>60027</v>
      </c>
      <c r="T56" s="8" t="s">
        <v>43</v>
      </c>
      <c r="U56" s="6" t="s">
        <v>565</v>
      </c>
      <c r="V56" s="7">
        <f>'[1]V, inciso p) (OP)'!AM32</f>
        <v>42614</v>
      </c>
      <c r="W56" s="7">
        <f>'[1]V, inciso p) (OP)'!AN32</f>
        <v>42705</v>
      </c>
      <c r="X56" s="6" t="s">
        <v>544</v>
      </c>
      <c r="Y56" s="6" t="s">
        <v>545</v>
      </c>
      <c r="Z56" s="6" t="s">
        <v>212</v>
      </c>
      <c r="AA56" s="6" t="s">
        <v>40</v>
      </c>
      <c r="AB56" s="6" t="s">
        <v>40</v>
      </c>
    </row>
    <row r="57" spans="1:28" ht="94.5">
      <c r="A57" s="6">
        <v>2016</v>
      </c>
      <c r="B57" s="6" t="s">
        <v>30</v>
      </c>
      <c r="C57" s="8" t="str">
        <f>'[1]V, inciso p) (OP)'!D33</f>
        <v>DOPI-MUN-PP-PAV-LP-054-2016</v>
      </c>
      <c r="D57" s="13">
        <f>'[1]V, inciso p) (OP)'!AD33</f>
        <v>42605</v>
      </c>
      <c r="E57" s="8" t="str">
        <f>'[1]V, inciso p) (OP)'!AL33</f>
        <v>Construcción de pavimento de concreto hidráulico MR-45, sustitución de líneas de agua potable y de alcantarillado, alumbrado público, construcción de guarniciones y banquetas, en la calle Ramón Corona de la calle Hidalgo a la calle Puebla - 5 de Mayo, en la localidad de Tesistán, municipio de Zapopan, Jalisco.</v>
      </c>
      <c r="F57" s="8" t="s">
        <v>67</v>
      </c>
      <c r="G57" s="9">
        <f>'[1]V, inciso p) (OP)'!AG33</f>
        <v>1223679.9099999999</v>
      </c>
      <c r="H57" s="8" t="str">
        <f>'[1]V, inciso p) (OP)'!AS33</f>
        <v>Tesitán</v>
      </c>
      <c r="I57" s="6" t="str">
        <f>'[1]V, inciso p) (OP)'!T33</f>
        <v>Clarissa Gabriela</v>
      </c>
      <c r="J57" s="6" t="str">
        <f>'[1]V, inciso p) (OP)'!U33</f>
        <v>Valdez</v>
      </c>
      <c r="K57" s="6" t="str">
        <f>'[1]V, inciso p) (OP)'!V33</f>
        <v>Manjarrez</v>
      </c>
      <c r="L57" s="8" t="str">
        <f>'[1]V, inciso p) (OP)'!W33</f>
        <v>Tekton Grupo Empresarial, S.A. de C.V.</v>
      </c>
      <c r="M57" s="6" t="str">
        <f>'[1]V, inciso p) (OP)'!X33</f>
        <v>TGE101215JI6</v>
      </c>
      <c r="N57" s="9">
        <f t="shared" si="1"/>
        <v>1223679.9099999999</v>
      </c>
      <c r="O57" s="10" t="s">
        <v>40</v>
      </c>
      <c r="P57" s="6" t="s">
        <v>568</v>
      </c>
      <c r="Q57" s="9">
        <f>N57/510</f>
        <v>2399.3723725490195</v>
      </c>
      <c r="R57" s="6" t="s">
        <v>42</v>
      </c>
      <c r="S57" s="12">
        <v>60027</v>
      </c>
      <c r="T57" s="8" t="s">
        <v>43</v>
      </c>
      <c r="U57" s="6" t="s">
        <v>565</v>
      </c>
      <c r="V57" s="7">
        <f>'[1]V, inciso p) (OP)'!AM33</f>
        <v>42614</v>
      </c>
      <c r="W57" s="7">
        <f>'[1]V, inciso p) (OP)'!AN33</f>
        <v>42705</v>
      </c>
      <c r="X57" s="6" t="s">
        <v>544</v>
      </c>
      <c r="Y57" s="6" t="s">
        <v>545</v>
      </c>
      <c r="Z57" s="6" t="s">
        <v>212</v>
      </c>
      <c r="AA57" s="22" t="s">
        <v>936</v>
      </c>
      <c r="AB57" s="6" t="s">
        <v>40</v>
      </c>
    </row>
    <row r="58" spans="1:28" ht="94.5">
      <c r="A58" s="6">
        <v>2016</v>
      </c>
      <c r="B58" s="6" t="s">
        <v>30</v>
      </c>
      <c r="C58" s="8" t="str">
        <f>'[1]V, inciso p) (OP)'!D34</f>
        <v>DOPI-MUN-PP-PAV-LP-055-2016</v>
      </c>
      <c r="D58" s="13">
        <f>'[1]V, inciso p) (OP)'!AD34</f>
        <v>42605</v>
      </c>
      <c r="E58" s="8" t="str">
        <f>'[1]V, inciso p) (OP)'!AL34</f>
        <v>Construcción de pavimento de concreto hidráulico MR-45, sustitución de líneas de agua potable y de alcantarillado, alumbrado público, construcción de guarniciones y banquetas, en la calle 5 Mayo - Puebla de la calle Ramón Corona a la calle Jalisco, en la localidad de Tesistán, municipio de Zapopan, Jalisco.</v>
      </c>
      <c r="F58" s="8" t="s">
        <v>67</v>
      </c>
      <c r="G58" s="9">
        <f>'[1]V, inciso p) (OP)'!AG34</f>
        <v>1229696.57</v>
      </c>
      <c r="H58" s="8" t="str">
        <f>'[1]V, inciso p) (OP)'!AS34</f>
        <v>Tesitán</v>
      </c>
      <c r="I58" s="6" t="str">
        <f>'[1]V, inciso p) (OP)'!T34</f>
        <v>Raul</v>
      </c>
      <c r="J58" s="6" t="str">
        <f>'[1]V, inciso p) (OP)'!U34</f>
        <v xml:space="preserve">Ortega </v>
      </c>
      <c r="K58" s="6" t="str">
        <f>'[1]V, inciso p) (OP)'!V34</f>
        <v>Jara</v>
      </c>
      <c r="L58" s="8" t="str">
        <f>'[1]V, inciso p) (OP)'!W34</f>
        <v>Construcciones Anayari, S.A. de C.V.</v>
      </c>
      <c r="M58" s="6" t="str">
        <f>'[1]V, inciso p) (OP)'!X34</f>
        <v>CAN030528ME0</v>
      </c>
      <c r="N58" s="9">
        <f t="shared" si="1"/>
        <v>1229696.57</v>
      </c>
      <c r="O58" s="10" t="s">
        <v>40</v>
      </c>
      <c r="P58" s="6" t="s">
        <v>568</v>
      </c>
      <c r="Q58" s="9">
        <f>N58/510</f>
        <v>2411.1697450980391</v>
      </c>
      <c r="R58" s="6" t="s">
        <v>42</v>
      </c>
      <c r="S58" s="12">
        <v>60027</v>
      </c>
      <c r="T58" s="8" t="s">
        <v>43</v>
      </c>
      <c r="U58" s="6" t="s">
        <v>565</v>
      </c>
      <c r="V58" s="7">
        <f>'[1]V, inciso p) (OP)'!AM34</f>
        <v>42614</v>
      </c>
      <c r="W58" s="7">
        <f>'[1]V, inciso p) (OP)'!AN34</f>
        <v>42705</v>
      </c>
      <c r="X58" s="6" t="s">
        <v>544</v>
      </c>
      <c r="Y58" s="6" t="s">
        <v>545</v>
      </c>
      <c r="Z58" s="6" t="s">
        <v>212</v>
      </c>
      <c r="AA58" s="6" t="s">
        <v>40</v>
      </c>
      <c r="AB58" s="6" t="s">
        <v>40</v>
      </c>
    </row>
    <row r="59" spans="1:28" ht="94.5">
      <c r="A59" s="6">
        <v>2016</v>
      </c>
      <c r="B59" s="6" t="s">
        <v>30</v>
      </c>
      <c r="C59" s="8" t="str">
        <f>'[1]V, inciso p) (OP)'!D35</f>
        <v>DOPI-MUN-PP-PAV-LP-056-2016</v>
      </c>
      <c r="D59" s="13">
        <f>'[1]V, inciso p) (OP)'!AD35</f>
        <v>42591</v>
      </c>
      <c r="E59" s="8" t="str">
        <f>'[1]V, inciso p) (OP)'!AL35</f>
        <v>Construcción de pavimento de concreto hidráulico MR-45, sustitución de líneas de agua potable y de alcantarillado, alumbrado público, construcción de guarniciones y banquetas, en la calle Mercurio de la Prolongación Guadalupe a la calle Pirita, en la colonia Arenales Tapatios, municipio de Zapopan, Jalisco.</v>
      </c>
      <c r="F59" s="8" t="s">
        <v>67</v>
      </c>
      <c r="G59" s="9">
        <f>'[1]V, inciso p) (OP)'!AG35</f>
        <v>5518122.6399999997</v>
      </c>
      <c r="H59" s="8" t="str">
        <f>'[1]V, inciso p) (OP)'!AS35</f>
        <v>Colonia Arenales Tapatios</v>
      </c>
      <c r="I59" s="6" t="str">
        <f>'[1]V, inciso p) (OP)'!T35</f>
        <v>Carlos Ignacio</v>
      </c>
      <c r="J59" s="6" t="str">
        <f>'[1]V, inciso p) (OP)'!U35</f>
        <v>Curiel</v>
      </c>
      <c r="K59" s="6" t="str">
        <f>'[1]V, inciso p) (OP)'!V35</f>
        <v>Dueñas</v>
      </c>
      <c r="L59" s="8" t="str">
        <f>'[1]V, inciso p) (OP)'!W35</f>
        <v>Constructora Cecuchi, S.A. de C.V.</v>
      </c>
      <c r="M59" s="6" t="str">
        <f>'[1]V, inciso p) (OP)'!X35</f>
        <v>CCE130723IR7</v>
      </c>
      <c r="N59" s="9">
        <f t="shared" si="1"/>
        <v>5518122.6399999997</v>
      </c>
      <c r="O59" s="10" t="s">
        <v>40</v>
      </c>
      <c r="P59" s="6" t="s">
        <v>569</v>
      </c>
      <c r="Q59" s="9">
        <f>N59/3045</f>
        <v>1812.1913431855501</v>
      </c>
      <c r="R59" s="6" t="s">
        <v>42</v>
      </c>
      <c r="S59" s="12">
        <v>6432</v>
      </c>
      <c r="T59" s="8" t="s">
        <v>43</v>
      </c>
      <c r="U59" s="6" t="s">
        <v>44</v>
      </c>
      <c r="V59" s="7">
        <f>'[1]V, inciso p) (OP)'!AM35</f>
        <v>42592</v>
      </c>
      <c r="W59" s="7">
        <f>'[1]V, inciso p) (OP)'!AN35</f>
        <v>42713</v>
      </c>
      <c r="X59" s="6" t="s">
        <v>570</v>
      </c>
      <c r="Y59" s="6" t="s">
        <v>383</v>
      </c>
      <c r="Z59" s="6" t="s">
        <v>300</v>
      </c>
      <c r="AA59" s="6" t="s">
        <v>40</v>
      </c>
      <c r="AB59" s="6" t="s">
        <v>40</v>
      </c>
    </row>
    <row r="60" spans="1:28" ht="94.5">
      <c r="A60" s="6">
        <v>2016</v>
      </c>
      <c r="B60" s="6" t="s">
        <v>30</v>
      </c>
      <c r="C60" s="8" t="str">
        <f>'[1]V, inciso p) (OP)'!D36</f>
        <v>DOPI-MUN-PP-PAV-LP-057-2016</v>
      </c>
      <c r="D60" s="13">
        <f>'[1]V, inciso p) (OP)'!AD36</f>
        <v>42591</v>
      </c>
      <c r="E60" s="8" t="str">
        <f>'[1]V, inciso p) (OP)'!AL36</f>
        <v>Construcción de pavimento de concreto hidráulico MR-45, sustitución de líneas de agua potable y de alcantarillado, alumbrado público, construcción de guarniciones y banquetas, en la calle Mercurio de la calle Pirita a la calle Hierro, en la colonia Arenales Tapatios, municipio de Zapopan, Jalisco.</v>
      </c>
      <c r="F60" s="8" t="s">
        <v>67</v>
      </c>
      <c r="G60" s="9">
        <f>'[1]V, inciso p) (OP)'!AG36</f>
        <v>5312056.17</v>
      </c>
      <c r="H60" s="8" t="str">
        <f>'[1]V, inciso p) (OP)'!AS36</f>
        <v>Colonia Arenales Tapatios</v>
      </c>
      <c r="I60" s="6" t="str">
        <f>'[1]V, inciso p) (OP)'!T36</f>
        <v>Sergio Cesar</v>
      </c>
      <c r="J60" s="6" t="str">
        <f>'[1]V, inciso p) (OP)'!U36</f>
        <v>Diaz</v>
      </c>
      <c r="K60" s="6" t="str">
        <f>'[1]V, inciso p) (OP)'!V36</f>
        <v>Quiroz</v>
      </c>
      <c r="L60" s="8" t="str">
        <f>'[1]V, inciso p) (OP)'!W36</f>
        <v>Transcreto S.A. de C.V.</v>
      </c>
      <c r="M60" s="6" t="str">
        <f>'[1]V, inciso p) (OP)'!X36</f>
        <v>TRA750528286</v>
      </c>
      <c r="N60" s="9">
        <f t="shared" si="1"/>
        <v>5312056.17</v>
      </c>
      <c r="O60" s="10" t="s">
        <v>40</v>
      </c>
      <c r="P60" s="6" t="s">
        <v>569</v>
      </c>
      <c r="Q60" s="9">
        <f>N60/3045</f>
        <v>1744.5176256157636</v>
      </c>
      <c r="R60" s="6" t="s">
        <v>42</v>
      </c>
      <c r="S60" s="12">
        <v>6432</v>
      </c>
      <c r="T60" s="8" t="s">
        <v>43</v>
      </c>
      <c r="U60" s="6" t="s">
        <v>44</v>
      </c>
      <c r="V60" s="7">
        <f>'[1]V, inciso p) (OP)'!AM36</f>
        <v>42592</v>
      </c>
      <c r="W60" s="7">
        <f>'[1]V, inciso p) (OP)'!AN36</f>
        <v>42713</v>
      </c>
      <c r="X60" s="6" t="s">
        <v>570</v>
      </c>
      <c r="Y60" s="6" t="s">
        <v>383</v>
      </c>
      <c r="Z60" s="6" t="s">
        <v>300</v>
      </c>
      <c r="AA60" s="6" t="s">
        <v>40</v>
      </c>
      <c r="AB60" s="6" t="s">
        <v>40</v>
      </c>
    </row>
    <row r="61" spans="1:28" ht="135">
      <c r="A61" s="6">
        <v>2016</v>
      </c>
      <c r="B61" s="6" t="s">
        <v>30</v>
      </c>
      <c r="C61" s="8" t="str">
        <f>'[1]V, inciso p) (OP)'!D37</f>
        <v>DOPI-MUN-PP-PAV-LP-058-2016</v>
      </c>
      <c r="D61" s="13">
        <f>'[1]V, inciso p) (OP)'!AD37</f>
        <v>42591</v>
      </c>
      <c r="E61" s="8" t="str">
        <f>'[1]V, inciso p) (OP)'!AL37</f>
        <v>Reencarpetamiento de la vialidad, desbastado de la carpeta existente, nivelación de pozos de visita, cajas de válvulas, rejillas pluviales, bocas de tormenta y elementos estructurales que sobresalen de la rasante de la vialidad, calafateos, señaletica horizontal, construcción de banquetas, guarniciones, alumbrado público, en Calzada Federalistas - Del Valle de la Avenida Federalistas a camino viejo a Tesistán, municipio de Zapopan, Jalisco.</v>
      </c>
      <c r="F61" s="8" t="s">
        <v>67</v>
      </c>
      <c r="G61" s="9">
        <f>'[1]V, inciso p) (OP)'!AG37</f>
        <v>7853005.75</v>
      </c>
      <c r="H61" s="8" t="str">
        <f>'[1]V, inciso p) (OP)'!AS37</f>
        <v>Tesitán</v>
      </c>
      <c r="I61" s="6" t="str">
        <f>'[1]V, inciso p) (OP)'!T37</f>
        <v>Enrique Christian</v>
      </c>
      <c r="J61" s="6" t="str">
        <f>'[1]V, inciso p) (OP)'!U37</f>
        <v>Anshiro Minakata</v>
      </c>
      <c r="K61" s="6" t="str">
        <f>'[1]V, inciso p) (OP)'!V37</f>
        <v>Morentin</v>
      </c>
      <c r="L61" s="8" t="str">
        <f>'[1]V, inciso p) (OP)'!W37</f>
        <v>Construcciones Mirot, S.A. de C.V.</v>
      </c>
      <c r="M61" s="6" t="str">
        <f>'[1]V, inciso p) (OP)'!X37</f>
        <v>CMI110222AA0</v>
      </c>
      <c r="N61" s="9">
        <f t="shared" si="1"/>
        <v>7853005.75</v>
      </c>
      <c r="O61" s="10" t="s">
        <v>40</v>
      </c>
      <c r="P61" s="6" t="s">
        <v>571</v>
      </c>
      <c r="Q61" s="9">
        <f>N61/13005</f>
        <v>603.84511726259132</v>
      </c>
      <c r="R61" s="6" t="s">
        <v>42</v>
      </c>
      <c r="S61" s="12">
        <v>21089</v>
      </c>
      <c r="T61" s="8" t="s">
        <v>43</v>
      </c>
      <c r="U61" s="6" t="s">
        <v>44</v>
      </c>
      <c r="V61" s="7">
        <f>'[1]V, inciso p) (OP)'!AM37</f>
        <v>42592</v>
      </c>
      <c r="W61" s="7">
        <f>'[1]V, inciso p) (OP)'!AN37</f>
        <v>42683</v>
      </c>
      <c r="X61" s="6" t="s">
        <v>572</v>
      </c>
      <c r="Y61" s="6" t="s">
        <v>573</v>
      </c>
      <c r="Z61" s="6" t="s">
        <v>574</v>
      </c>
      <c r="AA61" s="6" t="s">
        <v>40</v>
      </c>
      <c r="AB61" s="6" t="s">
        <v>40</v>
      </c>
    </row>
    <row r="62" spans="1:28" ht="135">
      <c r="A62" s="6">
        <v>2016</v>
      </c>
      <c r="B62" s="6" t="s">
        <v>30</v>
      </c>
      <c r="C62" s="8" t="str">
        <f>'[1]V, inciso p) (OP)'!D38</f>
        <v>DOPI-MUN-PP-PAV-LP-059-2016</v>
      </c>
      <c r="D62" s="13">
        <f>'[1]V, inciso p) (OP)'!AD38</f>
        <v>42591</v>
      </c>
      <c r="E62" s="8" t="str">
        <f>'[1]V, inciso p) (OP)'!AL38</f>
        <v>Reencarpetamiento de la vialidad, desbastado de la carpeta existente, nivelación de pozos de visita, cajas de válvulas, rejillas pluviales, bocas de tormenta y elementos estructurales que sobresalen de la rasante de la vialidad, calafateos, señalética horizontal, construcción de banquetas, guarniciones, alumbrado público, en Valle de Atemajac de la Avenida Central (Federalistas) a Prolongación Acueducto, municipio de Zapopan, Jalisco.</v>
      </c>
      <c r="F62" s="8" t="s">
        <v>67</v>
      </c>
      <c r="G62" s="9">
        <f>'[1]V, inciso p) (OP)'!AG38</f>
        <v>6564336.8600000003</v>
      </c>
      <c r="H62" s="8" t="str">
        <f>'[1]V, inciso p) (OP)'!AS38</f>
        <v>Colonia Valle de Atemajac</v>
      </c>
      <c r="I62" s="6" t="str">
        <f>'[1]V, inciso p) (OP)'!T38</f>
        <v>Rodrigo</v>
      </c>
      <c r="J62" s="6" t="str">
        <f>'[1]V, inciso p) (OP)'!U38</f>
        <v>Ramos</v>
      </c>
      <c r="K62" s="6" t="str">
        <f>'[1]V, inciso p) (OP)'!V38</f>
        <v>Garibi</v>
      </c>
      <c r="L62" s="8" t="str">
        <f>'[1]V, inciso p) (OP)'!W38</f>
        <v>Metro Asfaltos, S.A. de C.V.</v>
      </c>
      <c r="M62" s="6" t="str">
        <f>'[1]V, inciso p) (OP)'!X38</f>
        <v>CMA070307RU6</v>
      </c>
      <c r="N62" s="9">
        <f t="shared" si="1"/>
        <v>6564336.8600000003</v>
      </c>
      <c r="O62" s="10" t="s">
        <v>40</v>
      </c>
      <c r="P62" s="6" t="s">
        <v>575</v>
      </c>
      <c r="Q62" s="9">
        <f>N62/8610</f>
        <v>762.40846225319399</v>
      </c>
      <c r="R62" s="6" t="s">
        <v>42</v>
      </c>
      <c r="S62" s="12">
        <v>21089</v>
      </c>
      <c r="T62" s="8" t="s">
        <v>43</v>
      </c>
      <c r="U62" s="6" t="s">
        <v>44</v>
      </c>
      <c r="V62" s="7">
        <f>'[1]V, inciso p) (OP)'!AM38</f>
        <v>42592</v>
      </c>
      <c r="W62" s="7">
        <f>'[1]V, inciso p) (OP)'!AN38</f>
        <v>42713</v>
      </c>
      <c r="X62" s="6" t="s">
        <v>572</v>
      </c>
      <c r="Y62" s="6" t="s">
        <v>573</v>
      </c>
      <c r="Z62" s="6" t="s">
        <v>574</v>
      </c>
      <c r="AA62" s="6" t="s">
        <v>40</v>
      </c>
      <c r="AB62" s="6" t="s">
        <v>40</v>
      </c>
    </row>
    <row r="63" spans="1:28" ht="121.5">
      <c r="A63" s="6">
        <v>2016</v>
      </c>
      <c r="B63" s="6" t="s">
        <v>30</v>
      </c>
      <c r="C63" s="8" t="str">
        <f>'[1]V, inciso p) (OP)'!D39</f>
        <v>DOPI-MUN-PP-PAV-LP-060-2016</v>
      </c>
      <c r="D63" s="13">
        <f>'[1]V, inciso p) (OP)'!AD39</f>
        <v>42591</v>
      </c>
      <c r="E63" s="8" t="str">
        <f>'[1]V, inciso p) (OP)'!AL39</f>
        <v>Reencarpetamiento de la vialidad, desbastado de la carpeta existente, nivelación de pozos de visita, cajas de válvulas, rejillas pluviales, bocas de tormenta y elementos estructurales que sobresalen de la rasante de la vialidad, calafateos, señalética horizontal, construcción de banquetas, guarniciones, alumbrado público, en Prolongación Acueducto de la Av. Del Valle a calle Jesús, municipio de Zapopan, Jalisco</v>
      </c>
      <c r="F63" s="8" t="s">
        <v>67</v>
      </c>
      <c r="G63" s="9">
        <f>'[1]V, inciso p) (OP)'!AG39</f>
        <v>7287576.9199999999</v>
      </c>
      <c r="H63" s="8" t="str">
        <f>'[1]V, inciso p) (OP)'!AS39</f>
        <v>Colonia Girasoles Acueducto</v>
      </c>
      <c r="I63" s="6" t="str">
        <f>'[1]V, inciso p) (OP)'!T39</f>
        <v>Ignacio Javier</v>
      </c>
      <c r="J63" s="6" t="str">
        <f>'[1]V, inciso p) (OP)'!U39</f>
        <v>Curiel</v>
      </c>
      <c r="K63" s="6" t="str">
        <f>'[1]V, inciso p) (OP)'!V39</f>
        <v>Dueñas</v>
      </c>
      <c r="L63" s="8" t="str">
        <f>'[1]V, inciso p) (OP)'!W39</f>
        <v>Tc Construcción Y Mantenimiento, S.A. de C.V.</v>
      </c>
      <c r="M63" s="6" t="str">
        <f>'[1]V, inciso p) (OP)'!X39</f>
        <v>TCM100915HA1</v>
      </c>
      <c r="N63" s="9">
        <f t="shared" si="1"/>
        <v>7287576.9199999999</v>
      </c>
      <c r="O63" s="10" t="s">
        <v>40</v>
      </c>
      <c r="P63" s="6" t="s">
        <v>576</v>
      </c>
      <c r="Q63" s="9">
        <f>N63/13445</f>
        <v>542.02877798438078</v>
      </c>
      <c r="R63" s="6" t="s">
        <v>42</v>
      </c>
      <c r="S63" s="12">
        <v>21089</v>
      </c>
      <c r="T63" s="8" t="s">
        <v>43</v>
      </c>
      <c r="U63" s="6" t="s">
        <v>44</v>
      </c>
      <c r="V63" s="7">
        <f>'[1]V, inciso p) (OP)'!AM39</f>
        <v>42592</v>
      </c>
      <c r="W63" s="7">
        <f>'[1]V, inciso p) (OP)'!AN39</f>
        <v>42683</v>
      </c>
      <c r="X63" s="6" t="s">
        <v>572</v>
      </c>
      <c r="Y63" s="6" t="s">
        <v>573</v>
      </c>
      <c r="Z63" s="6" t="s">
        <v>574</v>
      </c>
      <c r="AA63" s="6" t="s">
        <v>40</v>
      </c>
      <c r="AB63" s="6" t="s">
        <v>40</v>
      </c>
    </row>
    <row r="64" spans="1:28" ht="121.5">
      <c r="A64" s="6">
        <v>2016</v>
      </c>
      <c r="B64" s="6" t="s">
        <v>30</v>
      </c>
      <c r="C64" s="8" t="str">
        <f>'[1]V, inciso p) (OP)'!D40</f>
        <v>DOPI-MUN-PP-PAV-LP-061-2016</v>
      </c>
      <c r="D64" s="13">
        <f>'[1]V, inciso p) (OP)'!AD40</f>
        <v>42591</v>
      </c>
      <c r="E64" s="8" t="str">
        <f>'[1]V, inciso p) (OP)'!AL40</f>
        <v>Reencarpetamiento de la vialidad, desbastado de la carpeta existente, nivelación de pozos de visita, cajas de válvulas, rejillas pluviales, bocas de tormenta y elementos estructurales que sobresalen de la rasante de la vialidad, calafateos, señalética horizontal, construcción de banquetas, guarniciones, alumbrado público, en Prolongación Acueducto de la calle Jesús a calle Santa Margarita, municipio de Zapopan, Jalisco</v>
      </c>
      <c r="F64" s="8" t="s">
        <v>67</v>
      </c>
      <c r="G64" s="9">
        <f>'[1]V, inciso p) (OP)'!AG40</f>
        <v>6426888.9699999997</v>
      </c>
      <c r="H64" s="8" t="str">
        <f>'[1]V, inciso p) (OP)'!AS40</f>
        <v>Colonia Las Bóvedas</v>
      </c>
      <c r="I64" s="6" t="str">
        <f>'[1]V, inciso p) (OP)'!T40</f>
        <v>Ignacio Javier</v>
      </c>
      <c r="J64" s="6" t="str">
        <f>'[1]V, inciso p) (OP)'!U40</f>
        <v>Curiel</v>
      </c>
      <c r="K64" s="6" t="str">
        <f>'[1]V, inciso p) (OP)'!V40</f>
        <v>Dueñas</v>
      </c>
      <c r="L64" s="8" t="str">
        <f>'[1]V, inciso p) (OP)'!W40</f>
        <v>Tc Construcción Y Mantenimiento, S.A. de C.V.</v>
      </c>
      <c r="M64" s="6" t="str">
        <f>'[1]V, inciso p) (OP)'!X40</f>
        <v>TCM100915HA1</v>
      </c>
      <c r="N64" s="9">
        <f t="shared" si="1"/>
        <v>6426888.9699999997</v>
      </c>
      <c r="O64" s="10" t="s">
        <v>40</v>
      </c>
      <c r="P64" s="6" t="s">
        <v>577</v>
      </c>
      <c r="Q64" s="9">
        <f>N64/11700</f>
        <v>549.30674957264955</v>
      </c>
      <c r="R64" s="6" t="s">
        <v>42</v>
      </c>
      <c r="S64" s="12">
        <v>21089</v>
      </c>
      <c r="T64" s="8" t="s">
        <v>43</v>
      </c>
      <c r="U64" s="6" t="s">
        <v>44</v>
      </c>
      <c r="V64" s="7">
        <f>'[1]V, inciso p) (OP)'!AM40</f>
        <v>42592</v>
      </c>
      <c r="W64" s="7">
        <f>'[1]V, inciso p) (OP)'!AN40</f>
        <v>42683</v>
      </c>
      <c r="X64" s="6" t="s">
        <v>572</v>
      </c>
      <c r="Y64" s="6" t="s">
        <v>573</v>
      </c>
      <c r="Z64" s="6" t="s">
        <v>574</v>
      </c>
      <c r="AA64" s="6" t="s">
        <v>40</v>
      </c>
      <c r="AB64" s="6" t="s">
        <v>40</v>
      </c>
    </row>
    <row r="65" spans="1:28" ht="54">
      <c r="A65" s="6">
        <v>2016</v>
      </c>
      <c r="B65" s="6" t="s">
        <v>30</v>
      </c>
      <c r="C65" s="8" t="str">
        <f>'[1]V, inciso p) (OP)'!D41</f>
        <v>DOPI-MUN-MA-PAV-LP-062-2016</v>
      </c>
      <c r="D65" s="13">
        <f>'[1]V, inciso p) (OP)'!AD41</f>
        <v>42632</v>
      </c>
      <c r="E65" s="8" t="str">
        <f>'[1]V, inciso p) (OP)'!AL41</f>
        <v>Rehabilitación de la pavimentación de la Av. López Mateos Sur de Periférico Sur a Av. Copérnico (carriles centrales se sustituyen con concreto hidráulico).</v>
      </c>
      <c r="F65" s="8" t="s">
        <v>67</v>
      </c>
      <c r="G65" s="9">
        <f>'[1]V, inciso p) (OP)'!AJ41</f>
        <v>79605111.310000002</v>
      </c>
      <c r="H65" s="8" t="s">
        <v>578</v>
      </c>
      <c r="I65" s="6" t="str">
        <f>'[1]V, inciso p) (OP)'!T41</f>
        <v>José Manuel</v>
      </c>
      <c r="J65" s="6" t="str">
        <f>'[1]V, inciso p) (OP)'!U41</f>
        <v>Gómez</v>
      </c>
      <c r="K65" s="6" t="str">
        <f>'[1]V, inciso p) (OP)'!V41</f>
        <v>Castellanos</v>
      </c>
      <c r="L65" s="8" t="str">
        <f>'[1]V, inciso p) (OP)'!W41</f>
        <v>GVA Desarrollos Integrales, S.A. de C.V.</v>
      </c>
      <c r="M65" s="6" t="str">
        <f>'[1]V, inciso p) (OP)'!X41</f>
        <v>GDI020122D2A</v>
      </c>
      <c r="N65" s="9">
        <f>G65</f>
        <v>79605111.310000002</v>
      </c>
      <c r="O65" s="10" t="s">
        <v>40</v>
      </c>
      <c r="P65" s="10" t="s">
        <v>579</v>
      </c>
      <c r="Q65" s="11">
        <f>N65/38846</f>
        <v>2049.2486050043763</v>
      </c>
      <c r="R65" s="10" t="s">
        <v>42</v>
      </c>
      <c r="S65" s="14">
        <v>845000</v>
      </c>
      <c r="T65" s="8" t="s">
        <v>43</v>
      </c>
      <c r="U65" s="6" t="s">
        <v>565</v>
      </c>
      <c r="V65" s="7">
        <f>'[1]V, inciso p) (OP)'!AM41</f>
        <v>42632</v>
      </c>
      <c r="W65" s="7">
        <f>'[1]V, inciso p) (OP)'!AN41</f>
        <v>42768</v>
      </c>
      <c r="X65" s="6" t="s">
        <v>580</v>
      </c>
      <c r="Y65" s="6" t="s">
        <v>581</v>
      </c>
      <c r="Z65" s="6" t="s">
        <v>582</v>
      </c>
      <c r="AA65" s="6" t="s">
        <v>40</v>
      </c>
      <c r="AB65" s="6" t="s">
        <v>40</v>
      </c>
    </row>
    <row r="66" spans="1:28" ht="54">
      <c r="A66" s="6">
        <v>2016</v>
      </c>
      <c r="B66" s="6" t="s">
        <v>30</v>
      </c>
      <c r="C66" s="8" t="str">
        <f>'[1]V, inciso p) (OP)'!D42</f>
        <v>DOPI-MUN-MA-PAV-LP-063-2016</v>
      </c>
      <c r="D66" s="13">
        <f>'[1]V, inciso p) (OP)'!AD42</f>
        <v>42632</v>
      </c>
      <c r="E66" s="8" t="str">
        <f>'[1]V, inciso p) (OP)'!AL42</f>
        <v>Rehabilitación y mantenimiento de pavimentos de vialidades (reencarpetamiento, sellado, sustitución de lozas dañadas, calafateo y señalamiento horizontal) en diferentes colonias del municipio.</v>
      </c>
      <c r="F66" s="8" t="s">
        <v>67</v>
      </c>
      <c r="G66" s="9">
        <f>'[1]V, inciso p) (OP)'!AJ42</f>
        <v>79764410.700000003</v>
      </c>
      <c r="H66" s="8" t="s">
        <v>583</v>
      </c>
      <c r="I66" s="6" t="str">
        <f>'[1]V, inciso p) (OP)'!T42</f>
        <v>Diego</v>
      </c>
      <c r="J66" s="6" t="str">
        <f>'[1]V, inciso p) (OP)'!U42</f>
        <v>Valenzuela</v>
      </c>
      <c r="K66" s="6" t="str">
        <f>'[1]V, inciso p) (OP)'!V42</f>
        <v>Cadena</v>
      </c>
      <c r="L66" s="8" t="str">
        <f>'[1]V, inciso p) (OP)'!W42</f>
        <v>Fuerza de Apoyo Constructiva de Occidente, S.A. de C.V.</v>
      </c>
      <c r="M66" s="6" t="str">
        <f>'[1]V, inciso p) (OP)'!X42</f>
        <v>FAC010607TI0</v>
      </c>
      <c r="N66" s="9">
        <f>G66</f>
        <v>79764410.700000003</v>
      </c>
      <c r="O66" s="10" t="s">
        <v>40</v>
      </c>
      <c r="P66" s="10" t="s">
        <v>584</v>
      </c>
      <c r="Q66" s="11">
        <f>N66/95806</f>
        <v>832.56174665469803</v>
      </c>
      <c r="R66" s="10" t="s">
        <v>42</v>
      </c>
      <c r="S66" s="14">
        <v>243524</v>
      </c>
      <c r="T66" s="8" t="s">
        <v>43</v>
      </c>
      <c r="U66" s="6" t="s">
        <v>565</v>
      </c>
      <c r="V66" s="7">
        <f>'[1]V, inciso p) (OP)'!AM42</f>
        <v>42632</v>
      </c>
      <c r="W66" s="7">
        <f>'[1]V, inciso p) (OP)'!AN42</f>
        <v>42768</v>
      </c>
      <c r="X66" s="6" t="s">
        <v>580</v>
      </c>
      <c r="Y66" s="6" t="s">
        <v>581</v>
      </c>
      <c r="Z66" s="6" t="s">
        <v>582</v>
      </c>
      <c r="AA66" s="6" t="s">
        <v>40</v>
      </c>
      <c r="AB66" s="6" t="s">
        <v>40</v>
      </c>
    </row>
    <row r="67" spans="1:28" ht="108">
      <c r="A67" s="6">
        <v>2016</v>
      </c>
      <c r="B67" s="6" t="s">
        <v>30</v>
      </c>
      <c r="C67" s="8" t="str">
        <f>'[1]V, inciso p) (OP)'!D43</f>
        <v>DOPI-MUN-AMP-PAV-LP-064-2016</v>
      </c>
      <c r="D67" s="13">
        <f>'[1]V, inciso p) (OP)'!AD43</f>
        <v>42591</v>
      </c>
      <c r="E67" s="8" t="str">
        <f>'[1]V, inciso p) (OP)'!AL43</f>
        <v>Reencarpetamiento de la vialidad, desbastado de la carpeta existente, nivelación de pozos de visita, cajas de válvulas, rejillas pluviales, bocas de tormenta y elementos estructurales que sobresalen de la rasante de la vialidad, calafateos, señalética horizontal en la Av. Juan Gil Preciado (carriles centrales), de carretera a Colotlán a Tesistán, municipio de Zapopan, Jalisco.</v>
      </c>
      <c r="F67" s="8" t="s">
        <v>67</v>
      </c>
      <c r="G67" s="9">
        <f>'[1]V, inciso p) (OP)'!AG43</f>
        <v>12009584.140000001</v>
      </c>
      <c r="H67" s="8" t="str">
        <f>'[1]V, inciso p) (OP)'!AS43</f>
        <v>Colonia Nuevo México</v>
      </c>
      <c r="I67" s="6" t="str">
        <f>'[1]V, inciso p) (OP)'!T43</f>
        <v>Rodrigo</v>
      </c>
      <c r="J67" s="6" t="str">
        <f>'[1]V, inciso p) (OP)'!U43</f>
        <v>Ramos</v>
      </c>
      <c r="K67" s="6" t="str">
        <f>'[1]V, inciso p) (OP)'!V43</f>
        <v>Garibi</v>
      </c>
      <c r="L67" s="8" t="str">
        <f>'[1]V, inciso p) (OP)'!W43</f>
        <v>Metro Asfaltos, S.A. de C.V.</v>
      </c>
      <c r="M67" s="6" t="str">
        <f>'[1]V, inciso p) (OP)'!X43</f>
        <v>CMA070307RU6</v>
      </c>
      <c r="N67" s="9">
        <f t="shared" si="1"/>
        <v>12009584.140000001</v>
      </c>
      <c r="O67" s="10" t="s">
        <v>40</v>
      </c>
      <c r="P67" s="6" t="s">
        <v>585</v>
      </c>
      <c r="Q67" s="9">
        <f>N67/40328</f>
        <v>297.79766266613768</v>
      </c>
      <c r="R67" s="6" t="s">
        <v>42</v>
      </c>
      <c r="S67" s="12">
        <v>60027</v>
      </c>
      <c r="T67" s="8" t="s">
        <v>43</v>
      </c>
      <c r="U67" s="6" t="s">
        <v>44</v>
      </c>
      <c r="V67" s="7">
        <f>'[1]V, inciso p) (OP)'!AM43</f>
        <v>42592</v>
      </c>
      <c r="W67" s="7">
        <f>'[1]V, inciso p) (OP)'!AN43</f>
        <v>42666</v>
      </c>
      <c r="X67" s="6" t="s">
        <v>586</v>
      </c>
      <c r="Y67" s="6" t="s">
        <v>404</v>
      </c>
      <c r="Z67" s="6" t="s">
        <v>405</v>
      </c>
      <c r="AA67" s="22" t="s">
        <v>932</v>
      </c>
      <c r="AB67" s="6" t="s">
        <v>40</v>
      </c>
    </row>
    <row r="68" spans="1:28" ht="108">
      <c r="A68" s="6">
        <v>2016</v>
      </c>
      <c r="B68" s="6" t="s">
        <v>30</v>
      </c>
      <c r="C68" s="8" t="str">
        <f>'[1]V, inciso p) (OP)'!D44</f>
        <v>DOPI-MUN-AMP-PAV-LP-065-2016</v>
      </c>
      <c r="D68" s="13">
        <f>'[1]V, inciso p) (OP)'!AD44</f>
        <v>42592</v>
      </c>
      <c r="E68" s="8" t="str">
        <f>'[1]V, inciso p) (OP)'!AL44</f>
        <v>Reencarpetamiento de la vialidad, desbastado de la carpeta existente, nivelación de pozos de visita, cajas de válvulas, rejillas pluviales, bocas de tormenta y elementos estructurales que sobresalen de la rasante de la vialidad, calafateos, señaletica horizontal en la Av. Juan Gil Preciado (carriles laterales), de carretera a Colotlán a Tesistán, municipio de Zapopan, Jalisco.</v>
      </c>
      <c r="F68" s="8" t="s">
        <v>67</v>
      </c>
      <c r="G68" s="9">
        <f>'[1]V, inciso p) (OP)'!AG44</f>
        <v>10115493.029999999</v>
      </c>
      <c r="H68" s="8" t="str">
        <f>'[1]V, inciso p) (OP)'!AS44</f>
        <v>Colonia Nuevo México</v>
      </c>
      <c r="I68" s="6" t="str">
        <f>'[1]V, inciso p) (OP)'!T44</f>
        <v>Jose Luis</v>
      </c>
      <c r="J68" s="6" t="str">
        <f>'[1]V, inciso p) (OP)'!U44</f>
        <v>Brenez</v>
      </c>
      <c r="K68" s="6" t="str">
        <f>'[1]V, inciso p) (OP)'!V44</f>
        <v>Moreno</v>
      </c>
      <c r="L68" s="8" t="str">
        <f>'[1]V, inciso p) (OP)'!W44</f>
        <v>Breysa Constructora, S.A. de C.V.</v>
      </c>
      <c r="M68" s="6" t="str">
        <f>'[1]V, inciso p) (OP)'!X44</f>
        <v>BCO900423GC5</v>
      </c>
      <c r="N68" s="9">
        <f t="shared" si="1"/>
        <v>10115493.029999999</v>
      </c>
      <c r="O68" s="10" t="s">
        <v>40</v>
      </c>
      <c r="P68" s="6" t="s">
        <v>587</v>
      </c>
      <c r="Q68" s="9">
        <f>N68/24640</f>
        <v>410.53137297077922</v>
      </c>
      <c r="R68" s="6" t="s">
        <v>42</v>
      </c>
      <c r="S68" s="12">
        <v>60027</v>
      </c>
      <c r="T68" s="8" t="s">
        <v>43</v>
      </c>
      <c r="U68" s="6" t="s">
        <v>44</v>
      </c>
      <c r="V68" s="7">
        <f>'[1]V, inciso p) (OP)'!AM44</f>
        <v>42592</v>
      </c>
      <c r="W68" s="7">
        <f>'[1]V, inciso p) (OP)'!AN44</f>
        <v>42683</v>
      </c>
      <c r="X68" s="6" t="s">
        <v>586</v>
      </c>
      <c r="Y68" s="6" t="s">
        <v>404</v>
      </c>
      <c r="Z68" s="6" t="s">
        <v>405</v>
      </c>
      <c r="AA68" s="6" t="s">
        <v>40</v>
      </c>
      <c r="AB68" s="6" t="s">
        <v>40</v>
      </c>
    </row>
    <row r="69" spans="1:28" ht="94.5">
      <c r="A69" s="6">
        <v>2016</v>
      </c>
      <c r="B69" s="6" t="s">
        <v>30</v>
      </c>
      <c r="C69" s="8" t="str">
        <f>'[1]V, inciso p) (OP)'!D45</f>
        <v>DOPI-MUN-AMP-PAV-LP-066-2016</v>
      </c>
      <c r="D69" s="13">
        <f>'[1]V, inciso p) (OP)'!AD45</f>
        <v>42592</v>
      </c>
      <c r="E69" s="8" t="str">
        <f>'[1]V, inciso p) (OP)'!AL45</f>
        <v>Construcción de la primera etapa de pavimento de concreto hidráulico MR-45, de línea de agua potable, drenaje sanitario, alumbrado público, guarniciones, banquetas, ciclovía, señalética y arbolado en la Avenida Ramón Corona carril sur primera etapa, en la colonia Base Áerea Militar , municipio de Zapopan, Jalisco.</v>
      </c>
      <c r="F69" s="8" t="s">
        <v>67</v>
      </c>
      <c r="G69" s="9">
        <f>'[1]V, inciso p) (OP)'!AG45</f>
        <v>9475895.3699999992</v>
      </c>
      <c r="H69" s="8" t="str">
        <f>'[1]V, inciso p) (OP)'!AS45</f>
        <v>Colonia Base Aerea Militar</v>
      </c>
      <c r="I69" s="6" t="str">
        <f>'[1]V, inciso p) (OP)'!T45</f>
        <v>Sergio Cesar</v>
      </c>
      <c r="J69" s="6" t="str">
        <f>'[1]V, inciso p) (OP)'!U45</f>
        <v>Diaz</v>
      </c>
      <c r="K69" s="6" t="str">
        <f>'[1]V, inciso p) (OP)'!V45</f>
        <v>Quiroz</v>
      </c>
      <c r="L69" s="8" t="str">
        <f>'[1]V, inciso p) (OP)'!W45</f>
        <v>Grupo Unicreto S.A. de C.V.</v>
      </c>
      <c r="M69" s="6" t="str">
        <f>'[1]V, inciso p) (OP)'!X45</f>
        <v>GUN880613NY1</v>
      </c>
      <c r="N69" s="9">
        <f t="shared" si="1"/>
        <v>9475895.3699999992</v>
      </c>
      <c r="O69" s="10" t="s">
        <v>40</v>
      </c>
      <c r="P69" s="6" t="s">
        <v>588</v>
      </c>
      <c r="Q69" s="9">
        <f>N69/6073</f>
        <v>1560.3318574016137</v>
      </c>
      <c r="R69" s="6" t="s">
        <v>42</v>
      </c>
      <c r="S69" s="12">
        <v>3428</v>
      </c>
      <c r="T69" s="8" t="s">
        <v>43</v>
      </c>
      <c r="U69" s="6" t="s">
        <v>44</v>
      </c>
      <c r="V69" s="7">
        <f>'[1]V, inciso p) (OP)'!AM45</f>
        <v>42592</v>
      </c>
      <c r="W69" s="7">
        <f>'[1]V, inciso p) (OP)'!AN45</f>
        <v>42713</v>
      </c>
      <c r="X69" s="6" t="s">
        <v>570</v>
      </c>
      <c r="Y69" s="6" t="s">
        <v>383</v>
      </c>
      <c r="Z69" s="6" t="s">
        <v>300</v>
      </c>
      <c r="AA69" s="6" t="s">
        <v>40</v>
      </c>
      <c r="AB69" s="6" t="s">
        <v>40</v>
      </c>
    </row>
    <row r="70" spans="1:28" ht="67.5">
      <c r="A70" s="6">
        <v>2016</v>
      </c>
      <c r="B70" s="6" t="s">
        <v>64</v>
      </c>
      <c r="C70" s="8" t="str">
        <f>'[1]V, inciso o) (OP)'!C42</f>
        <v>DOPI-MUN-RM-EM-AD-068-2016</v>
      </c>
      <c r="D70" s="13">
        <f>'[1]V, inciso o) (OP)'!V42</f>
        <v>42545</v>
      </c>
      <c r="E70" s="8" t="str">
        <f>'[1]V, inciso o) (OP)'!AA42</f>
        <v>Construcción de solución pluvial y de reforzamiento en terreno afectado por deslaves en paredes de terreno natural en terreno anexo a Residencial Poniente, Municipio de Zapopan, Jalisco.</v>
      </c>
      <c r="F70" s="8" t="s">
        <v>184</v>
      </c>
      <c r="G70" s="9">
        <f>'[1]V, inciso o) (OP)'!Y42</f>
        <v>4496387.16</v>
      </c>
      <c r="H70" s="8" t="s">
        <v>589</v>
      </c>
      <c r="I70" s="6" t="str">
        <f>'[1]V, inciso o) (OP)'!M42</f>
        <v>Alfredo</v>
      </c>
      <c r="J70" s="6" t="str">
        <f>'[1]V, inciso o) (OP)'!N42</f>
        <v>Aguirre</v>
      </c>
      <c r="K70" s="6" t="str">
        <f>'[1]V, inciso o) (OP)'!O42</f>
        <v>Montoya</v>
      </c>
      <c r="L70" s="8" t="str">
        <f>'[1]V, inciso o) (OP)'!P42</f>
        <v>Torres Aguirre Ingenieros, S.A. de C.V.</v>
      </c>
      <c r="M70" s="6" t="str">
        <f>'[1]V, inciso o) (OP)'!Q42</f>
        <v>TAI920312952</v>
      </c>
      <c r="N70" s="9">
        <f t="shared" si="1"/>
        <v>4496387.16</v>
      </c>
      <c r="O70" s="10" t="s">
        <v>40</v>
      </c>
      <c r="P70" s="6" t="s">
        <v>590</v>
      </c>
      <c r="Q70" s="9">
        <f>N70/855</f>
        <v>5258.9323508771931</v>
      </c>
      <c r="R70" s="6" t="s">
        <v>42</v>
      </c>
      <c r="S70" s="12">
        <v>342</v>
      </c>
      <c r="T70" s="8" t="s">
        <v>43</v>
      </c>
      <c r="U70" s="6" t="s">
        <v>44</v>
      </c>
      <c r="V70" s="7">
        <f>'[1]V, inciso o) (OP)'!AD42</f>
        <v>42548</v>
      </c>
      <c r="W70" s="7">
        <f>'[1]V, inciso o) (OP)'!AE42</f>
        <v>42637</v>
      </c>
      <c r="X70" s="6" t="s">
        <v>591</v>
      </c>
      <c r="Y70" s="6" t="s">
        <v>46</v>
      </c>
      <c r="Z70" s="6" t="s">
        <v>47</v>
      </c>
      <c r="AA70" s="6" t="s">
        <v>40</v>
      </c>
      <c r="AB70" s="6" t="s">
        <v>40</v>
      </c>
    </row>
    <row r="71" spans="1:28" ht="94.5">
      <c r="A71" s="6">
        <v>2016</v>
      </c>
      <c r="B71" s="6" t="s">
        <v>64</v>
      </c>
      <c r="C71" s="8" t="str">
        <f>'[1]V, inciso o) (OP)'!C43</f>
        <v>DOPI-MUN-RM-EM-AD-069-2016</v>
      </c>
      <c r="D71" s="13">
        <f>'[1]V, inciso o) (OP)'!V43</f>
        <v>42542</v>
      </c>
      <c r="E71" s="8" t="str">
        <f>'[1]V, inciso o) (OP)'!AA43</f>
        <v>Reconstrucción de la cimentación, instalaciones, estructura y terminados de viviendas, y construcción de casa habitación afectadas por la explosion sucitada en el fraccionamiento Tabachines en las confluencias de la calle Frambuesos y la Av. Caobas, Municipio de Zapopan, Jalisco.</v>
      </c>
      <c r="F71" s="8" t="s">
        <v>67</v>
      </c>
      <c r="G71" s="9">
        <f>'[1]V, inciso o) (OP)'!Y43</f>
        <v>2358235.4400000004</v>
      </c>
      <c r="H71" s="8" t="s">
        <v>592</v>
      </c>
      <c r="I71" s="6" t="str">
        <f>'[1]V, inciso o) (OP)'!M43</f>
        <v>José Antonio</v>
      </c>
      <c r="J71" s="6" t="str">
        <f>'[1]V, inciso o) (OP)'!N43</f>
        <v>Cuevas</v>
      </c>
      <c r="K71" s="6" t="str">
        <f>'[1]V, inciso o) (OP)'!O43</f>
        <v>Briseño</v>
      </c>
      <c r="L71" s="8" t="str">
        <f>'[1]V, inciso o) (OP)'!P43</f>
        <v>José Antonio Cuevas Briseño</v>
      </c>
      <c r="M71" s="6" t="str">
        <f>'[1]V, inciso o) (OP)'!Q43</f>
        <v>CUBA5705179V8</v>
      </c>
      <c r="N71" s="9">
        <f t="shared" si="1"/>
        <v>2358235.4400000004</v>
      </c>
      <c r="O71" s="10" t="s">
        <v>40</v>
      </c>
      <c r="P71" s="6" t="s">
        <v>593</v>
      </c>
      <c r="Q71" s="9">
        <f>N71/462</f>
        <v>5104.4057142857155</v>
      </c>
      <c r="R71" s="6" t="s">
        <v>42</v>
      </c>
      <c r="S71" s="12">
        <v>14</v>
      </c>
      <c r="T71" s="8" t="s">
        <v>43</v>
      </c>
      <c r="U71" s="6" t="s">
        <v>44</v>
      </c>
      <c r="V71" s="7">
        <f>'[1]V, inciso o) (OP)'!AD43</f>
        <v>42543</v>
      </c>
      <c r="W71" s="7">
        <f>'[1]V, inciso o) (OP)'!AE43</f>
        <v>42632</v>
      </c>
      <c r="X71" s="6" t="s">
        <v>594</v>
      </c>
      <c r="Y71" s="6" t="s">
        <v>595</v>
      </c>
      <c r="Z71" s="6" t="s">
        <v>596</v>
      </c>
      <c r="AA71" s="6" t="s">
        <v>40</v>
      </c>
      <c r="AB71" s="6" t="s">
        <v>40</v>
      </c>
    </row>
    <row r="72" spans="1:28" ht="81">
      <c r="A72" s="6">
        <v>2016</v>
      </c>
      <c r="B72" s="6" t="s">
        <v>64</v>
      </c>
      <c r="C72" s="8" t="str">
        <f>'[1]V, inciso o) (OP)'!C44</f>
        <v>DOPI-MUN-RM-CA-AD-070-2016</v>
      </c>
      <c r="D72" s="13">
        <f>'[1]V, inciso o) (OP)'!V44</f>
        <v>42542</v>
      </c>
      <c r="E72" s="8" t="str">
        <f>'[1]V, inciso o) (OP)'!AA44</f>
        <v>Rehabilitación de daños por sismo en aplanados, impermeabilizantes, pintura, plafones, pisos interiores y exteriores, jardineras, construcción de rampas, cubierta exterior, adecuaciones hidráulicas y acciones varias, en la Cruz Verde Santa Lucía, Municipio de Zapopan, Jalisco.</v>
      </c>
      <c r="F72" s="8" t="s">
        <v>184</v>
      </c>
      <c r="G72" s="9">
        <f>'[1]V, inciso o) (OP)'!Y44</f>
        <v>1449650.2300000002</v>
      </c>
      <c r="H72" s="8" t="s">
        <v>597</v>
      </c>
      <c r="I72" s="6" t="str">
        <f>'[1]V, inciso o) (OP)'!M44</f>
        <v xml:space="preserve">Eduardo </v>
      </c>
      <c r="J72" s="6" t="str">
        <f>'[1]V, inciso o) (OP)'!N44</f>
        <v>Plascencia</v>
      </c>
      <c r="K72" s="6" t="str">
        <f>'[1]V, inciso o) (OP)'!O44</f>
        <v>Macias</v>
      </c>
      <c r="L72" s="8" t="str">
        <f>'[1]V, inciso o) (OP)'!P44</f>
        <v>Constructora y Edificadora Plasma, S.A. de C.V.</v>
      </c>
      <c r="M72" s="6" t="str">
        <f>'[1]V, inciso o) (OP)'!Q44</f>
        <v>CEP080129EK6</v>
      </c>
      <c r="N72" s="9">
        <f t="shared" si="1"/>
        <v>1449650.2300000002</v>
      </c>
      <c r="O72" s="11">
        <v>1049516.9099999999</v>
      </c>
      <c r="P72" s="6" t="s">
        <v>598</v>
      </c>
      <c r="Q72" s="9">
        <f>N72/1137</f>
        <v>1274.9782145998242</v>
      </c>
      <c r="R72" s="6" t="s">
        <v>42</v>
      </c>
      <c r="S72" s="12">
        <v>89669</v>
      </c>
      <c r="T72" s="8" t="s">
        <v>43</v>
      </c>
      <c r="U72" s="6" t="s">
        <v>44</v>
      </c>
      <c r="V72" s="7">
        <f>'[1]V, inciso o) (OP)'!AD44</f>
        <v>42543</v>
      </c>
      <c r="W72" s="7">
        <f>'[1]V, inciso o) (OP)'!AE44</f>
        <v>42632</v>
      </c>
      <c r="X72" s="6" t="s">
        <v>544</v>
      </c>
      <c r="Y72" s="6" t="s">
        <v>545</v>
      </c>
      <c r="Z72" s="6" t="s">
        <v>212</v>
      </c>
      <c r="AA72" s="6" t="s">
        <v>40</v>
      </c>
      <c r="AB72" s="6" t="s">
        <v>40</v>
      </c>
    </row>
    <row r="73" spans="1:28" ht="94.5">
      <c r="A73" s="6">
        <v>2016</v>
      </c>
      <c r="B73" s="6" t="s">
        <v>64</v>
      </c>
      <c r="C73" s="8" t="str">
        <f>'[1]V, inciso o) (OP)'!C45</f>
        <v>DOPI-MUN-RM-CA-AD-071-2016</v>
      </c>
      <c r="D73" s="13">
        <f>'[1]V, inciso o) (OP)'!V45</f>
        <v>42542</v>
      </c>
      <c r="E73" s="8" t="str">
        <f>'[1]V, inciso o) (OP)'!AA45</f>
        <v>Construcción de banquetas, guarnición, pasos holandeses, cruces pluviales, muros de mamposteo, renivelaciones asfálticas y alumbrado público sobre Periférico Norte en las confluencias de la calle Parres Arias - Zona  CUCSH, para garantizar el cruce seguro de estudiantes, en zona Belenes, Municipio de Zapopan, Jalisco.</v>
      </c>
      <c r="F73" s="8" t="s">
        <v>67</v>
      </c>
      <c r="G73" s="9">
        <f>'[1]V, inciso o) (OP)'!Y45</f>
        <v>1301258.44</v>
      </c>
      <c r="H73" s="8" t="s">
        <v>599</v>
      </c>
      <c r="I73" s="6" t="str">
        <f>'[1]V, inciso o) (OP)'!M45</f>
        <v>Ofelia</v>
      </c>
      <c r="J73" s="6" t="str">
        <f>'[1]V, inciso o) (OP)'!N45</f>
        <v>Reyes</v>
      </c>
      <c r="K73" s="6" t="str">
        <f>'[1]V, inciso o) (OP)'!O45</f>
        <v>Estrella</v>
      </c>
      <c r="L73" s="8" t="str">
        <f>'[1]V, inciso o) (OP)'!P45</f>
        <v>Wences Construcciones, S.A. de C.V.</v>
      </c>
      <c r="M73" s="6" t="str">
        <f>'[1]V, inciso o) (OP)'!Q45</f>
        <v>WCO130628TM3</v>
      </c>
      <c r="N73" s="9">
        <f t="shared" si="1"/>
        <v>1301258.44</v>
      </c>
      <c r="O73" s="11">
        <v>1301248.2200000002</v>
      </c>
      <c r="P73" s="6" t="s">
        <v>600</v>
      </c>
      <c r="Q73" s="9">
        <f>N73/112</f>
        <v>11618.378928571428</v>
      </c>
      <c r="R73" s="6" t="s">
        <v>42</v>
      </c>
      <c r="S73" s="12">
        <v>36304</v>
      </c>
      <c r="T73" s="8" t="s">
        <v>43</v>
      </c>
      <c r="U73" s="6" t="s">
        <v>44</v>
      </c>
      <c r="V73" s="7">
        <f>'[1]V, inciso o) (OP)'!AD45</f>
        <v>42543</v>
      </c>
      <c r="W73" s="7">
        <f>'[1]V, inciso o) (OP)'!AE45</f>
        <v>42602</v>
      </c>
      <c r="X73" s="6" t="s">
        <v>572</v>
      </c>
      <c r="Y73" s="6" t="s">
        <v>573</v>
      </c>
      <c r="Z73" s="6" t="s">
        <v>574</v>
      </c>
      <c r="AA73" s="6" t="s">
        <v>40</v>
      </c>
      <c r="AB73" s="6" t="s">
        <v>40</v>
      </c>
    </row>
    <row r="74" spans="1:28" ht="94.5">
      <c r="A74" s="6">
        <v>2016</v>
      </c>
      <c r="B74" s="6" t="s">
        <v>64</v>
      </c>
      <c r="C74" s="8" t="str">
        <f>'[1]V, inciso o) (OP)'!C46</f>
        <v>DOPI-MUN-RM-PAV-AD-072-2016</v>
      </c>
      <c r="D74" s="13">
        <f>'[1]V, inciso o) (OP)'!V46</f>
        <v>42542</v>
      </c>
      <c r="E74" s="8" t="str">
        <f>'[1]V, inciso o) (OP)'!AA46</f>
        <v>Construcción de pavimento de concreto zampeado, guarniciones y banquetas, instalaciones hidrosanitarias y pluviales, conexión a puente peatonal, preparaciones de red eléctrica y de alumbrado público, en la calle  Venustiano Carranza en la colonia Agua Fría, Municipio de Zapopan, Jalisco.</v>
      </c>
      <c r="F74" s="8" t="s">
        <v>184</v>
      </c>
      <c r="G74" s="9">
        <f>'[1]V, inciso o) (OP)'!Y46</f>
        <v>1503202.18</v>
      </c>
      <c r="H74" s="8" t="s">
        <v>601</v>
      </c>
      <c r="I74" s="6" t="str">
        <f>'[1]V, inciso o) (OP)'!M46</f>
        <v>Elba</v>
      </c>
      <c r="J74" s="6" t="str">
        <f>'[1]V, inciso o) (OP)'!N46</f>
        <v xml:space="preserve">González </v>
      </c>
      <c r="K74" s="6" t="str">
        <f>'[1]V, inciso o) (OP)'!O46</f>
        <v>Aguirre</v>
      </c>
      <c r="L74" s="8" t="str">
        <f>'[1]V, inciso o) (OP)'!P46</f>
        <v>GA Urbanización, S.A. de C.V.</v>
      </c>
      <c r="M74" s="6" t="str">
        <f>'[1]V, inciso o) (OP)'!Q46</f>
        <v>GUR120612P22</v>
      </c>
      <c r="N74" s="9">
        <f t="shared" si="1"/>
        <v>1503202.18</v>
      </c>
      <c r="O74" s="11">
        <v>704023.13</v>
      </c>
      <c r="P74" s="6" t="s">
        <v>602</v>
      </c>
      <c r="Q74" s="9">
        <f>N74/680</f>
        <v>2210.5914411764707</v>
      </c>
      <c r="R74" s="6" t="s">
        <v>42</v>
      </c>
      <c r="S74" s="12">
        <v>918</v>
      </c>
      <c r="T74" s="8" t="s">
        <v>43</v>
      </c>
      <c r="U74" s="6" t="s">
        <v>44</v>
      </c>
      <c r="V74" s="7">
        <f>'[1]V, inciso o) (OP)'!AD46</f>
        <v>42543</v>
      </c>
      <c r="W74" s="7">
        <f>'[1]V, inciso o) (OP)'!AE46</f>
        <v>42632</v>
      </c>
      <c r="X74" s="6" t="s">
        <v>556</v>
      </c>
      <c r="Y74" s="6" t="s">
        <v>557</v>
      </c>
      <c r="Z74" s="6" t="s">
        <v>558</v>
      </c>
      <c r="AA74" s="6" t="s">
        <v>40</v>
      </c>
      <c r="AB74" s="6" t="s">
        <v>40</v>
      </c>
    </row>
    <row r="75" spans="1:28" ht="67.5">
      <c r="A75" s="6">
        <v>2016</v>
      </c>
      <c r="B75" s="6" t="s">
        <v>64</v>
      </c>
      <c r="C75" s="8" t="str">
        <f>'[1]V, inciso o) (OP)'!C47</f>
        <v>DOPI-MUN-RM-IM-AD-073-2016</v>
      </c>
      <c r="D75" s="13">
        <f>'[1]V, inciso o) (OP)'!V47</f>
        <v>42545</v>
      </c>
      <c r="E75" s="8" t="str">
        <f>'[1]V, inciso o) (OP)'!AA47</f>
        <v>Construcción y rehabilitación de bardas perimetrales en el Centro Comunitario No. 15 del DIF ubicado en San Juan de Ocotán y en la guardería CAIC del DIF ubicado en Miramar, Municipio de Zapopan, Jalisco.</v>
      </c>
      <c r="F75" s="8" t="s">
        <v>184</v>
      </c>
      <c r="G75" s="9">
        <f>'[1]V, inciso o) (OP)'!Y47</f>
        <v>1398736.1200000003</v>
      </c>
      <c r="H75" s="8" t="s">
        <v>603</v>
      </c>
      <c r="I75" s="6" t="str">
        <f>'[1]V, inciso o) (OP)'!M47</f>
        <v>Hugo Armando</v>
      </c>
      <c r="J75" s="6" t="str">
        <f>'[1]V, inciso o) (OP)'!N47</f>
        <v>Prieto</v>
      </c>
      <c r="K75" s="6" t="str">
        <f>'[1]V, inciso o) (OP)'!O47</f>
        <v>Jiménez</v>
      </c>
      <c r="L75" s="8" t="str">
        <f>'[1]V, inciso o) (OP)'!P47</f>
        <v>Constructora Rural del Pais, S.A. de C.V.</v>
      </c>
      <c r="M75" s="6" t="str">
        <f>'[1]V, inciso o) (OP)'!Q47</f>
        <v>CRP870708I62</v>
      </c>
      <c r="N75" s="9">
        <f t="shared" si="1"/>
        <v>1398736.1200000003</v>
      </c>
      <c r="O75" s="10" t="s">
        <v>40</v>
      </c>
      <c r="P75" s="6" t="s">
        <v>604</v>
      </c>
      <c r="Q75" s="9">
        <f>N75/312</f>
        <v>4483.128589743591</v>
      </c>
      <c r="R75" s="6" t="s">
        <v>42</v>
      </c>
      <c r="S75" s="12">
        <v>19228</v>
      </c>
      <c r="T75" s="8" t="s">
        <v>43</v>
      </c>
      <c r="U75" s="6" t="s">
        <v>44</v>
      </c>
      <c r="V75" s="7">
        <f>'[1]V, inciso o) (OP)'!AD47</f>
        <v>42548</v>
      </c>
      <c r="W75" s="7">
        <f>'[1]V, inciso o) (OP)'!AE47</f>
        <v>42607</v>
      </c>
      <c r="X75" s="6" t="s">
        <v>605</v>
      </c>
      <c r="Y75" s="6" t="s">
        <v>442</v>
      </c>
      <c r="Z75" s="6" t="s">
        <v>101</v>
      </c>
      <c r="AA75" s="6" t="s">
        <v>40</v>
      </c>
      <c r="AB75" s="6" t="s">
        <v>40</v>
      </c>
    </row>
    <row r="76" spans="1:28" ht="81">
      <c r="A76" s="6">
        <v>2016</v>
      </c>
      <c r="B76" s="6" t="s">
        <v>64</v>
      </c>
      <c r="C76" s="6" t="s">
        <v>606</v>
      </c>
      <c r="D76" s="13">
        <v>42521</v>
      </c>
      <c r="E76" s="8" t="s">
        <v>607</v>
      </c>
      <c r="F76" s="8" t="s">
        <v>184</v>
      </c>
      <c r="G76" s="9">
        <v>1472628.4</v>
      </c>
      <c r="H76" s="8" t="s">
        <v>608</v>
      </c>
      <c r="I76" s="6" t="s">
        <v>609</v>
      </c>
      <c r="J76" s="6" t="s">
        <v>610</v>
      </c>
      <c r="K76" s="6" t="s">
        <v>611</v>
      </c>
      <c r="L76" s="8" t="s">
        <v>612</v>
      </c>
      <c r="M76" s="6" t="s">
        <v>613</v>
      </c>
      <c r="N76" s="9">
        <v>1472628.4</v>
      </c>
      <c r="O76" s="11">
        <v>1381638.21</v>
      </c>
      <c r="P76" s="6" t="s">
        <v>614</v>
      </c>
      <c r="Q76" s="9">
        <f>N76/4700</f>
        <v>313.32519148936166</v>
      </c>
      <c r="R76" s="6" t="s">
        <v>222</v>
      </c>
      <c r="S76" s="12">
        <v>122345</v>
      </c>
      <c r="T76" s="8" t="s">
        <v>43</v>
      </c>
      <c r="U76" s="6" t="s">
        <v>44</v>
      </c>
      <c r="V76" s="7">
        <v>42522</v>
      </c>
      <c r="W76" s="7">
        <v>42566</v>
      </c>
      <c r="X76" s="6" t="s">
        <v>333</v>
      </c>
      <c r="Y76" s="6" t="s">
        <v>334</v>
      </c>
      <c r="Z76" s="6" t="s">
        <v>133</v>
      </c>
      <c r="AA76" s="6" t="s">
        <v>40</v>
      </c>
      <c r="AB76" s="6" t="s">
        <v>40</v>
      </c>
    </row>
    <row r="77" spans="1:28" ht="40.5">
      <c r="A77" s="6">
        <v>2016</v>
      </c>
      <c r="B77" s="6" t="s">
        <v>64</v>
      </c>
      <c r="C77" s="6" t="s">
        <v>615</v>
      </c>
      <c r="D77" s="13">
        <v>42521</v>
      </c>
      <c r="E77" s="8" t="s">
        <v>616</v>
      </c>
      <c r="F77" s="8" t="s">
        <v>184</v>
      </c>
      <c r="G77" s="9">
        <v>1386929.62</v>
      </c>
      <c r="H77" s="8" t="s">
        <v>617</v>
      </c>
      <c r="I77" s="6" t="s">
        <v>618</v>
      </c>
      <c r="J77" s="6" t="s">
        <v>619</v>
      </c>
      <c r="K77" s="6" t="s">
        <v>377</v>
      </c>
      <c r="L77" s="8" t="s">
        <v>620</v>
      </c>
      <c r="M77" s="6" t="s">
        <v>621</v>
      </c>
      <c r="N77" s="9">
        <v>1386929.62</v>
      </c>
      <c r="O77" s="11">
        <v>1386928.81</v>
      </c>
      <c r="P77" s="6" t="s">
        <v>622</v>
      </c>
      <c r="Q77" s="9">
        <f>N77/30700</f>
        <v>45.176860586319222</v>
      </c>
      <c r="R77" s="6" t="s">
        <v>222</v>
      </c>
      <c r="S77" s="12">
        <v>164322</v>
      </c>
      <c r="T77" s="8" t="s">
        <v>43</v>
      </c>
      <c r="U77" s="6" t="s">
        <v>44</v>
      </c>
      <c r="V77" s="7">
        <v>42522</v>
      </c>
      <c r="W77" s="7">
        <v>42566</v>
      </c>
      <c r="X77" s="6" t="s">
        <v>342</v>
      </c>
      <c r="Y77" s="6" t="s">
        <v>343</v>
      </c>
      <c r="Z77" s="6" t="s">
        <v>344</v>
      </c>
      <c r="AA77" s="6" t="s">
        <v>40</v>
      </c>
      <c r="AB77" s="6" t="s">
        <v>40</v>
      </c>
    </row>
    <row r="78" spans="1:28" ht="189">
      <c r="A78" s="6">
        <v>2016</v>
      </c>
      <c r="B78" s="6" t="s">
        <v>64</v>
      </c>
      <c r="C78" s="6" t="s">
        <v>623</v>
      </c>
      <c r="D78" s="13">
        <v>42523</v>
      </c>
      <c r="E78" s="8" t="s">
        <v>624</v>
      </c>
      <c r="F78" s="8" t="s">
        <v>184</v>
      </c>
      <c r="G78" s="9">
        <v>1414800.15</v>
      </c>
      <c r="H78" s="8" t="s">
        <v>617</v>
      </c>
      <c r="I78" s="6" t="s">
        <v>625</v>
      </c>
      <c r="J78" s="6" t="s">
        <v>139</v>
      </c>
      <c r="K78" s="6" t="s">
        <v>626</v>
      </c>
      <c r="L78" s="8" t="s">
        <v>627</v>
      </c>
      <c r="M78" s="6" t="s">
        <v>628</v>
      </c>
      <c r="N78" s="9">
        <v>1414800.15</v>
      </c>
      <c r="O78" s="11">
        <v>1390957.67</v>
      </c>
      <c r="P78" s="6" t="s">
        <v>629</v>
      </c>
      <c r="Q78" s="9">
        <f>N78/2495</f>
        <v>567.05416833667334</v>
      </c>
      <c r="R78" s="6" t="s">
        <v>222</v>
      </c>
      <c r="S78" s="12">
        <v>264114</v>
      </c>
      <c r="T78" s="8" t="s">
        <v>43</v>
      </c>
      <c r="U78" s="6" t="s">
        <v>44</v>
      </c>
      <c r="V78" s="7">
        <v>42524</v>
      </c>
      <c r="W78" s="7">
        <v>42573</v>
      </c>
      <c r="X78" s="6" t="str">
        <f>X76</f>
        <v xml:space="preserve">Carlos Gerardo </v>
      </c>
      <c r="Y78" s="6" t="str">
        <f>Y76</f>
        <v xml:space="preserve">Peña </v>
      </c>
      <c r="Z78" s="6" t="str">
        <f>Z76</f>
        <v>Ortega</v>
      </c>
      <c r="AA78" s="6" t="s">
        <v>40</v>
      </c>
      <c r="AB78" s="6" t="s">
        <v>40</v>
      </c>
    </row>
    <row r="79" spans="1:28" ht="148.5">
      <c r="A79" s="6">
        <v>2016</v>
      </c>
      <c r="B79" s="6" t="s">
        <v>64</v>
      </c>
      <c r="C79" s="6" t="s">
        <v>630</v>
      </c>
      <c r="D79" s="13">
        <v>42530</v>
      </c>
      <c r="E79" s="8" t="s">
        <v>631</v>
      </c>
      <c r="F79" s="8" t="s">
        <v>184</v>
      </c>
      <c r="G79" s="9">
        <v>1495650.36</v>
      </c>
      <c r="H79" s="8" t="s">
        <v>617</v>
      </c>
      <c r="I79" s="6" t="s">
        <v>632</v>
      </c>
      <c r="J79" s="6" t="s">
        <v>633</v>
      </c>
      <c r="K79" s="8" t="s">
        <v>634</v>
      </c>
      <c r="L79" s="8" t="s">
        <v>635</v>
      </c>
      <c r="M79" s="6" t="s">
        <v>636</v>
      </c>
      <c r="N79" s="9">
        <v>1495650.36</v>
      </c>
      <c r="O79" s="10" t="s">
        <v>40</v>
      </c>
      <c r="P79" s="6" t="s">
        <v>231</v>
      </c>
      <c r="Q79" s="6" t="s">
        <v>231</v>
      </c>
      <c r="R79" s="6" t="s">
        <v>232</v>
      </c>
      <c r="S79" s="12" t="s">
        <v>232</v>
      </c>
      <c r="T79" s="8" t="s">
        <v>43</v>
      </c>
      <c r="U79" s="6" t="s">
        <v>44</v>
      </c>
      <c r="V79" s="7">
        <v>42531</v>
      </c>
      <c r="W79" s="7">
        <v>42643</v>
      </c>
      <c r="X79" s="6" t="s">
        <v>523</v>
      </c>
      <c r="Y79" s="6" t="s">
        <v>524</v>
      </c>
      <c r="Z79" s="6" t="s">
        <v>462</v>
      </c>
      <c r="AA79" s="6" t="s">
        <v>40</v>
      </c>
      <c r="AB79" s="6" t="s">
        <v>40</v>
      </c>
    </row>
    <row r="80" spans="1:28" ht="81">
      <c r="A80" s="6">
        <v>2016</v>
      </c>
      <c r="B80" s="6" t="s">
        <v>64</v>
      </c>
      <c r="C80" s="8" t="str">
        <f>'[1]V, inciso o) (OP)'!C52</f>
        <v>DOPI-MUN-RM-IM-AD-078-2016</v>
      </c>
      <c r="D80" s="13">
        <f>'[1]V, inciso o) (OP)'!V52</f>
        <v>42545</v>
      </c>
      <c r="E80" s="8" t="str">
        <f>'[1]V, inciso o) (OP)'!AA52</f>
        <v>Construcción de estacionamiento con pavimento asfáltico y sello tipo Slurry Seal, guarniciones, banquetas, adecuaciones a la instalación eléctrica y aire acondicionado en el archivo histórico de Zapopan, Municipio de Zapopan, Jalisco.</v>
      </c>
      <c r="F80" s="8" t="s">
        <v>184</v>
      </c>
      <c r="G80" s="9">
        <f>'[1]V, inciso o) (OP)'!Y52</f>
        <v>1598479.88</v>
      </c>
      <c r="H80" s="8" t="s">
        <v>637</v>
      </c>
      <c r="I80" s="6" t="str">
        <f>'[1]V, inciso o) (OP)'!M52</f>
        <v>J. Gerardo</v>
      </c>
      <c r="J80" s="6" t="str">
        <f>'[1]V, inciso o) (OP)'!N52</f>
        <v>Nicanor</v>
      </c>
      <c r="K80" s="6" t="str">
        <f>'[1]V, inciso o) (OP)'!O52</f>
        <v>Mejia Mariscal</v>
      </c>
      <c r="L80" s="8" t="str">
        <f>'[1]V, inciso o) (OP)'!P52</f>
        <v>Ineco Construye, S.A. de C.V.</v>
      </c>
      <c r="M80" s="6" t="str">
        <f>'[1]V, inciso o) (OP)'!Q52</f>
        <v>ICO980722M04</v>
      </c>
      <c r="N80" s="9">
        <f t="shared" ref="N80:N136" si="2">G80</f>
        <v>1598479.88</v>
      </c>
      <c r="O80" s="10" t="s">
        <v>40</v>
      </c>
      <c r="P80" s="6" t="s">
        <v>638</v>
      </c>
      <c r="Q80" s="9">
        <f>N80/812</f>
        <v>1968.5712807881771</v>
      </c>
      <c r="R80" s="6" t="s">
        <v>42</v>
      </c>
      <c r="S80" s="12">
        <v>134</v>
      </c>
      <c r="T80" s="8" t="s">
        <v>43</v>
      </c>
      <c r="U80" s="6" t="s">
        <v>44</v>
      </c>
      <c r="V80" s="7">
        <f>'[1]V, inciso o) (OP)'!AD52</f>
        <v>42548</v>
      </c>
      <c r="W80" s="7">
        <f>'[1]V, inciso o) (OP)'!AE52</f>
        <v>42607</v>
      </c>
      <c r="X80" s="6" t="s">
        <v>594</v>
      </c>
      <c r="Y80" s="6" t="s">
        <v>595</v>
      </c>
      <c r="Z80" s="6" t="s">
        <v>596</v>
      </c>
      <c r="AA80" s="6" t="s">
        <v>40</v>
      </c>
      <c r="AB80" s="6" t="s">
        <v>40</v>
      </c>
    </row>
    <row r="81" spans="1:28" ht="40.5">
      <c r="A81" s="6">
        <v>2016</v>
      </c>
      <c r="B81" s="6" t="s">
        <v>64</v>
      </c>
      <c r="C81" s="8" t="str">
        <f>'[1]V, inciso o) (OP)'!C53</f>
        <v>DOPI-MUN-RM-PROY-AD-079-2016</v>
      </c>
      <c r="D81" s="13">
        <f>'[1]V, inciso o) (OP)'!V53</f>
        <v>42545</v>
      </c>
      <c r="E81" s="8" t="str">
        <f>'[1]V, inciso o) (OP)'!AA53</f>
        <v>Proyecto ejecutivo para la construcción de la celda 5 en el relleno sanitario Picachos, Municipio de Zapopan, Jalisco.</v>
      </c>
      <c r="F81" s="8" t="s">
        <v>184</v>
      </c>
      <c r="G81" s="9">
        <f>'[1]V, inciso o) (OP)'!Y53</f>
        <v>1115518.2</v>
      </c>
      <c r="H81" s="8" t="s">
        <v>231</v>
      </c>
      <c r="I81" s="6" t="str">
        <f>'[1]V, inciso o) (OP)'!M53</f>
        <v>Juan Ramón</v>
      </c>
      <c r="J81" s="6" t="str">
        <f>'[1]V, inciso o) (OP)'!N53</f>
        <v>Ramírez</v>
      </c>
      <c r="K81" s="6" t="str">
        <f>'[1]V, inciso o) (OP)'!O53</f>
        <v>Alatorre</v>
      </c>
      <c r="L81" s="8" t="str">
        <f>'[1]V, inciso o) (OP)'!P53</f>
        <v>Quercus Geosoluciones, S.A. de C.V.</v>
      </c>
      <c r="M81" s="6" t="str">
        <f>'[1]V, inciso o) (OP)'!Q53</f>
        <v>QGE080213988</v>
      </c>
      <c r="N81" s="9">
        <f t="shared" si="2"/>
        <v>1115518.2</v>
      </c>
      <c r="O81" s="10" t="s">
        <v>40</v>
      </c>
      <c r="P81" s="6" t="s">
        <v>231</v>
      </c>
      <c r="Q81" s="6" t="s">
        <v>231</v>
      </c>
      <c r="R81" s="6" t="s">
        <v>42</v>
      </c>
      <c r="S81" s="12" t="s">
        <v>231</v>
      </c>
      <c r="T81" s="8" t="s">
        <v>43</v>
      </c>
      <c r="U81" s="6" t="s">
        <v>44</v>
      </c>
      <c r="V81" s="7">
        <f>'[1]V, inciso o) (OP)'!AD53</f>
        <v>42548</v>
      </c>
      <c r="W81" s="7">
        <f>'[1]V, inciso o) (OP)'!AE53</f>
        <v>42592</v>
      </c>
      <c r="X81" s="6" t="s">
        <v>639</v>
      </c>
      <c r="Y81" s="6" t="s">
        <v>524</v>
      </c>
      <c r="Z81" s="6" t="s">
        <v>462</v>
      </c>
      <c r="AA81" s="6" t="s">
        <v>40</v>
      </c>
      <c r="AB81" s="6" t="s">
        <v>40</v>
      </c>
    </row>
    <row r="82" spans="1:28" ht="40.5">
      <c r="A82" s="6">
        <v>2016</v>
      </c>
      <c r="B82" s="6" t="s">
        <v>64</v>
      </c>
      <c r="C82" s="8" t="str">
        <f>'[1]V, inciso o) (OP)'!C54</f>
        <v>DOPI-MUN-RM-MOV-AD-080-2016</v>
      </c>
      <c r="D82" s="13">
        <f>'[1]V, inciso o) (OP)'!V54</f>
        <v>42552</v>
      </c>
      <c r="E82" s="8" t="str">
        <f>'[1]V, inciso o) (OP)'!AA54</f>
        <v>Señalización vertical y horizontal en diferentes obras del municipio de Zapopan, Jalisco, frente 1.</v>
      </c>
      <c r="F82" s="8" t="s">
        <v>184</v>
      </c>
      <c r="G82" s="9">
        <f>'[1]V, inciso o) (OP)'!Y54</f>
        <v>1250236.98</v>
      </c>
      <c r="H82" s="8" t="s">
        <v>225</v>
      </c>
      <c r="I82" s="6" t="str">
        <f>'[1]V, inciso o) (OP)'!M54</f>
        <v>Jorge Alberto</v>
      </c>
      <c r="J82" s="6" t="str">
        <f>'[1]V, inciso o) (OP)'!N54</f>
        <v>Mena</v>
      </c>
      <c r="K82" s="6" t="str">
        <f>'[1]V, inciso o) (OP)'!O54</f>
        <v>Adames</v>
      </c>
      <c r="L82" s="8" t="str">
        <f>'[1]V, inciso o) (OP)'!P54</f>
        <v>Divicon, S.A. de C.V.</v>
      </c>
      <c r="M82" s="6" t="str">
        <f>'[1]V, inciso o) (OP)'!Q54</f>
        <v>DIV010905510</v>
      </c>
      <c r="N82" s="9">
        <f t="shared" si="2"/>
        <v>1250236.98</v>
      </c>
      <c r="O82" s="10" t="s">
        <v>40</v>
      </c>
      <c r="P82" s="6" t="s">
        <v>231</v>
      </c>
      <c r="Q82" s="9" t="s">
        <v>231</v>
      </c>
      <c r="R82" s="6" t="s">
        <v>42</v>
      </c>
      <c r="S82" s="12">
        <v>333068</v>
      </c>
      <c r="T82" s="8" t="s">
        <v>43</v>
      </c>
      <c r="U82" s="6" t="s">
        <v>44</v>
      </c>
      <c r="V82" s="7">
        <f>'[1]V, inciso o) (OP)'!AD54</f>
        <v>42555</v>
      </c>
      <c r="W82" s="7">
        <f>'[1]V, inciso o) (OP)'!AE54</f>
        <v>42724</v>
      </c>
      <c r="X82" s="6" t="s">
        <v>640</v>
      </c>
      <c r="Y82" s="6" t="s">
        <v>641</v>
      </c>
      <c r="Z82" s="6" t="s">
        <v>167</v>
      </c>
      <c r="AA82" s="6" t="s">
        <v>40</v>
      </c>
      <c r="AB82" s="6" t="s">
        <v>40</v>
      </c>
    </row>
    <row r="83" spans="1:28" ht="94.5">
      <c r="A83" s="6">
        <v>2016</v>
      </c>
      <c r="B83" s="6" t="s">
        <v>64</v>
      </c>
      <c r="C83" s="8" t="str">
        <f>'[1]V, inciso o) (OP)'!C55</f>
        <v>DOPI-MUN-RM-PAV-AD-081-2016</v>
      </c>
      <c r="D83" s="13">
        <f>'[1]V, inciso o) (OP)'!V55</f>
        <v>42552</v>
      </c>
      <c r="E83" s="8" t="str">
        <f>'[1]V, inciso o) (OP)'!AA55</f>
        <v>Construcción de pavimento de concreto hidráulico MR45, machuelos, banquetas e instalaciones hidráulicas en la calle Canal del Andador a la calle General Arteaga de la calle General Arteaga, de la calle Canal a la calle Agustín Rivera, colonia el Batán, municipio de Zapopan, Jalisco.</v>
      </c>
      <c r="F83" s="8" t="s">
        <v>184</v>
      </c>
      <c r="G83" s="9">
        <f>'[1]V, inciso o) (OP)'!Y55</f>
        <v>1475028.6100000003</v>
      </c>
      <c r="H83" s="8" t="s">
        <v>642</v>
      </c>
      <c r="I83" s="6" t="str">
        <f>'[1]V, inciso o) (OP)'!M55</f>
        <v>Miguel</v>
      </c>
      <c r="J83" s="6" t="str">
        <f>'[1]V, inciso o) (OP)'!N55</f>
        <v>Rodríguez</v>
      </c>
      <c r="K83" s="6" t="str">
        <f>'[1]V, inciso o) (OP)'!O55</f>
        <v>Rosas</v>
      </c>
      <c r="L83" s="8" t="str">
        <f>'[1]V, inciso o) (OP)'!P55</f>
        <v>Stella Construcciones, S.A. de C.V.</v>
      </c>
      <c r="M83" s="6" t="str">
        <f>'[1]V, inciso o) (OP)'!Q55</f>
        <v>SCO0102137E1</v>
      </c>
      <c r="N83" s="9">
        <f t="shared" si="2"/>
        <v>1475028.6100000003</v>
      </c>
      <c r="O83" s="10" t="s">
        <v>40</v>
      </c>
      <c r="P83" s="6" t="s">
        <v>643</v>
      </c>
      <c r="Q83" s="9">
        <f>N83/768</f>
        <v>1920.6101692708337</v>
      </c>
      <c r="R83" s="6" t="s">
        <v>42</v>
      </c>
      <c r="S83" s="12">
        <v>1929</v>
      </c>
      <c r="T83" s="8" t="s">
        <v>43</v>
      </c>
      <c r="U83" s="6" t="s">
        <v>44</v>
      </c>
      <c r="V83" s="7">
        <f>'[1]V, inciso o) (OP)'!AD55</f>
        <v>42555</v>
      </c>
      <c r="W83" s="7">
        <f>'[1]V, inciso o) (OP)'!AE55</f>
        <v>42613</v>
      </c>
      <c r="X83" s="6" t="s">
        <v>530</v>
      </c>
      <c r="Y83" s="6" t="s">
        <v>343</v>
      </c>
      <c r="Z83" s="6" t="s">
        <v>344</v>
      </c>
      <c r="AA83" s="6" t="s">
        <v>40</v>
      </c>
      <c r="AB83" s="6" t="s">
        <v>40</v>
      </c>
    </row>
    <row r="84" spans="1:28" ht="135">
      <c r="A84" s="6">
        <v>2016</v>
      </c>
      <c r="B84" s="6" t="s">
        <v>64</v>
      </c>
      <c r="C84" s="8" t="str">
        <f>'[1]V, inciso o) (OP)'!C56</f>
        <v>DOPI-MUN-RM-PAV-AD-082-2016</v>
      </c>
      <c r="D84" s="13">
        <f>'[1]V, inciso o) (OP)'!V56</f>
        <v>42555</v>
      </c>
      <c r="E84" s="8" t="str">
        <f>'[1]V, inciso o) (OP)'!AA56</f>
        <v>Construcción de pavimento de concreto hidráulico MR45, adecuaciones de pavimentos asfálticos, adecuaciones pluviales, corrección vial, muros de contención, banquetas, corrección de flujos viales y paso seguro de peatones, en el paso a desnivel aéreo y subterráneo de Juan Palomar y Arias y Periférico Poniente; y Construcción de banquetas en la calle Guillermo González Camarena y Av. Paseo Valle Real, municipio de Zapopan, Jalisco.</v>
      </c>
      <c r="F84" s="8" t="s">
        <v>184</v>
      </c>
      <c r="G84" s="9">
        <f>'[1]V, inciso o) (OP)'!Y56</f>
        <v>1497852.13</v>
      </c>
      <c r="H84" s="8" t="s">
        <v>644</v>
      </c>
      <c r="I84" s="6" t="str">
        <f>'[1]V, inciso o) (OP)'!M56</f>
        <v xml:space="preserve">José Luis </v>
      </c>
      <c r="J84" s="6" t="str">
        <f>'[1]V, inciso o) (OP)'!N56</f>
        <v xml:space="preserve">Castillo </v>
      </c>
      <c r="K84" s="6" t="str">
        <f>'[1]V, inciso o) (OP)'!O56</f>
        <v>Rodríguez</v>
      </c>
      <c r="L84" s="8" t="str">
        <f>'[1]V, inciso o) (OP)'!P56</f>
        <v>Felal Construcciones, S.A. de C.V.</v>
      </c>
      <c r="M84" s="6" t="str">
        <f>'[1]V, inciso o) (OP)'!Q56</f>
        <v>FCO9911092V5</v>
      </c>
      <c r="N84" s="9">
        <f t="shared" si="2"/>
        <v>1497852.13</v>
      </c>
      <c r="O84" s="10" t="s">
        <v>40</v>
      </c>
      <c r="P84" s="6" t="s">
        <v>645</v>
      </c>
      <c r="Q84" s="9">
        <f>N84/925</f>
        <v>1619.2995999999998</v>
      </c>
      <c r="R84" s="6" t="s">
        <v>42</v>
      </c>
      <c r="S84" s="12">
        <v>98751</v>
      </c>
      <c r="T84" s="8" t="s">
        <v>43</v>
      </c>
      <c r="U84" s="6" t="s">
        <v>44</v>
      </c>
      <c r="V84" s="7">
        <f>'[1]V, inciso o) (OP)'!AD56</f>
        <v>42556</v>
      </c>
      <c r="W84" s="7">
        <f>'[1]V, inciso o) (OP)'!AE56</f>
        <v>42585</v>
      </c>
      <c r="X84" s="6" t="s">
        <v>530</v>
      </c>
      <c r="Y84" s="6" t="s">
        <v>343</v>
      </c>
      <c r="Z84" s="6" t="s">
        <v>344</v>
      </c>
      <c r="AA84" s="6" t="s">
        <v>40</v>
      </c>
      <c r="AB84" s="6" t="s">
        <v>40</v>
      </c>
    </row>
    <row r="85" spans="1:28" ht="67.5">
      <c r="A85" s="6">
        <v>2016</v>
      </c>
      <c r="B85" s="6" t="s">
        <v>64</v>
      </c>
      <c r="C85" s="8" t="str">
        <f>'[1]V, inciso o) (OP)'!C57</f>
        <v>DOPI-MUN-RM-OC-AD-083-2016</v>
      </c>
      <c r="D85" s="13">
        <f>'[1]V, inciso o) (OP)'!V57</f>
        <v>42555</v>
      </c>
      <c r="E85" s="8" t="str">
        <f>'[1]V, inciso o) (OP)'!AA57</f>
        <v>Corrección de canal pluvial, construcción de mamposteos, zampeados, puente peatonal, accesos y aproches en el cruce del arroyo ubicado en la colonia Las Higueras, municipio de Zapopan, Jalisco.</v>
      </c>
      <c r="F85" s="8" t="s">
        <v>184</v>
      </c>
      <c r="G85" s="9">
        <f>'[1]V, inciso o) (OP)'!Y57</f>
        <v>1394254.6600000001</v>
      </c>
      <c r="H85" s="8" t="s">
        <v>646</v>
      </c>
      <c r="I85" s="6" t="str">
        <f>'[1]V, inciso o) (OP)'!M57</f>
        <v>José Gilberto</v>
      </c>
      <c r="J85" s="6" t="str">
        <f>'[1]V, inciso o) (OP)'!N57</f>
        <v>Luján</v>
      </c>
      <c r="K85" s="6" t="str">
        <f>'[1]V, inciso o) (OP)'!O57</f>
        <v>Barajas</v>
      </c>
      <c r="L85" s="8" t="str">
        <f>'[1]V, inciso o) (OP)'!P57</f>
        <v>Gilco Ingeniería, S.A. de C.V.</v>
      </c>
      <c r="M85" s="6" t="str">
        <f>'[1]V, inciso o) (OP)'!Q57</f>
        <v>GIN1202272F9</v>
      </c>
      <c r="N85" s="9">
        <f t="shared" si="2"/>
        <v>1394254.6600000001</v>
      </c>
      <c r="O85" s="10" t="s">
        <v>40</v>
      </c>
      <c r="P85" s="6" t="s">
        <v>647</v>
      </c>
      <c r="Q85" s="9">
        <f>N85/5324</f>
        <v>261.88104057099929</v>
      </c>
      <c r="R85" s="6" t="s">
        <v>42</v>
      </c>
      <c r="S85" s="12">
        <v>3061</v>
      </c>
      <c r="T85" s="8" t="s">
        <v>43</v>
      </c>
      <c r="U85" s="6" t="s">
        <v>44</v>
      </c>
      <c r="V85" s="7">
        <f>'[1]V, inciso o) (OP)'!AD57</f>
        <v>42556</v>
      </c>
      <c r="W85" s="7">
        <f>'[1]V, inciso o) (OP)'!AE57</f>
        <v>42615</v>
      </c>
      <c r="X85" s="6" t="s">
        <v>605</v>
      </c>
      <c r="Y85" s="6" t="s">
        <v>442</v>
      </c>
      <c r="Z85" s="6" t="s">
        <v>101</v>
      </c>
      <c r="AA85" s="6" t="s">
        <v>40</v>
      </c>
      <c r="AB85" s="6" t="s">
        <v>40</v>
      </c>
    </row>
    <row r="86" spans="1:28" ht="40.5">
      <c r="A86" s="6">
        <v>2016</v>
      </c>
      <c r="B86" s="6" t="s">
        <v>30</v>
      </c>
      <c r="C86" s="8" t="str">
        <f>'[1]V, inciso p) (OP)'!D46</f>
        <v>DOPI-FED-R23-PAV-LP-084-2016</v>
      </c>
      <c r="D86" s="13">
        <f>'[1]V, inciso p) (OP)'!AD46</f>
        <v>42656</v>
      </c>
      <c r="E86" s="8" t="str">
        <f>'[1]V, inciso p) (OP)'!I46</f>
        <v>Reencarpetamiento de la Av. Obreros de Cananea, municipio de Zapopan, Jalisco.</v>
      </c>
      <c r="F86" s="8" t="s">
        <v>648</v>
      </c>
      <c r="G86" s="9">
        <f>'[1]V, inciso p) (OP)'!AG46</f>
        <v>8740845.9000000004</v>
      </c>
      <c r="H86" s="8" t="str">
        <f>'[1]V, inciso p) (OP)'!AS46</f>
        <v>Colonia El Paraiso</v>
      </c>
      <c r="I86" s="6" t="str">
        <f>'[1]V, inciso p) (OP)'!T46</f>
        <v>Salvador</v>
      </c>
      <c r="J86" s="6" t="str">
        <f>'[1]V, inciso p) (OP)'!U46</f>
        <v>Meza</v>
      </c>
      <c r="K86" s="6" t="str">
        <f>'[1]V, inciso p) (OP)'!V46</f>
        <v>López</v>
      </c>
      <c r="L86" s="8" t="str">
        <f>'[1]V, inciso p) (OP)'!W46</f>
        <v>Constructores en Corporación, S.A. de C.V.</v>
      </c>
      <c r="M86" s="6" t="str">
        <f>'[1]V, inciso p) (OP)'!X46</f>
        <v>CCO780607JD6</v>
      </c>
      <c r="N86" s="9">
        <f t="shared" si="2"/>
        <v>8740845.9000000004</v>
      </c>
      <c r="O86" s="10" t="s">
        <v>40</v>
      </c>
      <c r="P86" s="10" t="s">
        <v>649</v>
      </c>
      <c r="Q86" s="11">
        <f>N86/28562</f>
        <v>306.03059659687699</v>
      </c>
      <c r="R86" s="10" t="s">
        <v>42</v>
      </c>
      <c r="S86" s="14">
        <v>4325</v>
      </c>
      <c r="T86" s="8" t="s">
        <v>43</v>
      </c>
      <c r="U86" s="6" t="s">
        <v>565</v>
      </c>
      <c r="V86" s="7">
        <f>'[1]V, inciso p) (OP)'!AM46</f>
        <v>42656</v>
      </c>
      <c r="W86" s="7">
        <f>'[1]V, inciso p) (OP)'!AN46</f>
        <v>42722</v>
      </c>
      <c r="X86" s="6" t="s">
        <v>650</v>
      </c>
      <c r="Y86" s="6" t="s">
        <v>651</v>
      </c>
      <c r="Z86" s="6" t="s">
        <v>652</v>
      </c>
      <c r="AA86" s="6" t="s">
        <v>40</v>
      </c>
      <c r="AB86" s="6" t="s">
        <v>40</v>
      </c>
    </row>
    <row r="87" spans="1:28" ht="40.5">
      <c r="A87" s="6">
        <v>2016</v>
      </c>
      <c r="B87" s="6" t="s">
        <v>30</v>
      </c>
      <c r="C87" s="8" t="str">
        <f>'[1]V, inciso p) (OP)'!D47</f>
        <v>DOPI-FED-R23-PAV-LP-085-2016</v>
      </c>
      <c r="D87" s="13">
        <f>'[1]V, inciso p) (OP)'!AD47</f>
        <v>42656</v>
      </c>
      <c r="E87" s="8" t="str">
        <f>'[1]V, inciso p) (OP)'!I47</f>
        <v>Reencarpetamiento de la Calle Industria, municipio de Zapopan, Jalisco.</v>
      </c>
      <c r="F87" s="8" t="s">
        <v>648</v>
      </c>
      <c r="G87" s="9">
        <f>'[1]V, inciso p) (OP)'!AG47</f>
        <v>3747446.55</v>
      </c>
      <c r="H87" s="8" t="str">
        <f>'[1]V, inciso p) (OP)'!AS47</f>
        <v>Colonia El Paraiso</v>
      </c>
      <c r="I87" s="6" t="str">
        <f>'[1]V, inciso p) (OP)'!T47</f>
        <v>Ernesto</v>
      </c>
      <c r="J87" s="6" t="str">
        <f>'[1]V, inciso p) (OP)'!U47</f>
        <v>Zamora</v>
      </c>
      <c r="K87" s="6" t="str">
        <f>'[1]V, inciso p) (OP)'!V47</f>
        <v>Corona</v>
      </c>
      <c r="L87" s="8" t="str">
        <f>'[1]V, inciso p) (OP)'!W47</f>
        <v>Keops Ingenieria y Construccion, S.A. de C.V.</v>
      </c>
      <c r="M87" s="6" t="str">
        <f>'[1]V, inciso p) (OP)'!X47</f>
        <v>KIC040617JIA</v>
      </c>
      <c r="N87" s="9">
        <f t="shared" si="2"/>
        <v>3747446.55</v>
      </c>
      <c r="O87" s="10" t="s">
        <v>40</v>
      </c>
      <c r="P87" s="6" t="s">
        <v>653</v>
      </c>
      <c r="Q87" s="9">
        <f>N87/22150</f>
        <v>169.18494582392776</v>
      </c>
      <c r="R87" s="6" t="s">
        <v>42</v>
      </c>
      <c r="S87" s="12">
        <v>4365</v>
      </c>
      <c r="T87" s="8" t="s">
        <v>43</v>
      </c>
      <c r="U87" s="6" t="s">
        <v>44</v>
      </c>
      <c r="V87" s="7">
        <f>'[1]V, inciso p) (OP)'!AM47</f>
        <v>42656</v>
      </c>
      <c r="W87" s="7">
        <f>'[1]V, inciso p) (OP)'!AN47</f>
        <v>42722</v>
      </c>
      <c r="X87" s="6" t="s">
        <v>650</v>
      </c>
      <c r="Y87" s="6" t="s">
        <v>651</v>
      </c>
      <c r="Z87" s="6" t="s">
        <v>652</v>
      </c>
      <c r="AA87" s="6" t="s">
        <v>40</v>
      </c>
      <c r="AB87" s="6" t="s">
        <v>40</v>
      </c>
    </row>
    <row r="88" spans="1:28" ht="40.5">
      <c r="A88" s="6">
        <v>2016</v>
      </c>
      <c r="B88" s="6" t="s">
        <v>30</v>
      </c>
      <c r="C88" s="8" t="str">
        <f>'[1]V, inciso p) (OP)'!D48</f>
        <v>DOPI-FED-R23-PAV-LP-086-2016</v>
      </c>
      <c r="D88" s="13">
        <f>'[1]V, inciso p) (OP)'!AD48</f>
        <v>42656</v>
      </c>
      <c r="E88" s="8" t="str">
        <f>'[1]V, inciso p) (OP)'!I48</f>
        <v>Reencarpetamiento de la Calle Epigmenio Preciado, municipio de Zapopan, Jalisco.</v>
      </c>
      <c r="F88" s="8" t="s">
        <v>648</v>
      </c>
      <c r="G88" s="9">
        <f>'[1]V, inciso p) (OP)'!AG48</f>
        <v>3579474.78</v>
      </c>
      <c r="H88" s="8" t="str">
        <f>'[1]V, inciso p) (OP)'!AS48</f>
        <v>Colonia El Paraiso</v>
      </c>
      <c r="I88" s="6" t="str">
        <f>'[1]V, inciso p) (OP)'!T48</f>
        <v>Ignacio Javier</v>
      </c>
      <c r="J88" s="6" t="str">
        <f>'[1]V, inciso p) (OP)'!U48</f>
        <v>Curiel</v>
      </c>
      <c r="K88" s="6" t="str">
        <f>'[1]V, inciso p) (OP)'!V48</f>
        <v>Dueñas</v>
      </c>
      <c r="L88" s="8" t="str">
        <f>'[1]V, inciso p) (OP)'!W48</f>
        <v>TC Construcción y Mantenimiento, S.A. de C.V.</v>
      </c>
      <c r="M88" s="6" t="str">
        <f>'[1]V, inciso p) (OP)'!X48</f>
        <v>TCM100915HA1</v>
      </c>
      <c r="N88" s="9">
        <f t="shared" si="2"/>
        <v>3579474.78</v>
      </c>
      <c r="O88" s="10" t="s">
        <v>40</v>
      </c>
      <c r="P88" s="6" t="s">
        <v>654</v>
      </c>
      <c r="Q88" s="9">
        <f>N88/10640</f>
        <v>336.41680263157895</v>
      </c>
      <c r="R88" s="6" t="s">
        <v>42</v>
      </c>
      <c r="S88" s="12">
        <v>4220</v>
      </c>
      <c r="T88" s="8" t="s">
        <v>43</v>
      </c>
      <c r="U88" s="6" t="s">
        <v>565</v>
      </c>
      <c r="V88" s="7">
        <f>'[1]V, inciso p) (OP)'!AM48</f>
        <v>42656</v>
      </c>
      <c r="W88" s="7">
        <f>'[1]V, inciso p) (OP)'!AN48</f>
        <v>42722</v>
      </c>
      <c r="X88" s="6" t="s">
        <v>650</v>
      </c>
      <c r="Y88" s="6" t="s">
        <v>651</v>
      </c>
      <c r="Z88" s="6" t="s">
        <v>652</v>
      </c>
      <c r="AA88" s="6" t="s">
        <v>40</v>
      </c>
      <c r="AB88" s="6" t="s">
        <v>40</v>
      </c>
    </row>
    <row r="89" spans="1:28" ht="40.5">
      <c r="A89" s="6">
        <v>2016</v>
      </c>
      <c r="B89" s="6" t="s">
        <v>30</v>
      </c>
      <c r="C89" s="8" t="str">
        <f>'[1]V, inciso p) (OP)'!D49</f>
        <v>DOPI-FED-R23-PAV-LP-087-2016</v>
      </c>
      <c r="D89" s="13">
        <f>'[1]V, inciso p) (OP)'!AD49</f>
        <v>42656</v>
      </c>
      <c r="E89" s="8" t="str">
        <f>'[1]V, inciso p) (OP)'!I49</f>
        <v>Reencarpetamiento de la Av. Constituyentes, municipio de Zapopan, Jalisco.</v>
      </c>
      <c r="F89" s="8" t="s">
        <v>648</v>
      </c>
      <c r="G89" s="9">
        <f>'[1]V, inciso p) (OP)'!AG49</f>
        <v>2527207.35</v>
      </c>
      <c r="H89" s="8" t="str">
        <f>'[1]V, inciso p) (OP)'!AS49</f>
        <v>Colonia Constitución</v>
      </c>
      <c r="I89" s="6" t="str">
        <f>'[1]V, inciso p) (OP)'!T49</f>
        <v>Ignacio Javier</v>
      </c>
      <c r="J89" s="6" t="str">
        <f>'[1]V, inciso p) (OP)'!U49</f>
        <v>Curiel</v>
      </c>
      <c r="K89" s="6" t="str">
        <f>'[1]V, inciso p) (OP)'!V49</f>
        <v>Dueñas</v>
      </c>
      <c r="L89" s="8" t="str">
        <f>'[1]V, inciso p) (OP)'!W49</f>
        <v>TC Construcción y Mantenimiento, S.A. de C.V.</v>
      </c>
      <c r="M89" s="6" t="str">
        <f>'[1]V, inciso p) (OP)'!X49</f>
        <v>TCM100915HA1</v>
      </c>
      <c r="N89" s="9">
        <f t="shared" si="2"/>
        <v>2527207.35</v>
      </c>
      <c r="O89" s="10" t="s">
        <v>40</v>
      </c>
      <c r="P89" s="6" t="s">
        <v>655</v>
      </c>
      <c r="Q89" s="9">
        <f>N89/7380</f>
        <v>342.44002032520325</v>
      </c>
      <c r="R89" s="6" t="s">
        <v>42</v>
      </c>
      <c r="S89" s="12">
        <v>8642</v>
      </c>
      <c r="T89" s="8" t="s">
        <v>43</v>
      </c>
      <c r="U89" s="6" t="s">
        <v>565</v>
      </c>
      <c r="V89" s="7">
        <f>'[1]V, inciso p) (OP)'!AM49</f>
        <v>42656</v>
      </c>
      <c r="W89" s="7">
        <f>'[1]V, inciso p) (OP)'!AN49</f>
        <v>42722</v>
      </c>
      <c r="X89" s="6" t="s">
        <v>650</v>
      </c>
      <c r="Y89" s="6" t="s">
        <v>651</v>
      </c>
      <c r="Z89" s="6" t="s">
        <v>652</v>
      </c>
      <c r="AA89" s="6" t="s">
        <v>40</v>
      </c>
      <c r="AB89" s="6" t="s">
        <v>40</v>
      </c>
    </row>
    <row r="90" spans="1:28" ht="81">
      <c r="A90" s="6">
        <v>2016</v>
      </c>
      <c r="B90" s="6" t="s">
        <v>30</v>
      </c>
      <c r="C90" s="8" t="str">
        <f>'[1]V, inciso p) (OP)'!D50</f>
        <v>DOPI-FED-PR-PAV-LP-088-2016</v>
      </c>
      <c r="D90" s="13">
        <f>'[1]V, inciso p) (OP)'!AD50</f>
        <v>42656</v>
      </c>
      <c r="E90" s="8" t="str">
        <f>'[1]V, inciso p) (OP)'!I50</f>
        <v>Construcción de vialidad con concreto hidráulico calle Elote entre calle Indígena y calle Alberto Mora López, incluye: guarniciones, banquetas, red de agua potable, alcantarillado y alumbrado público, zona las Mesas, en el Municipio de Zapopan, Jalisco.</v>
      </c>
      <c r="F90" s="8" t="s">
        <v>648</v>
      </c>
      <c r="G90" s="9">
        <f>'[1]V, inciso p) (OP)'!AG50</f>
        <v>1331847.2</v>
      </c>
      <c r="H90" s="8" t="str">
        <f>'[1]V, inciso p) (OP)'!AS50</f>
        <v>Zona de Las Mesas</v>
      </c>
      <c r="I90" s="6" t="str">
        <f>'[1]V, inciso p) (OP)'!T50</f>
        <v>Carlos Ignacio</v>
      </c>
      <c r="J90" s="6" t="str">
        <f>'[1]V, inciso p) (OP)'!U50</f>
        <v>Curiel</v>
      </c>
      <c r="K90" s="6" t="str">
        <f>'[1]V, inciso p) (OP)'!V50</f>
        <v>Dueñas</v>
      </c>
      <c r="L90" s="8" t="str">
        <f>'[1]V, inciso p) (OP)'!W50</f>
        <v>Constructora Cecuchi, S.A. de C.V.</v>
      </c>
      <c r="M90" s="6" t="str">
        <f>'[1]V, inciso p) (OP)'!X50</f>
        <v>CCE130723IR7</v>
      </c>
      <c r="N90" s="9">
        <f t="shared" si="2"/>
        <v>1331847.2</v>
      </c>
      <c r="O90" s="10" t="s">
        <v>40</v>
      </c>
      <c r="P90" s="6" t="s">
        <v>200</v>
      </c>
      <c r="Q90" s="9">
        <f>N90/850</f>
        <v>1566.8790588235292</v>
      </c>
      <c r="R90" s="6" t="s">
        <v>42</v>
      </c>
      <c r="S90" s="12">
        <v>3612</v>
      </c>
      <c r="T90" s="8" t="s">
        <v>43</v>
      </c>
      <c r="U90" s="6" t="s">
        <v>44</v>
      </c>
      <c r="V90" s="7">
        <f>'[1]V, inciso p) (OP)'!AM50</f>
        <v>42656</v>
      </c>
      <c r="W90" s="7">
        <f>'[1]V, inciso p) (OP)'!AN50</f>
        <v>42722</v>
      </c>
      <c r="X90" s="6" t="s">
        <v>556</v>
      </c>
      <c r="Y90" s="6" t="s">
        <v>557</v>
      </c>
      <c r="Z90" s="6" t="s">
        <v>558</v>
      </c>
      <c r="AA90" s="6" t="s">
        <v>40</v>
      </c>
      <c r="AB90" s="6" t="s">
        <v>40</v>
      </c>
    </row>
    <row r="91" spans="1:28" ht="81">
      <c r="A91" s="6">
        <v>2016</v>
      </c>
      <c r="B91" s="6" t="s">
        <v>30</v>
      </c>
      <c r="C91" s="8" t="str">
        <f>'[1]V, inciso p) (OP)'!D51</f>
        <v>DOPI-FED-PR-PAV-LP-089-2016</v>
      </c>
      <c r="D91" s="13">
        <f>'[1]V, inciso p) (OP)'!AD51</f>
        <v>42656</v>
      </c>
      <c r="E91" s="8" t="str">
        <f>'[1]V, inciso p) (OP)'!I51</f>
        <v>Construcción de vialidad con concreto hidráulico calle Michí desde la calle Cuatlicue a la calle Comitl, incluye: guarniciones, banquetas, red de agua potable, alcantarillado y alumbrado público, zona las Mesas, Municipio de Zapopan, Jalisco.</v>
      </c>
      <c r="F91" s="8" t="s">
        <v>648</v>
      </c>
      <c r="G91" s="9">
        <f>'[1]V, inciso p) (OP)'!AG51</f>
        <v>1301540.1000000001</v>
      </c>
      <c r="H91" s="8" t="str">
        <f>'[1]V, inciso p) (OP)'!AS51</f>
        <v>Zona de Las Mesas</v>
      </c>
      <c r="I91" s="6" t="str">
        <f>'[1]V, inciso p) (OP)'!T51</f>
        <v>Carlos Ignacio</v>
      </c>
      <c r="J91" s="6" t="str">
        <f>'[1]V, inciso p) (OP)'!U51</f>
        <v>Curiel</v>
      </c>
      <c r="K91" s="6" t="str">
        <f>'[1]V, inciso p) (OP)'!V51</f>
        <v>Dueñas</v>
      </c>
      <c r="L91" s="8" t="str">
        <f>'[1]V, inciso p) (OP)'!W51</f>
        <v>Constructora Cecuchi, S.A. de C.V.</v>
      </c>
      <c r="M91" s="6" t="str">
        <f>'[1]V, inciso p) (OP)'!X51</f>
        <v>CCE130723IR7</v>
      </c>
      <c r="N91" s="9">
        <f t="shared" si="2"/>
        <v>1301540.1000000001</v>
      </c>
      <c r="O91" s="10" t="s">
        <v>40</v>
      </c>
      <c r="P91" s="6" t="s">
        <v>656</v>
      </c>
      <c r="Q91" s="9">
        <f>N91/840</f>
        <v>1549.4525000000001</v>
      </c>
      <c r="R91" s="6" t="s">
        <v>42</v>
      </c>
      <c r="S91" s="12">
        <v>2351</v>
      </c>
      <c r="T91" s="8" t="s">
        <v>43</v>
      </c>
      <c r="U91" s="6" t="s">
        <v>44</v>
      </c>
      <c r="V91" s="7">
        <f>'[1]V, inciso p) (OP)'!AM51</f>
        <v>42657</v>
      </c>
      <c r="W91" s="7">
        <f>'[1]V, inciso p) (OP)'!AN51</f>
        <v>42723</v>
      </c>
      <c r="X91" s="6" t="s">
        <v>556</v>
      </c>
      <c r="Y91" s="6" t="s">
        <v>557</v>
      </c>
      <c r="Z91" s="6" t="s">
        <v>558</v>
      </c>
      <c r="AA91" s="6" t="s">
        <v>40</v>
      </c>
      <c r="AB91" s="6" t="s">
        <v>40</v>
      </c>
    </row>
    <row r="92" spans="1:28" ht="81">
      <c r="A92" s="6">
        <v>2016</v>
      </c>
      <c r="B92" s="6" t="s">
        <v>30</v>
      </c>
      <c r="C92" s="8" t="str">
        <f>'[1]V, inciso p) (OP)'!D52</f>
        <v>DOPI-FED-PR-PAV-LP-090-2016</v>
      </c>
      <c r="D92" s="13">
        <f>'[1]V, inciso p) (OP)'!AD52</f>
        <v>42656</v>
      </c>
      <c r="E92" s="8" t="str">
        <f>'[1]V, inciso p) (OP)'!I52</f>
        <v>Construcción de vialidad con concreto hidráulico calle Cuatlicue desde la calle Ozomatlí a la calle Michí, incluye: guarniciones, banquetas, red de agua potable, alcantarillado y alumbrado público, zona las Mesas, Municipio de Zapopan, Jalisco.</v>
      </c>
      <c r="F92" s="8" t="s">
        <v>648</v>
      </c>
      <c r="G92" s="9">
        <f>'[1]V, inciso p) (OP)'!AG52</f>
        <v>1504875.62</v>
      </c>
      <c r="H92" s="8" t="str">
        <f>'[1]V, inciso p) (OP)'!AS52</f>
        <v>Zona de Las Mesas</v>
      </c>
      <c r="I92" s="6" t="str">
        <f>'[1]V, inciso p) (OP)'!T52</f>
        <v>José Omar</v>
      </c>
      <c r="J92" s="6" t="str">
        <f>'[1]V, inciso p) (OP)'!U52</f>
        <v>Fernández</v>
      </c>
      <c r="K92" s="6" t="str">
        <f>'[1]V, inciso p) (OP)'!V52</f>
        <v>Vázquez</v>
      </c>
      <c r="L92" s="8" t="str">
        <f>'[1]V, inciso p) (OP)'!W52</f>
        <v>Extra Construcciones, S.A. de C.V.</v>
      </c>
      <c r="M92" s="6" t="str">
        <f>'[1]V, inciso p) (OP)'!X52</f>
        <v>ECO0908115Z7</v>
      </c>
      <c r="N92" s="9">
        <f t="shared" si="2"/>
        <v>1504875.62</v>
      </c>
      <c r="O92" s="10" t="s">
        <v>40</v>
      </c>
      <c r="P92" s="6" t="s">
        <v>656</v>
      </c>
      <c r="Q92" s="9">
        <f>N92/840</f>
        <v>1791.5185952380953</v>
      </c>
      <c r="R92" s="6" t="s">
        <v>42</v>
      </c>
      <c r="S92" s="12">
        <v>2622</v>
      </c>
      <c r="T92" s="8" t="s">
        <v>43</v>
      </c>
      <c r="U92" s="6" t="s">
        <v>44</v>
      </c>
      <c r="V92" s="7">
        <f>'[1]V, inciso p) (OP)'!AM52</f>
        <v>42656</v>
      </c>
      <c r="W92" s="7">
        <f>'[1]V, inciso p) (OP)'!AN52</f>
        <v>42722</v>
      </c>
      <c r="X92" s="6" t="s">
        <v>556</v>
      </c>
      <c r="Y92" s="6" t="s">
        <v>557</v>
      </c>
      <c r="Z92" s="6" t="s">
        <v>558</v>
      </c>
      <c r="AA92" s="6" t="s">
        <v>40</v>
      </c>
      <c r="AB92" s="6" t="s">
        <v>40</v>
      </c>
    </row>
    <row r="93" spans="1:28" ht="67.5">
      <c r="A93" s="6">
        <v>2016</v>
      </c>
      <c r="B93" s="6" t="s">
        <v>30</v>
      </c>
      <c r="C93" s="8" t="str">
        <f>'[1]V, inciso p) (OP)'!D53</f>
        <v>DOPI-FED-PR-PAV-LP-091-2016</v>
      </c>
      <c r="D93" s="13">
        <f>'[1]V, inciso p) (OP)'!AD53</f>
        <v>42656</v>
      </c>
      <c r="E93" s="8" t="str">
        <f>'[1]V, inciso p) (OP)'!I53</f>
        <v>Construcción de vialidad con concreto hidráulico calle Comitl desde la calle Dellí a la calle Michí, incluye: guarniciones, banquetas, red de agua potable, alcantarillado y alumbrado público, zona las Mesas, Municipio de Zapopan, Jalisco.</v>
      </c>
      <c r="F93" s="8" t="s">
        <v>648</v>
      </c>
      <c r="G93" s="9">
        <f>'[1]V, inciso p) (OP)'!AG53</f>
        <v>6611635.3700000001</v>
      </c>
      <c r="H93" s="8" t="str">
        <f>'[1]V, inciso p) (OP)'!AS53</f>
        <v>Zona de Las Mesas</v>
      </c>
      <c r="I93" s="6" t="str">
        <f>'[1]V, inciso p) (OP)'!T53</f>
        <v>Sergio Alberto</v>
      </c>
      <c r="J93" s="6" t="str">
        <f>'[1]V, inciso p) (OP)'!U53</f>
        <v>Baylon</v>
      </c>
      <c r="K93" s="6" t="str">
        <f>'[1]V, inciso p) (OP)'!V53</f>
        <v>Moreno</v>
      </c>
      <c r="L93" s="8" t="str">
        <f>'[1]V, inciso p) (OP)'!W53</f>
        <v>Edificaciones Estructurales Cobay, S. A. de C. V.</v>
      </c>
      <c r="M93" s="6" t="str">
        <f>'[1]V, inciso p) (OP)'!X53</f>
        <v>EEC9909173A7</v>
      </c>
      <c r="N93" s="9">
        <f t="shared" si="2"/>
        <v>6611635.3700000001</v>
      </c>
      <c r="O93" s="10" t="s">
        <v>40</v>
      </c>
      <c r="P93" s="6" t="s">
        <v>657</v>
      </c>
      <c r="Q93" s="9">
        <f>N93/4015</f>
        <v>1646.733591531756</v>
      </c>
      <c r="R93" s="6" t="s">
        <v>42</v>
      </c>
      <c r="S93" s="12">
        <v>2453</v>
      </c>
      <c r="T93" s="8" t="s">
        <v>43</v>
      </c>
      <c r="U93" s="6" t="s">
        <v>44</v>
      </c>
      <c r="V93" s="7">
        <f>'[1]V, inciso p) (OP)'!AM53</f>
        <v>42657</v>
      </c>
      <c r="W93" s="7">
        <f>'[1]V, inciso p) (OP)'!AN53</f>
        <v>42723</v>
      </c>
      <c r="X93" s="6" t="s">
        <v>556</v>
      </c>
      <c r="Y93" s="6" t="s">
        <v>557</v>
      </c>
      <c r="Z93" s="6" t="s">
        <v>558</v>
      </c>
      <c r="AA93" s="6" t="s">
        <v>40</v>
      </c>
      <c r="AB93" s="6" t="s">
        <v>40</v>
      </c>
    </row>
    <row r="94" spans="1:28" ht="81">
      <c r="A94" s="6">
        <v>2016</v>
      </c>
      <c r="B94" s="6" t="s">
        <v>30</v>
      </c>
      <c r="C94" s="8" t="str">
        <f>'[1]V, inciso p) (OP)'!D54</f>
        <v>DOPI-FED-PR-PAV-LP-092-2016</v>
      </c>
      <c r="D94" s="13">
        <f>'[1]V, inciso p) (OP)'!AD54</f>
        <v>42656</v>
      </c>
      <c r="E94" s="8" t="str">
        <f>'[1]V, inciso p) (OP)'!I54</f>
        <v>Construcción de vialidad con concreto hidráulico calle Eligio Delgado entre calle Tepatl a calle Indígena, incluye: guarniciones, banquetas, red de agua potable, alcantarillado y alumbrado público, zona las Mesas, Municipio de Zapopan, Jalisco.</v>
      </c>
      <c r="F94" s="8" t="s">
        <v>648</v>
      </c>
      <c r="G94" s="9">
        <f>'[1]V, inciso p) (OP)'!AG54</f>
        <v>3070604.74</v>
      </c>
      <c r="H94" s="8" t="str">
        <f>'[1]V, inciso p) (OP)'!AS54</f>
        <v>Zona de Las Mesas</v>
      </c>
      <c r="I94" s="6" t="str">
        <f>'[1]V, inciso p) (OP)'!T54</f>
        <v>Bernardo</v>
      </c>
      <c r="J94" s="6" t="str">
        <f>'[1]V, inciso p) (OP)'!U54</f>
        <v>Saenz</v>
      </c>
      <c r="K94" s="6" t="str">
        <f>'[1]V, inciso p) (OP)'!V54</f>
        <v>Barba</v>
      </c>
      <c r="L94" s="8" t="str">
        <f>'[1]V, inciso p) (OP)'!W54</f>
        <v>Grupo Edificador Mayab, S.A. de C.V.</v>
      </c>
      <c r="M94" s="6" t="str">
        <f>'[1]V, inciso p) (OP)'!X54</f>
        <v>GEM070112PX8</v>
      </c>
      <c r="N94" s="9">
        <f t="shared" si="2"/>
        <v>3070604.74</v>
      </c>
      <c r="O94" s="10" t="s">
        <v>40</v>
      </c>
      <c r="P94" s="6" t="s">
        <v>658</v>
      </c>
      <c r="Q94" s="9">
        <f>N94/1885</f>
        <v>1628.9680318302389</v>
      </c>
      <c r="R94" s="6" t="s">
        <v>42</v>
      </c>
      <c r="S94" s="12">
        <v>2728</v>
      </c>
      <c r="T94" s="8" t="s">
        <v>43</v>
      </c>
      <c r="U94" s="6" t="s">
        <v>44</v>
      </c>
      <c r="V94" s="7">
        <f>'[1]V, inciso p) (OP)'!AM54</f>
        <v>42657</v>
      </c>
      <c r="W94" s="7">
        <f>'[1]V, inciso p) (OP)'!AN54</f>
        <v>42723</v>
      </c>
      <c r="X94" s="6" t="s">
        <v>556</v>
      </c>
      <c r="Y94" s="6" t="s">
        <v>557</v>
      </c>
      <c r="Z94" s="6" t="s">
        <v>558</v>
      </c>
      <c r="AA94" s="6" t="s">
        <v>40</v>
      </c>
      <c r="AB94" s="6" t="s">
        <v>40</v>
      </c>
    </row>
    <row r="95" spans="1:28" ht="81">
      <c r="A95" s="6">
        <v>2016</v>
      </c>
      <c r="B95" s="6" t="s">
        <v>30</v>
      </c>
      <c r="C95" s="8" t="str">
        <f>'[1]V, inciso p) (OP)'!D55</f>
        <v>DOPI-FED-PR-PAV-LP-093-2016</v>
      </c>
      <c r="D95" s="13">
        <f>'[1]V, inciso p) (OP)'!AD55</f>
        <v>42656</v>
      </c>
      <c r="E95" s="8" t="str">
        <f>'[1]V, inciso p) (OP)'!I55</f>
        <v>Construcción de vialidad con concreto hidráulico calle Ozomatlí desde la calle Cholollan a la calle Lenteja, incluye: guarniciones, banquetas, red de agua potable, alcantarillado y alumbrado público, zona las Mesas, Municipio de Zapopan, Jalisco.</v>
      </c>
      <c r="F95" s="8" t="s">
        <v>648</v>
      </c>
      <c r="G95" s="9">
        <f>'[1]V, inciso p) (OP)'!AG55</f>
        <v>5663734.8300000001</v>
      </c>
      <c r="H95" s="8" t="str">
        <f>'[1]V, inciso p) (OP)'!AS55</f>
        <v>Zona de Las Mesas</v>
      </c>
      <c r="I95" s="6" t="str">
        <f>'[1]V, inciso p) (OP)'!T55</f>
        <v>Ignacio Javier</v>
      </c>
      <c r="J95" s="6" t="str">
        <f>'[1]V, inciso p) (OP)'!U55</f>
        <v>Curiel</v>
      </c>
      <c r="K95" s="6" t="str">
        <f>'[1]V, inciso p) (OP)'!V55</f>
        <v>Dueñas</v>
      </c>
      <c r="L95" s="8" t="str">
        <f>'[1]V, inciso p) (OP)'!W55</f>
        <v>TC Construcción y Mantenimiento, S.A. de C.V.</v>
      </c>
      <c r="M95" s="6" t="str">
        <f>'[1]V, inciso p) (OP)'!X55</f>
        <v>TCM100915HA1</v>
      </c>
      <c r="N95" s="9">
        <f t="shared" si="2"/>
        <v>5663734.8300000001</v>
      </c>
      <c r="O95" s="10" t="s">
        <v>40</v>
      </c>
      <c r="P95" s="6" t="s">
        <v>659</v>
      </c>
      <c r="Q95" s="9">
        <f>N95/3796</f>
        <v>1492.0270890410959</v>
      </c>
      <c r="R95" s="6" t="s">
        <v>42</v>
      </c>
      <c r="S95" s="12">
        <v>2612</v>
      </c>
      <c r="T95" s="8" t="s">
        <v>43</v>
      </c>
      <c r="U95" s="6" t="s">
        <v>44</v>
      </c>
      <c r="V95" s="7">
        <f>'[1]V, inciso p) (OP)'!AM55</f>
        <v>42657</v>
      </c>
      <c r="W95" s="7">
        <f>'[1]V, inciso p) (OP)'!AN55</f>
        <v>42723</v>
      </c>
      <c r="X95" s="6" t="s">
        <v>556</v>
      </c>
      <c r="Y95" s="6" t="s">
        <v>557</v>
      </c>
      <c r="Z95" s="6" t="s">
        <v>558</v>
      </c>
      <c r="AA95" s="6" t="s">
        <v>40</v>
      </c>
      <c r="AB95" s="6" t="s">
        <v>40</v>
      </c>
    </row>
    <row r="96" spans="1:28" ht="108">
      <c r="A96" s="6">
        <v>2016</v>
      </c>
      <c r="B96" s="6" t="s">
        <v>30</v>
      </c>
      <c r="C96" s="8" t="str">
        <f>'[1]V, inciso p) (OP)'!D56</f>
        <v>DOPI-FED-PR-PAV-LP-094-2016</v>
      </c>
      <c r="D96" s="13">
        <f>'[1]V, inciso p) (OP)'!AD56</f>
        <v>42656</v>
      </c>
      <c r="E96" s="8" t="str">
        <f>'[1]V, inciso p) (OP)'!I56</f>
        <v>Construcción de vialidades con concreto hidráulico de las calles Cholollan y Paseo de los Membrillos entre las calles Chichenitza y Paseo de los Cerezos, incluye: puente vehicular de aproximadamente 30 metros de longitud para cruzar arroyo, guarniciones, banquetas, red de agua potable, alcantarillado y alumbrado publico.</v>
      </c>
      <c r="F96" s="8" t="s">
        <v>648</v>
      </c>
      <c r="G96" s="9">
        <f>'[1]V, inciso p) (OP)'!AG56</f>
        <v>9145513.7300000004</v>
      </c>
      <c r="H96" s="8" t="str">
        <f>'[1]V, inciso p) (OP)'!AS56</f>
        <v>Mesa Colorada</v>
      </c>
      <c r="I96" s="6" t="str">
        <f>'[1]V, inciso p) (OP)'!T56</f>
        <v>J. Gerardo</v>
      </c>
      <c r="J96" s="6" t="str">
        <f>'[1]V, inciso p) (OP)'!U56</f>
        <v>Nicanor</v>
      </c>
      <c r="K96" s="6" t="str">
        <f>'[1]V, inciso p) (OP)'!V56</f>
        <v>Mejia Mariscal</v>
      </c>
      <c r="L96" s="8" t="str">
        <f>'[1]V, inciso p) (OP)'!W56</f>
        <v>Ineco Construye, S.A. de C.V.</v>
      </c>
      <c r="M96" s="6" t="str">
        <f>'[1]V, inciso p) (OP)'!X56</f>
        <v>ICO980722M04</v>
      </c>
      <c r="N96" s="9">
        <f t="shared" si="2"/>
        <v>9145513.7300000004</v>
      </c>
      <c r="O96" s="10" t="s">
        <v>40</v>
      </c>
      <c r="P96" s="6" t="s">
        <v>660</v>
      </c>
      <c r="Q96" s="9">
        <f>N96/4847</f>
        <v>1886.840051578296</v>
      </c>
      <c r="R96" s="6" t="s">
        <v>42</v>
      </c>
      <c r="S96" s="12">
        <v>4325</v>
      </c>
      <c r="T96" s="8" t="s">
        <v>43</v>
      </c>
      <c r="U96" s="6" t="s">
        <v>44</v>
      </c>
      <c r="V96" s="7">
        <f>'[1]V, inciso p) (OP)'!AM56</f>
        <v>42657</v>
      </c>
      <c r="W96" s="7">
        <f>'[1]V, inciso p) (OP)'!AN56</f>
        <v>42723</v>
      </c>
      <c r="X96" s="6" t="s">
        <v>556</v>
      </c>
      <c r="Y96" s="6" t="s">
        <v>557</v>
      </c>
      <c r="Z96" s="6" t="s">
        <v>558</v>
      </c>
      <c r="AA96" s="6" t="s">
        <v>40</v>
      </c>
      <c r="AB96" s="6" t="s">
        <v>40</v>
      </c>
    </row>
    <row r="97" spans="1:28" ht="67.5">
      <c r="A97" s="6">
        <v>2016</v>
      </c>
      <c r="B97" s="6" t="s">
        <v>30</v>
      </c>
      <c r="C97" s="8" t="str">
        <f>'[1]V, inciso p) (OP)'!D57</f>
        <v>DOPI-FED-PR-PAV-LP-095-2016</v>
      </c>
      <c r="D97" s="13">
        <f>'[1]V, inciso p) (OP)'!AD57</f>
        <v>42656</v>
      </c>
      <c r="E97" s="8" t="str">
        <f>'[1]V, inciso p) (OP)'!I57</f>
        <v>Reencarpetamiento de la Av. Santa Margarita, en la colonia Santa Margarita, incluye: guarniciones, banquetas, renivelación de pozos y cajas, señalamiento vertical y horizontal, Municipio de Zapopan, Jalisco, frente 1.</v>
      </c>
      <c r="F97" s="8" t="s">
        <v>648</v>
      </c>
      <c r="G97" s="9">
        <f>'[1]V, inciso p) (OP)'!AG57</f>
        <v>6756554.5</v>
      </c>
      <c r="H97" s="8" t="str">
        <f>'[1]V, inciso p) (OP)'!AS57</f>
        <v>Colonia Santa Margarita</v>
      </c>
      <c r="I97" s="6" t="str">
        <f>'[1]V, inciso p) (OP)'!T57</f>
        <v>Víctor Manuel</v>
      </c>
      <c r="J97" s="6" t="str">
        <f>'[1]V, inciso p) (OP)'!U57</f>
        <v>Jauregui</v>
      </c>
      <c r="K97" s="6" t="str">
        <f>'[1]V, inciso p) (OP)'!V57</f>
        <v>Torres</v>
      </c>
      <c r="L97" s="8" t="str">
        <f>'[1]V, inciso p) (OP)'!W57</f>
        <v>Constructora Erlort y Asociados, S.A. de C.V.</v>
      </c>
      <c r="M97" s="6" t="str">
        <f>'[1]V, inciso p) (OP)'!X57</f>
        <v>CEA070208SB1</v>
      </c>
      <c r="N97" s="9">
        <f t="shared" si="2"/>
        <v>6756554.5</v>
      </c>
      <c r="O97" s="10" t="s">
        <v>40</v>
      </c>
      <c r="P97" s="6" t="s">
        <v>661</v>
      </c>
      <c r="Q97" s="9">
        <f>N97/11696</f>
        <v>577.68078830369359</v>
      </c>
      <c r="R97" s="6" t="s">
        <v>42</v>
      </c>
      <c r="S97" s="12">
        <v>52846</v>
      </c>
      <c r="T97" s="8" t="s">
        <v>43</v>
      </c>
      <c r="U97" s="6" t="s">
        <v>44</v>
      </c>
      <c r="V97" s="7">
        <f>'[1]V, inciso p) (OP)'!AM57</f>
        <v>42657</v>
      </c>
      <c r="W97" s="7">
        <f>'[1]V, inciso p) (OP)'!AN57</f>
        <v>42732</v>
      </c>
      <c r="X97" s="6" t="s">
        <v>572</v>
      </c>
      <c r="Y97" s="6" t="s">
        <v>573</v>
      </c>
      <c r="Z97" s="6" t="s">
        <v>574</v>
      </c>
      <c r="AA97" s="6" t="s">
        <v>40</v>
      </c>
      <c r="AB97" s="6" t="s">
        <v>40</v>
      </c>
    </row>
    <row r="98" spans="1:28" ht="67.5">
      <c r="A98" s="6">
        <v>2016</v>
      </c>
      <c r="B98" s="6" t="s">
        <v>30</v>
      </c>
      <c r="C98" s="8" t="str">
        <f>'[1]V, inciso p) (OP)'!D58</f>
        <v>DOPI-FED-PR-PAV-LP-096-2016</v>
      </c>
      <c r="D98" s="13">
        <f>'[1]V, inciso p) (OP)'!AD58</f>
        <v>42656</v>
      </c>
      <c r="E98" s="8" t="str">
        <f>'[1]V, inciso p) (OP)'!I58</f>
        <v>Reencarpetamiento de la Av. Santa Margarita, en la colonia Santa Margarita, incluye: guarniciones, banquetas, renivelación de pozos y cajas, señalamiento vertical y horizontal, Municipio de Zapopan, Jalisco, frente 2.</v>
      </c>
      <c r="F98" s="8" t="s">
        <v>648</v>
      </c>
      <c r="G98" s="9">
        <f>'[1]V, inciso p) (OP)'!AG58</f>
        <v>8604721.4600000009</v>
      </c>
      <c r="H98" s="8" t="str">
        <f>'[1]V, inciso p) (OP)'!AS58</f>
        <v>Colonia Santa Margarita</v>
      </c>
      <c r="I98" s="6" t="str">
        <f>'[1]V, inciso p) (OP)'!T58</f>
        <v>Víctor Manuel</v>
      </c>
      <c r="J98" s="6" t="str">
        <f>'[1]V, inciso p) (OP)'!U58</f>
        <v>Jauregui</v>
      </c>
      <c r="K98" s="6" t="str">
        <f>'[1]V, inciso p) (OP)'!V58</f>
        <v>Torres</v>
      </c>
      <c r="L98" s="8" t="str">
        <f>'[1]V, inciso p) (OP)'!W58</f>
        <v>Constructora Erlort y Asociados, S.A. de C.V.</v>
      </c>
      <c r="M98" s="6" t="str">
        <f>'[1]V, inciso p) (OP)'!X58</f>
        <v>CEA070208SB1</v>
      </c>
      <c r="N98" s="9">
        <f t="shared" si="2"/>
        <v>8604721.4600000009</v>
      </c>
      <c r="O98" s="10" t="s">
        <v>40</v>
      </c>
      <c r="P98" s="6" t="s">
        <v>662</v>
      </c>
      <c r="Q98" s="9">
        <f>N98/14923</f>
        <v>576.60801849494078</v>
      </c>
      <c r="R98" s="6" t="s">
        <v>42</v>
      </c>
      <c r="S98" s="12">
        <v>52846</v>
      </c>
      <c r="T98" s="8" t="s">
        <v>43</v>
      </c>
      <c r="U98" s="6" t="s">
        <v>44</v>
      </c>
      <c r="V98" s="7">
        <f>'[1]V, inciso p) (OP)'!AM58</f>
        <v>42657</v>
      </c>
      <c r="W98" s="7">
        <f>'[1]V, inciso p) (OP)'!AN58</f>
        <v>42732</v>
      </c>
      <c r="X98" s="6" t="s">
        <v>572</v>
      </c>
      <c r="Y98" s="6" t="s">
        <v>573</v>
      </c>
      <c r="Z98" s="6" t="s">
        <v>574</v>
      </c>
      <c r="AA98" s="6" t="s">
        <v>40</v>
      </c>
      <c r="AB98" s="6" t="s">
        <v>40</v>
      </c>
    </row>
    <row r="99" spans="1:28" ht="67.5">
      <c r="A99" s="6">
        <v>2016</v>
      </c>
      <c r="B99" s="6" t="s">
        <v>30</v>
      </c>
      <c r="C99" s="8" t="str">
        <f>'[1]V, inciso p) (OP)'!D59</f>
        <v>DOPI-FED-PR-PAV-LP-097-2016</v>
      </c>
      <c r="D99" s="13">
        <f>'[1]V, inciso p) (OP)'!AD59</f>
        <v>42656</v>
      </c>
      <c r="E99" s="8" t="str">
        <f>'[1]V, inciso p) (OP)'!I59</f>
        <v>Reencarpetamiento de la Av. Santa Margarita, en la colonia Santa Margarita, incluye: guarniciones, banquetas, renivelación de pozos y cajas, señalamiento vertical y horizontal, Municipio de Zapopan, Jalisco, frente 3.</v>
      </c>
      <c r="F99" s="8" t="s">
        <v>648</v>
      </c>
      <c r="G99" s="9">
        <f>'[1]V, inciso p) (OP)'!AG59</f>
        <v>7620310.1200000001</v>
      </c>
      <c r="H99" s="8" t="str">
        <f>'[1]V, inciso p) (OP)'!AS59</f>
        <v>Colonia Santa Margarita</v>
      </c>
      <c r="I99" s="6" t="str">
        <f>'[1]V, inciso p) (OP)'!T59</f>
        <v>Víctor Manuel</v>
      </c>
      <c r="J99" s="6" t="str">
        <f>'[1]V, inciso p) (OP)'!U59</f>
        <v>Jauregui</v>
      </c>
      <c r="K99" s="6" t="str">
        <f>'[1]V, inciso p) (OP)'!V59</f>
        <v>Torres</v>
      </c>
      <c r="L99" s="8" t="str">
        <f>'[1]V, inciso p) (OP)'!W59</f>
        <v>Constructora Erlort y Asociados, S.A. de C.V.</v>
      </c>
      <c r="M99" s="6" t="str">
        <f>'[1]V, inciso p) (OP)'!X59</f>
        <v>CEA070208SB1</v>
      </c>
      <c r="N99" s="9">
        <f t="shared" si="2"/>
        <v>7620310.1200000001</v>
      </c>
      <c r="O99" s="10" t="s">
        <v>40</v>
      </c>
      <c r="P99" s="6" t="s">
        <v>663</v>
      </c>
      <c r="Q99" s="9">
        <f>N99/13168</f>
        <v>578.69912818955038</v>
      </c>
      <c r="R99" s="6" t="s">
        <v>42</v>
      </c>
      <c r="S99" s="12">
        <v>52846</v>
      </c>
      <c r="T99" s="8" t="s">
        <v>43</v>
      </c>
      <c r="U99" s="6" t="s">
        <v>44</v>
      </c>
      <c r="V99" s="7">
        <f>'[1]V, inciso p) (OP)'!AM59</f>
        <v>42657</v>
      </c>
      <c r="W99" s="7">
        <f>'[1]V, inciso p) (OP)'!AN59</f>
        <v>42732</v>
      </c>
      <c r="X99" s="6" t="s">
        <v>572</v>
      </c>
      <c r="Y99" s="6" t="s">
        <v>573</v>
      </c>
      <c r="Z99" s="6" t="s">
        <v>574</v>
      </c>
      <c r="AA99" s="6" t="s">
        <v>40</v>
      </c>
      <c r="AB99" s="6" t="s">
        <v>40</v>
      </c>
    </row>
    <row r="100" spans="1:28" ht="67.5">
      <c r="A100" s="6">
        <v>2016</v>
      </c>
      <c r="B100" s="6" t="s">
        <v>30</v>
      </c>
      <c r="C100" s="8" t="str">
        <f>'[1]V, inciso p) (OP)'!D60</f>
        <v>DOPI-FED-PR-PAV-LP-098-2016</v>
      </c>
      <c r="D100" s="13">
        <f>'[1]V, inciso p) (OP)'!AD60</f>
        <v>42685</v>
      </c>
      <c r="E100" s="8" t="str">
        <f>'[1]V, inciso p) (OP)'!I60</f>
        <v>Construcción de la vialidad con concreto hidráulico de la Av. Ramón Corona, incluye: guarniciones, banquetas, red de agua potable, alcantarillado, alumbrado público y forestación, Municipio de Zapopan, Jalisco, frente 1.</v>
      </c>
      <c r="F100" s="8" t="s">
        <v>648</v>
      </c>
      <c r="G100" s="9">
        <f>'[1]V, inciso p) (OP)'!AG60</f>
        <v>11081287.630000001</v>
      </c>
      <c r="H100" s="8" t="str">
        <f>'[1]V, inciso p) (OP)'!AS60</f>
        <v>Colonia La Mojonera</v>
      </c>
      <c r="I100" s="6" t="str">
        <f>'[1]V, inciso p) (OP)'!T60</f>
        <v>J. Gerardo</v>
      </c>
      <c r="J100" s="6" t="str">
        <f>'[1]V, inciso p) (OP)'!U60</f>
        <v>Nicanor</v>
      </c>
      <c r="K100" s="6" t="str">
        <f>'[1]V, inciso p) (OP)'!V60</f>
        <v>Mejia Mariscal</v>
      </c>
      <c r="L100" s="8" t="str">
        <f>'[1]V, inciso p) (OP)'!W60</f>
        <v>Ineco Construye, S.A. de C.V.</v>
      </c>
      <c r="M100" s="6" t="str">
        <f>'[1]V, inciso p) (OP)'!X60</f>
        <v>ICO980722M04</v>
      </c>
      <c r="N100" s="9">
        <f>G100</f>
        <v>11081287.630000001</v>
      </c>
      <c r="O100" s="10" t="s">
        <v>40</v>
      </c>
      <c r="P100" s="10" t="s">
        <v>664</v>
      </c>
      <c r="Q100" s="11">
        <f>N100/7750</f>
        <v>1429.8435651612904</v>
      </c>
      <c r="R100" s="10" t="s">
        <v>42</v>
      </c>
      <c r="S100" s="14">
        <v>5622</v>
      </c>
      <c r="T100" s="8" t="s">
        <v>43</v>
      </c>
      <c r="U100" s="6" t="s">
        <v>565</v>
      </c>
      <c r="V100" s="7">
        <f>'[1]V, inciso p) (OP)'!AM60</f>
        <v>42688</v>
      </c>
      <c r="W100" s="7">
        <f>'[1]V, inciso p) (OP)'!AN60</f>
        <v>42763</v>
      </c>
      <c r="X100" s="6" t="s">
        <v>605</v>
      </c>
      <c r="Y100" s="6" t="s">
        <v>442</v>
      </c>
      <c r="Z100" s="6" t="s">
        <v>101</v>
      </c>
      <c r="AA100" s="6" t="s">
        <v>40</v>
      </c>
      <c r="AB100" s="6" t="s">
        <v>40</v>
      </c>
    </row>
    <row r="101" spans="1:28" ht="67.5">
      <c r="A101" s="6">
        <v>2016</v>
      </c>
      <c r="B101" s="6" t="s">
        <v>30</v>
      </c>
      <c r="C101" s="8" t="str">
        <f>'[1]V, inciso p) (OP)'!D61</f>
        <v>DOPI-FED-PR-PAV-LP-099-2016</v>
      </c>
      <c r="D101" s="13">
        <f>'[1]V, inciso p) (OP)'!AD61</f>
        <v>42685</v>
      </c>
      <c r="E101" s="8" t="str">
        <f>'[1]V, inciso p) (OP)'!I61</f>
        <v>Construcción de la vialidad con concreto hidráulico de la Av. Ramón Corona, incluye: guarniciones, banquetas, red de agua potable, alcantarillado, alumbrado público y forestación, Municipio de Zapopan, Jalisco, frente 2.</v>
      </c>
      <c r="F101" s="8" t="s">
        <v>648</v>
      </c>
      <c r="G101" s="9">
        <f>'[1]V, inciso p) (OP)'!AG61</f>
        <v>9389185.8900000006</v>
      </c>
      <c r="H101" s="8" t="str">
        <f>'[1]V, inciso p) (OP)'!AS61</f>
        <v>Colonia La Mojonera</v>
      </c>
      <c r="I101" s="6" t="str">
        <f>'[1]V, inciso p) (OP)'!T61</f>
        <v>Sergio Cesar</v>
      </c>
      <c r="J101" s="6" t="str">
        <f>'[1]V, inciso p) (OP)'!U61</f>
        <v>Diaz</v>
      </c>
      <c r="K101" s="6" t="str">
        <f>'[1]V, inciso p) (OP)'!V61</f>
        <v>Quiroz</v>
      </c>
      <c r="L101" s="8" t="str">
        <f>'[1]V, inciso p) (OP)'!W61</f>
        <v>Grupo Unicreto S.A. de C.V.</v>
      </c>
      <c r="M101" s="6" t="str">
        <f>'[1]V, inciso p) (OP)'!X61</f>
        <v>GUN880613NY1</v>
      </c>
      <c r="N101" s="9">
        <f>G101</f>
        <v>9389185.8900000006</v>
      </c>
      <c r="O101" s="10" t="s">
        <v>40</v>
      </c>
      <c r="P101" s="10" t="s">
        <v>665</v>
      </c>
      <c r="Q101" s="11">
        <f>N101/5500</f>
        <v>1707.1247072727274</v>
      </c>
      <c r="R101" s="10" t="s">
        <v>42</v>
      </c>
      <c r="S101" s="14">
        <v>5622</v>
      </c>
      <c r="T101" s="8" t="s">
        <v>43</v>
      </c>
      <c r="U101" s="6" t="s">
        <v>565</v>
      </c>
      <c r="V101" s="7">
        <f>'[1]V, inciso p) (OP)'!AM61</f>
        <v>42688</v>
      </c>
      <c r="W101" s="7">
        <f>'[1]V, inciso p) (OP)'!AN61</f>
        <v>42763</v>
      </c>
      <c r="X101" s="6" t="s">
        <v>605</v>
      </c>
      <c r="Y101" s="6" t="s">
        <v>442</v>
      </c>
      <c r="Z101" s="6" t="s">
        <v>101</v>
      </c>
      <c r="AA101" s="6" t="s">
        <v>40</v>
      </c>
      <c r="AB101" s="6" t="s">
        <v>40</v>
      </c>
    </row>
    <row r="102" spans="1:28" ht="67.5">
      <c r="A102" s="6">
        <v>2016</v>
      </c>
      <c r="B102" s="6" t="s">
        <v>30</v>
      </c>
      <c r="C102" s="8" t="str">
        <f>'[1]V, inciso p) (OP)'!D62</f>
        <v>DOPI-FED-PR-PAV-LP-100-2016</v>
      </c>
      <c r="D102" s="13">
        <f>'[1]V, inciso p) (OP)'!AD62</f>
        <v>42685</v>
      </c>
      <c r="E102" s="8" t="str">
        <f>'[1]V, inciso p) (OP)'!I62</f>
        <v>Construcción de la vialidad con concreto hidráulico de la Av. Ramón Corona, incluye: guarniciones, banquetas, red de agua potable, alcantarillado, alumbrado público y forestación, Municipio de Zapopan, Jalisco, frente 3.</v>
      </c>
      <c r="F102" s="8" t="s">
        <v>648</v>
      </c>
      <c r="G102" s="9">
        <f>'[1]V, inciso p) (OP)'!AG62</f>
        <v>6602792.5999999996</v>
      </c>
      <c r="H102" s="8" t="str">
        <f>'[1]V, inciso p) (OP)'!AS62</f>
        <v>Colonia La Mojonera</v>
      </c>
      <c r="I102" s="6" t="str">
        <f>'[1]V, inciso p) (OP)'!T62</f>
        <v>Sergio Cesar</v>
      </c>
      <c r="J102" s="6" t="str">
        <f>'[1]V, inciso p) (OP)'!U62</f>
        <v>Diaz</v>
      </c>
      <c r="K102" s="6" t="str">
        <f>'[1]V, inciso p) (OP)'!V62</f>
        <v>Quiroz</v>
      </c>
      <c r="L102" s="8" t="str">
        <f>'[1]V, inciso p) (OP)'!W62</f>
        <v>Grupo Unicreto S.A. de C.V.</v>
      </c>
      <c r="M102" s="6" t="str">
        <f>'[1]V, inciso p) (OP)'!X62</f>
        <v>GUN880613NY1</v>
      </c>
      <c r="N102" s="9">
        <f>G102</f>
        <v>6602792.5999999996</v>
      </c>
      <c r="O102" s="10" t="s">
        <v>40</v>
      </c>
      <c r="P102" s="10" t="s">
        <v>666</v>
      </c>
      <c r="Q102" s="11">
        <f>N102/3802.5</f>
        <v>1736.4346088099933</v>
      </c>
      <c r="R102" s="10" t="s">
        <v>42</v>
      </c>
      <c r="S102" s="14">
        <v>5622</v>
      </c>
      <c r="T102" s="8" t="s">
        <v>43</v>
      </c>
      <c r="U102" s="6" t="s">
        <v>565</v>
      </c>
      <c r="V102" s="7">
        <f>'[1]V, inciso p) (OP)'!AM62</f>
        <v>42688</v>
      </c>
      <c r="W102" s="7">
        <f>'[1]V, inciso p) (OP)'!AN62</f>
        <v>42763</v>
      </c>
      <c r="X102" s="6" t="s">
        <v>605</v>
      </c>
      <c r="Y102" s="6" t="s">
        <v>442</v>
      </c>
      <c r="Z102" s="6" t="s">
        <v>101</v>
      </c>
      <c r="AA102" s="6" t="s">
        <v>40</v>
      </c>
      <c r="AB102" s="6" t="s">
        <v>40</v>
      </c>
    </row>
    <row r="103" spans="1:28" ht="40.5">
      <c r="A103" s="6">
        <v>2016</v>
      </c>
      <c r="B103" s="6" t="s">
        <v>30</v>
      </c>
      <c r="C103" s="8" t="str">
        <f>'[1]V, inciso p) (OP)'!D63</f>
        <v>DOPI-FED-PR-PAV-LP-101-2016</v>
      </c>
      <c r="D103" s="13">
        <f>'[1]V, inciso p) (OP)'!AD63</f>
        <v>42685</v>
      </c>
      <c r="E103" s="8" t="str">
        <f>'[1]V, inciso p) (OP)'!I63</f>
        <v>Construcción de Centro de Desarrollo Infantil La Loma, Municipio de Zapopan, Jalisco.</v>
      </c>
      <c r="F103" s="8" t="s">
        <v>648</v>
      </c>
      <c r="G103" s="9">
        <f>'[1]V, inciso p) (OP)'!AG63</f>
        <v>17394240.84</v>
      </c>
      <c r="H103" s="8" t="str">
        <f>'[1]V, inciso p) (OP)'!AS63</f>
        <v>Colonia La Loma</v>
      </c>
      <c r="I103" s="6" t="str">
        <f>'[1]V, inciso p) (OP)'!T63</f>
        <v>Jesús</v>
      </c>
      <c r="J103" s="6" t="str">
        <f>'[1]V, inciso p) (OP)'!U63</f>
        <v>Arenas</v>
      </c>
      <c r="K103" s="6" t="str">
        <f>'[1]V, inciso p) (OP)'!V63</f>
        <v>Bravo</v>
      </c>
      <c r="L103" s="8" t="str">
        <f>'[1]V, inciso p) (OP)'!W63</f>
        <v>Sicosa, S.A. de C.V.</v>
      </c>
      <c r="M103" s="6" t="str">
        <f>'[1]V, inciso p) (OP)'!X63</f>
        <v>SIC940317FH7</v>
      </c>
      <c r="N103" s="9">
        <f>G103</f>
        <v>17394240.84</v>
      </c>
      <c r="O103" s="10" t="s">
        <v>40</v>
      </c>
      <c r="P103" s="10" t="s">
        <v>667</v>
      </c>
      <c r="Q103" s="11">
        <f>N103/1240</f>
        <v>14027.613580645162</v>
      </c>
      <c r="R103" s="10" t="s">
        <v>42</v>
      </c>
      <c r="S103" s="14">
        <v>8450</v>
      </c>
      <c r="T103" s="8" t="s">
        <v>43</v>
      </c>
      <c r="U103" s="6" t="s">
        <v>565</v>
      </c>
      <c r="V103" s="7">
        <f>'[1]V, inciso p) (OP)'!AM63</f>
        <v>42688</v>
      </c>
      <c r="W103" s="7">
        <f>'[1]V, inciso p) (OP)'!AN63</f>
        <v>42763</v>
      </c>
      <c r="X103" s="6" t="s">
        <v>668</v>
      </c>
      <c r="Y103" s="6" t="s">
        <v>476</v>
      </c>
      <c r="Z103" s="6" t="s">
        <v>89</v>
      </c>
      <c r="AA103" s="6" t="s">
        <v>40</v>
      </c>
      <c r="AB103" s="6" t="s">
        <v>40</v>
      </c>
    </row>
    <row r="104" spans="1:28" ht="94.5">
      <c r="A104" s="6">
        <v>2016</v>
      </c>
      <c r="B104" s="6" t="s">
        <v>30</v>
      </c>
      <c r="C104" s="8" t="str">
        <f>'[1]V, inciso p) (OP)'!D64</f>
        <v>DOPI-EST-CR-PAV-LP-102-2016</v>
      </c>
      <c r="D104" s="13">
        <f>'[1]V, inciso p) (OP)'!AD64</f>
        <v>42656</v>
      </c>
      <c r="E104" s="8" t="str">
        <f>'[1]V, inciso p) (OP)'!I64</f>
        <v>Construcción de la primera etapa de la calle Paseo de los Ciruelos de Paseo de los Membrillos a Paseo de los Encinos con concreto hidráulico en la zona Mesa Colorada, incluye: guarniciones, banquetas, red de agua potable, alcantarillado y alumbrado público, Municipio de Zapopan, Jalisco.</v>
      </c>
      <c r="F104" s="8" t="s">
        <v>669</v>
      </c>
      <c r="G104" s="9">
        <f>'[1]V, inciso p) (OP)'!AG64</f>
        <v>800844.56</v>
      </c>
      <c r="H104" s="8" t="str">
        <f>'[1]V, inciso p) (OP)'!AS64</f>
        <v>Mesa Colorada</v>
      </c>
      <c r="I104" s="6" t="str">
        <f>'[1]V, inciso p) (OP)'!T64</f>
        <v>José Omar</v>
      </c>
      <c r="J104" s="6" t="str">
        <f>'[1]V, inciso p) (OP)'!U64</f>
        <v>Fernández</v>
      </c>
      <c r="K104" s="6" t="str">
        <f>'[1]V, inciso p) (OP)'!V64</f>
        <v>Vázquez</v>
      </c>
      <c r="L104" s="8" t="str">
        <f>'[1]V, inciso p) (OP)'!W64</f>
        <v>Extra Construcciones, S.A. de C.V.</v>
      </c>
      <c r="M104" s="6" t="str">
        <f>'[1]V, inciso p) (OP)'!X64</f>
        <v>ECO0908115Z7</v>
      </c>
      <c r="N104" s="9">
        <f t="shared" si="2"/>
        <v>800844.56</v>
      </c>
      <c r="O104" s="10" t="s">
        <v>40</v>
      </c>
      <c r="P104" s="6" t="s">
        <v>670</v>
      </c>
      <c r="Q104" s="9">
        <f>N104/315</f>
        <v>2542.3636825396829</v>
      </c>
      <c r="R104" s="6" t="s">
        <v>42</v>
      </c>
      <c r="S104" s="12">
        <v>1874</v>
      </c>
      <c r="T104" s="8" t="s">
        <v>43</v>
      </c>
      <c r="U104" s="6" t="s">
        <v>565</v>
      </c>
      <c r="V104" s="7">
        <f>'[1]V, inciso p) (OP)'!AM64</f>
        <v>42657</v>
      </c>
      <c r="W104" s="7">
        <f>'[1]V, inciso p) (OP)'!AN64</f>
        <v>42776</v>
      </c>
      <c r="X104" s="6" t="s">
        <v>671</v>
      </c>
      <c r="Y104" s="6" t="s">
        <v>334</v>
      </c>
      <c r="Z104" s="6" t="s">
        <v>133</v>
      </c>
      <c r="AA104" s="22" t="s">
        <v>937</v>
      </c>
      <c r="AB104" s="6" t="s">
        <v>40</v>
      </c>
    </row>
    <row r="105" spans="1:28" ht="94.5">
      <c r="A105" s="6">
        <v>2016</v>
      </c>
      <c r="B105" s="6" t="s">
        <v>30</v>
      </c>
      <c r="C105" s="8" t="str">
        <f>'[1]V, inciso p) (OP)'!D65</f>
        <v>DOPI-EST-CR-PAV-LP-103-2016</v>
      </c>
      <c r="D105" s="13">
        <f>'[1]V, inciso p) (OP)'!AD65</f>
        <v>42656</v>
      </c>
      <c r="E105" s="8" t="str">
        <f>'[1]V, inciso p) (OP)'!I65</f>
        <v>Construcción de la primera etapa de la calle Paseo de los Membrillos de Paseo del Roble a Paseo de los Aguacates de concreto hidráulico en la zona de la Mesa Colorada, incluye: guarniciones, banquetas, red de agua potable, alcantarillado y alumbrado público, Municipio de Zapopan, Jalisco.</v>
      </c>
      <c r="F105" s="8" t="s">
        <v>669</v>
      </c>
      <c r="G105" s="9">
        <f>'[1]V, inciso p) (OP)'!AG65</f>
        <v>2310172.9900000002</v>
      </c>
      <c r="H105" s="8" t="str">
        <f>'[1]V, inciso p) (OP)'!AS65</f>
        <v>Mesa Colorada</v>
      </c>
      <c r="I105" s="6" t="str">
        <f>'[1]V, inciso p) (OP)'!T65</f>
        <v>Alejandro</v>
      </c>
      <c r="J105" s="6" t="str">
        <f>'[1]V, inciso p) (OP)'!U65</f>
        <v>Guevara</v>
      </c>
      <c r="K105" s="6" t="str">
        <f>'[1]V, inciso p) (OP)'!V65</f>
        <v>Castellanos</v>
      </c>
      <c r="L105" s="8" t="str">
        <f>'[1]V, inciso p) (OP)'!W65</f>
        <v>Urbanizacion y Construccion Avanzada, S.A. de C.V.</v>
      </c>
      <c r="M105" s="6" t="str">
        <f>'[1]V, inciso p) (OP)'!X65</f>
        <v>UCA0207107X6</v>
      </c>
      <c r="N105" s="9">
        <f t="shared" si="2"/>
        <v>2310172.9900000002</v>
      </c>
      <c r="O105" s="10" t="s">
        <v>40</v>
      </c>
      <c r="P105" s="6" t="s">
        <v>672</v>
      </c>
      <c r="Q105" s="9">
        <f>N105/1222</f>
        <v>1890.485261865794</v>
      </c>
      <c r="R105" s="6" t="s">
        <v>42</v>
      </c>
      <c r="S105" s="12">
        <v>4532</v>
      </c>
      <c r="T105" s="8" t="s">
        <v>43</v>
      </c>
      <c r="U105" s="6" t="s">
        <v>565</v>
      </c>
      <c r="V105" s="7">
        <f>'[1]V, inciso p) (OP)'!AM65</f>
        <v>42657</v>
      </c>
      <c r="W105" s="7">
        <f>'[1]V, inciso p) (OP)'!AN65</f>
        <v>42776</v>
      </c>
      <c r="X105" s="6" t="s">
        <v>671</v>
      </c>
      <c r="Y105" s="6" t="s">
        <v>334</v>
      </c>
      <c r="Z105" s="6" t="s">
        <v>133</v>
      </c>
      <c r="AA105" s="6" t="s">
        <v>40</v>
      </c>
      <c r="AB105" s="6" t="s">
        <v>40</v>
      </c>
    </row>
    <row r="106" spans="1:28" ht="94.5">
      <c r="A106" s="6">
        <v>2016</v>
      </c>
      <c r="B106" s="6" t="s">
        <v>30</v>
      </c>
      <c r="C106" s="8" t="str">
        <f>'[1]V, inciso p) (OP)'!D66</f>
        <v>DOPI-EST-CR-PAV-LP-104-2016</v>
      </c>
      <c r="D106" s="13">
        <f>'[1]V, inciso p) (OP)'!AD66</f>
        <v>42656</v>
      </c>
      <c r="E106" s="8" t="str">
        <f>'[1]V, inciso p) (OP)'!I66</f>
        <v>Construcción de la primera etapa de la calle Paseo del Roble de Paseo de los Membrillos a Paseo de los Perones con concreto hidráulico en la zona de la Mesa Colorada, incluye: guarniciones, banquetas, red de agua potable, alcantarillado y alumbrado público, Municipio de Zapopan, Jalisco.</v>
      </c>
      <c r="F106" s="8" t="s">
        <v>669</v>
      </c>
      <c r="G106" s="9">
        <f>'[1]V, inciso p) (OP)'!AG66</f>
        <v>931716.14</v>
      </c>
      <c r="H106" s="8" t="str">
        <f>'[1]V, inciso p) (OP)'!AS66</f>
        <v>Mesa Colorada</v>
      </c>
      <c r="I106" s="6" t="str">
        <f>'[1]V, inciso p) (OP)'!T66</f>
        <v>Alejandro</v>
      </c>
      <c r="J106" s="6" t="str">
        <f>'[1]V, inciso p) (OP)'!U66</f>
        <v>Guevara</v>
      </c>
      <c r="K106" s="6" t="str">
        <f>'[1]V, inciso p) (OP)'!V66</f>
        <v>Castellanos</v>
      </c>
      <c r="L106" s="8" t="str">
        <f>'[1]V, inciso p) (OP)'!W66</f>
        <v>Urbanizacion y Construccion Avanzada, S.A. de C.V.</v>
      </c>
      <c r="M106" s="6" t="str">
        <f>'[1]V, inciso p) (OP)'!X66</f>
        <v>UCA0207107X6</v>
      </c>
      <c r="N106" s="9">
        <f t="shared" si="2"/>
        <v>931716.14</v>
      </c>
      <c r="O106" s="10" t="s">
        <v>40</v>
      </c>
      <c r="P106" s="6" t="s">
        <v>673</v>
      </c>
      <c r="Q106" s="9">
        <f>N106/375</f>
        <v>2484.5763733333333</v>
      </c>
      <c r="R106" s="6" t="s">
        <v>42</v>
      </c>
      <c r="S106" s="12">
        <v>4532</v>
      </c>
      <c r="T106" s="8" t="s">
        <v>43</v>
      </c>
      <c r="U106" s="6" t="s">
        <v>565</v>
      </c>
      <c r="V106" s="7">
        <f>'[1]V, inciso p) (OP)'!AM66</f>
        <v>42657</v>
      </c>
      <c r="W106" s="7">
        <f>'[1]V, inciso p) (OP)'!AN66</f>
        <v>42776</v>
      </c>
      <c r="X106" s="6" t="s">
        <v>671</v>
      </c>
      <c r="Y106" s="6" t="s">
        <v>334</v>
      </c>
      <c r="Z106" s="6" t="s">
        <v>133</v>
      </c>
      <c r="AA106" s="6" t="s">
        <v>40</v>
      </c>
      <c r="AB106" s="6" t="s">
        <v>40</v>
      </c>
    </row>
    <row r="107" spans="1:28" ht="81">
      <c r="A107" s="6">
        <v>2016</v>
      </c>
      <c r="B107" s="6" t="s">
        <v>30</v>
      </c>
      <c r="C107" s="8" t="str">
        <f>'[1]V, inciso p) (OP)'!D67</f>
        <v>DOPI-EST-CR-PAV-LP-105-2016</v>
      </c>
      <c r="D107" s="13">
        <f>'[1]V, inciso p) (OP)'!AD67</f>
        <v>42656</v>
      </c>
      <c r="E107" s="8" t="str">
        <f>'[1]V, inciso p) (OP)'!I67</f>
        <v>Construcción de la primera etapa de la calle Chícharo de calle Lenteja a Carretera Saltillo con concreto hidráulico en la zona de la Mesa Colorada, incluye: guarniciones, banquetas, red de agua potable, alcantarillado y alumbrado público, Municipio de Zapopan, Jalisco.</v>
      </c>
      <c r="F107" s="8" t="s">
        <v>669</v>
      </c>
      <c r="G107" s="9">
        <f>'[1]V, inciso p) (OP)'!AG67</f>
        <v>7806734.9199999999</v>
      </c>
      <c r="H107" s="8" t="str">
        <f>'[1]V, inciso p) (OP)'!AS67</f>
        <v>Mesa Colorada</v>
      </c>
      <c r="I107" s="6" t="str">
        <f>'[1]V, inciso p) (OP)'!T67</f>
        <v>Felipe Daniel II</v>
      </c>
      <c r="J107" s="6" t="str">
        <f>'[1]V, inciso p) (OP)'!U67</f>
        <v>Nuñez</v>
      </c>
      <c r="K107" s="6" t="str">
        <f>'[1]V, inciso p) (OP)'!V67</f>
        <v>Pinzón</v>
      </c>
      <c r="L107" s="8" t="str">
        <f>'[1]V, inciso p) (OP)'!W67</f>
        <v>Grupo Nuveco, S.A. de C.V.</v>
      </c>
      <c r="M107" s="6" t="str">
        <f>'[1]V, inciso p) (OP)'!X67</f>
        <v>GNU120809KX1</v>
      </c>
      <c r="N107" s="9">
        <f t="shared" si="2"/>
        <v>7806734.9199999999</v>
      </c>
      <c r="O107" s="10" t="s">
        <v>40</v>
      </c>
      <c r="P107" s="6" t="s">
        <v>674</v>
      </c>
      <c r="Q107" s="9">
        <f>N107/5067</f>
        <v>1540.7015827906059</v>
      </c>
      <c r="R107" s="6" t="s">
        <v>42</v>
      </c>
      <c r="S107" s="12">
        <v>7873</v>
      </c>
      <c r="T107" s="8" t="s">
        <v>43</v>
      </c>
      <c r="U107" s="6" t="s">
        <v>565</v>
      </c>
      <c r="V107" s="7">
        <f>'[1]V, inciso p) (OP)'!AM67</f>
        <v>42657</v>
      </c>
      <c r="W107" s="7">
        <f>'[1]V, inciso p) (OP)'!AN67</f>
        <v>42776</v>
      </c>
      <c r="X107" s="6" t="s">
        <v>671</v>
      </c>
      <c r="Y107" s="6" t="s">
        <v>334</v>
      </c>
      <c r="Z107" s="6" t="s">
        <v>133</v>
      </c>
      <c r="AA107" s="22" t="s">
        <v>938</v>
      </c>
      <c r="AB107" s="6" t="s">
        <v>40</v>
      </c>
    </row>
    <row r="108" spans="1:28" ht="81">
      <c r="A108" s="6">
        <v>2016</v>
      </c>
      <c r="B108" s="6" t="s">
        <v>30</v>
      </c>
      <c r="C108" s="8" t="str">
        <f>'[1]V, inciso p) (OP)'!D68</f>
        <v>DOPI-EST-CR-PAV-LP-106-2016</v>
      </c>
      <c r="D108" s="13">
        <f>'[1]V, inciso p) (OP)'!AD68</f>
        <v>42656</v>
      </c>
      <c r="E108" s="8" t="str">
        <f>'[1]V, inciso p) (OP)'!I68</f>
        <v>Reencarpetamiento de la Av. Santa Margarita de Periférico a Av. Tesistán, en la colonia Santa Margarita incluye: guarniciones, banquetas, renivelación de pozos y cajas, señalamiento vertical y horizontal, Municipio de Zapopan, Jalisco.</v>
      </c>
      <c r="F108" s="8" t="s">
        <v>669</v>
      </c>
      <c r="G108" s="9">
        <f>'[1]V, inciso p) (OP)'!AG68</f>
        <v>9033319.6300000008</v>
      </c>
      <c r="H108" s="8" t="str">
        <f>'[1]V, inciso p) (OP)'!AS68</f>
        <v>Colonia Santa Margarita</v>
      </c>
      <c r="I108" s="6" t="str">
        <f>'[1]V, inciso p) (OP)'!T68</f>
        <v>Ángel Salomón</v>
      </c>
      <c r="J108" s="6" t="str">
        <f>'[1]V, inciso p) (OP)'!U68</f>
        <v>Rincón</v>
      </c>
      <c r="K108" s="6" t="str">
        <f>'[1]V, inciso p) (OP)'!V68</f>
        <v>De la Rosa</v>
      </c>
      <c r="L108" s="8" t="str">
        <f>'[1]V, inciso p) (OP)'!W68</f>
        <v>Aro Asfaltos y Riegos de Occidente, S.A. de C.V.</v>
      </c>
      <c r="M108" s="6" t="str">
        <f>'[1]V, inciso p) (OP)'!X68</f>
        <v>AAR120507VA9</v>
      </c>
      <c r="N108" s="9">
        <f t="shared" si="2"/>
        <v>9033319.6300000008</v>
      </c>
      <c r="O108" s="10" t="s">
        <v>40</v>
      </c>
      <c r="P108" s="6" t="s">
        <v>675</v>
      </c>
      <c r="Q108" s="9">
        <f>N108/16200</f>
        <v>557.61232283950619</v>
      </c>
      <c r="R108" s="6" t="s">
        <v>42</v>
      </c>
      <c r="S108" s="12">
        <v>14561</v>
      </c>
      <c r="T108" s="8" t="s">
        <v>43</v>
      </c>
      <c r="U108" s="6" t="s">
        <v>565</v>
      </c>
      <c r="V108" s="7">
        <f>'[1]V, inciso p) (OP)'!AM68</f>
        <v>42657</v>
      </c>
      <c r="W108" s="7">
        <f>'[1]V, inciso p) (OP)'!AN68</f>
        <v>42746</v>
      </c>
      <c r="X108" s="6" t="s">
        <v>676</v>
      </c>
      <c r="Y108" s="6" t="s">
        <v>677</v>
      </c>
      <c r="Z108" s="6" t="s">
        <v>574</v>
      </c>
      <c r="AA108" s="6" t="s">
        <v>40</v>
      </c>
      <c r="AB108" s="6" t="s">
        <v>40</v>
      </c>
    </row>
    <row r="109" spans="1:28" ht="81">
      <c r="A109" s="6">
        <v>2016</v>
      </c>
      <c r="B109" s="6" t="s">
        <v>30</v>
      </c>
      <c r="C109" s="8" t="str">
        <f>'[1]V, inciso p) (OP)'!D69</f>
        <v>DOPI-EST-CR-PAV-LP-107-2016</v>
      </c>
      <c r="D109" s="13">
        <f>'[1]V, inciso p) (OP)'!AD69</f>
        <v>42656</v>
      </c>
      <c r="E109" s="8" t="str">
        <f>'[1]V, inciso p) (OP)'!I69</f>
        <v>Reencarpetamiento de la calle Santa Esther de Av. Acueducto a Periférico, primera etapa, en la colonia Santa Margarita, incluye: guarniciones, banquetas, renivelación de pozos y cajas, señalamiento vertical y horizontal, Municipio de Zapopan, Jalisco.</v>
      </c>
      <c r="F109" s="8" t="s">
        <v>669</v>
      </c>
      <c r="G109" s="9">
        <f>'[1]V, inciso p) (OP)'!AG69</f>
        <v>1679620.18</v>
      </c>
      <c r="H109" s="8" t="str">
        <f>'[1]V, inciso p) (OP)'!AS69</f>
        <v>Colonia Santa Margarita</v>
      </c>
      <c r="I109" s="6" t="str">
        <f>'[1]V, inciso p) (OP)'!T69</f>
        <v>Ángel Salomón</v>
      </c>
      <c r="J109" s="6" t="str">
        <f>'[1]V, inciso p) (OP)'!U69</f>
        <v>Rincón</v>
      </c>
      <c r="K109" s="6" t="str">
        <f>'[1]V, inciso p) (OP)'!V69</f>
        <v>De la Rosa</v>
      </c>
      <c r="L109" s="8" t="str">
        <f>'[1]V, inciso p) (OP)'!W69</f>
        <v>Aro Asfaltos y Riegos de Occidente, S.A. de C.V.</v>
      </c>
      <c r="M109" s="6" t="str">
        <f>'[1]V, inciso p) (OP)'!X69</f>
        <v>AAR120507VA9</v>
      </c>
      <c r="N109" s="9">
        <f t="shared" si="2"/>
        <v>1679620.18</v>
      </c>
      <c r="O109" s="10" t="s">
        <v>40</v>
      </c>
      <c r="P109" s="6" t="s">
        <v>678</v>
      </c>
      <c r="Q109" s="9">
        <f>N109/1894</f>
        <v>886.81107708553327</v>
      </c>
      <c r="R109" s="6" t="s">
        <v>42</v>
      </c>
      <c r="S109" s="12">
        <v>20613</v>
      </c>
      <c r="T109" s="8" t="s">
        <v>43</v>
      </c>
      <c r="U109" s="6" t="s">
        <v>565</v>
      </c>
      <c r="V109" s="7">
        <f>'[1]V, inciso p) (OP)'!AM69</f>
        <v>42657</v>
      </c>
      <c r="W109" s="7">
        <f>'[1]V, inciso p) (OP)'!AN69</f>
        <v>42746</v>
      </c>
      <c r="X109" s="6" t="s">
        <v>676</v>
      </c>
      <c r="Y109" s="6" t="s">
        <v>677</v>
      </c>
      <c r="Z109" s="6" t="s">
        <v>574</v>
      </c>
      <c r="AA109" s="22" t="s">
        <v>939</v>
      </c>
      <c r="AB109" s="6" t="s">
        <v>40</v>
      </c>
    </row>
    <row r="110" spans="1:28" ht="81">
      <c r="A110" s="6">
        <v>2016</v>
      </c>
      <c r="B110" s="6" t="s">
        <v>30</v>
      </c>
      <c r="C110" s="8" t="str">
        <f>'[1]V, inciso p) (OP)'!D70</f>
        <v>DOPI-EST-CR-PAV-LP-108-2016</v>
      </c>
      <c r="D110" s="13">
        <f>'[1]V, inciso p) (OP)'!AD70</f>
        <v>42656</v>
      </c>
      <c r="E110" s="8" t="str">
        <f>'[1]V, inciso p) (OP)'!I70</f>
        <v>Reencarpetamiento de la calle Santa Esther de Periférico a Av. Santa Ana, primera etapa, en la colonia Santa Margarita, incluye: guarniciones, banquetas, renivelación de pozos y cajas, señalamiento vertical y horizontal, Municipio de Zapopan, Jalisco.</v>
      </c>
      <c r="F110" s="8" t="s">
        <v>669</v>
      </c>
      <c r="G110" s="9">
        <f>'[1]V, inciso p) (OP)'!AG70</f>
        <v>1797538.26</v>
      </c>
      <c r="H110" s="8" t="str">
        <f>'[1]V, inciso p) (OP)'!AS70</f>
        <v>Colonia Santa Margarita</v>
      </c>
      <c r="I110" s="6" t="str">
        <f>'[1]V, inciso p) (OP)'!T70</f>
        <v>Mario</v>
      </c>
      <c r="J110" s="6" t="str">
        <f>'[1]V, inciso p) (OP)'!U70</f>
        <v>Beltrán</v>
      </c>
      <c r="K110" s="6" t="str">
        <f>'[1]V, inciso p) (OP)'!V70</f>
        <v>Rodríguez</v>
      </c>
      <c r="L110" s="8" t="str">
        <f>'[1]V, inciso p) (OP)'!W70</f>
        <v xml:space="preserve">Constructora y Desarrolladora Barba y Asociados, S. A. de C. V. </v>
      </c>
      <c r="M110" s="6" t="str">
        <f>'[1]V, inciso p) (OP)'!X70</f>
        <v>CDB0506068Z4</v>
      </c>
      <c r="N110" s="9">
        <f t="shared" si="2"/>
        <v>1797538.26</v>
      </c>
      <c r="O110" s="10" t="s">
        <v>40</v>
      </c>
      <c r="P110" s="6" t="s">
        <v>679</v>
      </c>
      <c r="Q110" s="9">
        <f>N110/2001</f>
        <v>898.31997001499246</v>
      </c>
      <c r="R110" s="6" t="s">
        <v>42</v>
      </c>
      <c r="S110" s="12">
        <v>20613</v>
      </c>
      <c r="T110" s="8" t="s">
        <v>43</v>
      </c>
      <c r="U110" s="6" t="s">
        <v>565</v>
      </c>
      <c r="V110" s="7">
        <f>'[1]V, inciso p) (OP)'!AM70</f>
        <v>42657</v>
      </c>
      <c r="W110" s="7">
        <f>'[1]V, inciso p) (OP)'!AN70</f>
        <v>42746</v>
      </c>
      <c r="X110" s="6" t="s">
        <v>676</v>
      </c>
      <c r="Y110" s="6" t="s">
        <v>677</v>
      </c>
      <c r="Z110" s="6" t="s">
        <v>574</v>
      </c>
      <c r="AA110" s="22" t="s">
        <v>933</v>
      </c>
      <c r="AB110" s="6" t="s">
        <v>40</v>
      </c>
    </row>
    <row r="111" spans="1:28" ht="94.5">
      <c r="A111" s="6">
        <v>2016</v>
      </c>
      <c r="B111" s="6" t="s">
        <v>30</v>
      </c>
      <c r="C111" s="8" t="str">
        <f>'[1]V, inciso p) (OP)'!D71</f>
        <v>DOPI-EST-CR-PAV-LP-109-2016</v>
      </c>
      <c r="D111" s="13">
        <f>'[1]V, inciso p) (OP)'!AD71</f>
        <v>42656</v>
      </c>
      <c r="E111" s="8" t="str">
        <f>'[1]V, inciso p) (OP)'!I71</f>
        <v>Reencarpetamiento de la calle Pípila-Carpinteros de calle Las Flores a Emiliano Zapata, primera etapa, en la colonia La Martinica, incluye: guarniciones, banquetas, renivelación de pozos y cajas, señalamiento vertical y horizontal (modernización con concreto hidráulico), Municipio de Zapopan, Jalisco.</v>
      </c>
      <c r="F111" s="8" t="s">
        <v>669</v>
      </c>
      <c r="G111" s="9">
        <f>'[1]V, inciso p) (OP)'!AG71</f>
        <v>9062555.0800000001</v>
      </c>
      <c r="H111" s="8" t="str">
        <f>'[1]V, inciso p) (OP)'!AS71</f>
        <v>Colonia La Martinica</v>
      </c>
      <c r="I111" s="6" t="str">
        <f>'[1]V, inciso p) (OP)'!T71</f>
        <v>Sergio Cesar</v>
      </c>
      <c r="J111" s="6" t="str">
        <f>'[1]V, inciso p) (OP)'!U71</f>
        <v>Diaz</v>
      </c>
      <c r="K111" s="6" t="str">
        <f>'[1]V, inciso p) (OP)'!V71</f>
        <v>Quiroz</v>
      </c>
      <c r="L111" s="8" t="str">
        <f>'[1]V, inciso p) (OP)'!W71</f>
        <v>Grupo Unicreto de México S.A. de C.V.</v>
      </c>
      <c r="M111" s="6" t="str">
        <f>'[1]V, inciso p) (OP)'!X71</f>
        <v>GUM111201IA5</v>
      </c>
      <c r="N111" s="9">
        <f t="shared" si="2"/>
        <v>9062555.0800000001</v>
      </c>
      <c r="O111" s="10" t="s">
        <v>40</v>
      </c>
      <c r="P111" s="6" t="s">
        <v>680</v>
      </c>
      <c r="Q111" s="9">
        <f>N111/7601</f>
        <v>1192.2845783449545</v>
      </c>
      <c r="R111" s="6" t="s">
        <v>42</v>
      </c>
      <c r="S111" s="12">
        <v>7133</v>
      </c>
      <c r="T111" s="8" t="s">
        <v>43</v>
      </c>
      <c r="U111" s="6" t="s">
        <v>565</v>
      </c>
      <c r="V111" s="7">
        <f>'[1]V, inciso p) (OP)'!AM71</f>
        <v>42657</v>
      </c>
      <c r="W111" s="7">
        <f>'[1]V, inciso p) (OP)'!AN71</f>
        <v>42746</v>
      </c>
      <c r="X111" s="6" t="s">
        <v>681</v>
      </c>
      <c r="Y111" s="6" t="s">
        <v>682</v>
      </c>
      <c r="Z111" s="6" t="s">
        <v>683</v>
      </c>
      <c r="AA111" s="6" t="s">
        <v>40</v>
      </c>
      <c r="AB111" s="6" t="s">
        <v>40</v>
      </c>
    </row>
    <row r="112" spans="1:28" ht="94.5">
      <c r="A112" s="6">
        <v>2016</v>
      </c>
      <c r="B112" s="6" t="s">
        <v>30</v>
      </c>
      <c r="C112" s="8" t="str">
        <f>'[1]V, inciso p) (OP)'!D72</f>
        <v>DOPI-EST-CR-PAV-LP-110-2016</v>
      </c>
      <c r="D112" s="13">
        <f>'[1]V, inciso p) (OP)'!AD72</f>
        <v>42656</v>
      </c>
      <c r="E112" s="8" t="str">
        <f>'[1]V, inciso p) (OP)'!I72</f>
        <v>Reencarpetamiento de la calle Plan de Guadalupe de González Gallo a calle Tratado de Tlatelolco en la colonia Parque del Auditorio, incluye: guarniciones, banquetas, renivelación de pozos y cajas, señalamiento  horizontal. (Modernización con concreto hidráulico.), Municipio de Zapopan, Jalisco.</v>
      </c>
      <c r="F112" s="8" t="s">
        <v>669</v>
      </c>
      <c r="G112" s="9">
        <f>'[1]V, inciso p) (OP)'!AG72</f>
        <v>7061595.75</v>
      </c>
      <c r="H112" s="8" t="str">
        <f>'[1]V, inciso p) (OP)'!AS72</f>
        <v>Colonia Parque del Auditorio</v>
      </c>
      <c r="I112" s="6" t="str">
        <f>'[1]V, inciso p) (OP)'!T72</f>
        <v>Sergio Cesar</v>
      </c>
      <c r="J112" s="6" t="str">
        <f>'[1]V, inciso p) (OP)'!U72</f>
        <v>Díaz</v>
      </c>
      <c r="K112" s="6" t="str">
        <f>'[1]V, inciso p) (OP)'!V72</f>
        <v>Quiroz</v>
      </c>
      <c r="L112" s="8" t="str">
        <f>'[1]V, inciso p) (OP)'!W72</f>
        <v>Transcreto S.A. de C.V.</v>
      </c>
      <c r="M112" s="6" t="str">
        <f>'[1]V, inciso p) (OP)'!X72</f>
        <v>TRA750528286</v>
      </c>
      <c r="N112" s="9">
        <f t="shared" si="2"/>
        <v>7061595.75</v>
      </c>
      <c r="O112" s="10" t="s">
        <v>40</v>
      </c>
      <c r="P112" s="6" t="s">
        <v>566</v>
      </c>
      <c r="Q112" s="9">
        <f>N112/4400</f>
        <v>1604.9081249999999</v>
      </c>
      <c r="R112" s="6" t="s">
        <v>42</v>
      </c>
      <c r="S112" s="12">
        <v>7692</v>
      </c>
      <c r="T112" s="8" t="s">
        <v>43</v>
      </c>
      <c r="U112" s="6" t="s">
        <v>565</v>
      </c>
      <c r="V112" s="7">
        <f>'[1]V, inciso p) (OP)'!AM72</f>
        <v>42657</v>
      </c>
      <c r="W112" s="7">
        <f>'[1]V, inciso p) (OP)'!AN72</f>
        <v>42746</v>
      </c>
      <c r="X112" s="6" t="s">
        <v>681</v>
      </c>
      <c r="Y112" s="6" t="s">
        <v>682</v>
      </c>
      <c r="Z112" s="6" t="s">
        <v>683</v>
      </c>
      <c r="AA112" s="6" t="s">
        <v>40</v>
      </c>
      <c r="AB112" s="6" t="s">
        <v>40</v>
      </c>
    </row>
    <row r="113" spans="1:28" ht="40.5">
      <c r="A113" s="6">
        <v>2016</v>
      </c>
      <c r="B113" s="6" t="s">
        <v>30</v>
      </c>
      <c r="C113" s="8" t="str">
        <f>'[1]V, inciso p) (OP)'!D73</f>
        <v>DOPI-EST-CR-PAV-LP-111-2016</v>
      </c>
      <c r="D113" s="13">
        <f>'[1]V, inciso p) (OP)'!AD73</f>
        <v>42656</v>
      </c>
      <c r="E113" s="8" t="str">
        <f>'[1]V, inciso p) (OP)'!I73</f>
        <v>Sustitución de losas en la colonia Parque del Auditorio, Municipio de Zapopan, Jalisco.</v>
      </c>
      <c r="F113" s="8" t="s">
        <v>669</v>
      </c>
      <c r="G113" s="9">
        <f>'[1]V, inciso p) (OP)'!AG73</f>
        <v>1331822.1599999999</v>
      </c>
      <c r="H113" s="8" t="str">
        <f>'[1]V, inciso p) (OP)'!AS73</f>
        <v>Colonia Parque del Auditorio</v>
      </c>
      <c r="I113" s="6" t="str">
        <f>'[1]V, inciso p) (OP)'!T73</f>
        <v>Mario</v>
      </c>
      <c r="J113" s="6" t="str">
        <f>'[1]V, inciso p) (OP)'!U73</f>
        <v>Beltrán</v>
      </c>
      <c r="K113" s="6" t="str">
        <f>'[1]V, inciso p) (OP)'!V73</f>
        <v>Rodríguez</v>
      </c>
      <c r="L113" s="8" t="str">
        <f>'[1]V, inciso p) (OP)'!W73</f>
        <v xml:space="preserve">Constructora y Desarrolladora Barba y Asociados, S. A. de C. V. </v>
      </c>
      <c r="M113" s="6" t="str">
        <f>'[1]V, inciso p) (OP)'!X73</f>
        <v>CDB0506068Z4</v>
      </c>
      <c r="N113" s="9">
        <f t="shared" si="2"/>
        <v>1331822.1599999999</v>
      </c>
      <c r="O113" s="10" t="s">
        <v>40</v>
      </c>
      <c r="P113" s="6" t="s">
        <v>684</v>
      </c>
      <c r="Q113" s="9">
        <f>N113/177</f>
        <v>7524.4189830508467</v>
      </c>
      <c r="R113" s="6" t="s">
        <v>42</v>
      </c>
      <c r="S113" s="12">
        <v>4462</v>
      </c>
      <c r="T113" s="8" t="s">
        <v>43</v>
      </c>
      <c r="U113" s="6" t="s">
        <v>565</v>
      </c>
      <c r="V113" s="7">
        <f>'[1]V, inciso p) (OP)'!AM73</f>
        <v>42657</v>
      </c>
      <c r="W113" s="7">
        <f>'[1]V, inciso p) (OP)'!AN73</f>
        <v>42746</v>
      </c>
      <c r="X113" s="6" t="s">
        <v>681</v>
      </c>
      <c r="Y113" s="6" t="s">
        <v>682</v>
      </c>
      <c r="Z113" s="6" t="s">
        <v>683</v>
      </c>
      <c r="AA113" s="6" t="s">
        <v>40</v>
      </c>
      <c r="AB113" s="6" t="s">
        <v>40</v>
      </c>
    </row>
    <row r="114" spans="1:28" ht="67.5">
      <c r="A114" s="6">
        <v>2016</v>
      </c>
      <c r="B114" s="6" t="s">
        <v>30</v>
      </c>
      <c r="C114" s="8" t="str">
        <f>'[1]V, inciso p) (OP)'!D74</f>
        <v>DOPI-EST-CR-PAV-LP-112-2016</v>
      </c>
      <c r="D114" s="13">
        <f>'[1]V, inciso p) (OP)'!AD74</f>
        <v>42656</v>
      </c>
      <c r="E114" s="8" t="str">
        <f>'[1]V, inciso p) (OP)'!I74</f>
        <v>Construcción de la primera etapa de la calle 20 de Enero de calle Juan Santibañez a Juan Diego con concreto hidráulico en San Juan de Ocotán, incluye: guarniciones, banquetas y alumbrado público, Municipio de Zapopan, Jalisco.</v>
      </c>
      <c r="F114" s="8" t="s">
        <v>669</v>
      </c>
      <c r="G114" s="9">
        <f>'[1]V, inciso p) (OP)'!AG74</f>
        <v>3129979.51</v>
      </c>
      <c r="H114" s="8" t="str">
        <f>'[1]V, inciso p) (OP)'!AS74</f>
        <v>San Juan de Ocotán</v>
      </c>
      <c r="I114" s="6" t="str">
        <f>'[1]V, inciso p) (OP)'!T74</f>
        <v>Omar</v>
      </c>
      <c r="J114" s="6" t="str">
        <f>'[1]V, inciso p) (OP)'!U74</f>
        <v>Mora</v>
      </c>
      <c r="K114" s="6" t="str">
        <f>'[1]V, inciso p) (OP)'!V74</f>
        <v>Montes de Oca</v>
      </c>
      <c r="L114" s="8" t="str">
        <f>'[1]V, inciso p) (OP)'!W74</f>
        <v>Dommont Construcciones, S.A. de C.V.</v>
      </c>
      <c r="M114" s="6" t="str">
        <f>'[1]V, inciso p) (OP)'!X74</f>
        <v>DCO130215C16</v>
      </c>
      <c r="N114" s="9">
        <f t="shared" si="2"/>
        <v>3129979.51</v>
      </c>
      <c r="O114" s="10" t="s">
        <v>40</v>
      </c>
      <c r="P114" s="6" t="s">
        <v>685</v>
      </c>
      <c r="Q114" s="9">
        <f>N114/2130</f>
        <v>1469.4739483568073</v>
      </c>
      <c r="R114" s="6" t="s">
        <v>42</v>
      </c>
      <c r="S114" s="12">
        <v>5581</v>
      </c>
      <c r="T114" s="8" t="s">
        <v>43</v>
      </c>
      <c r="U114" s="6" t="s">
        <v>565</v>
      </c>
      <c r="V114" s="7">
        <f>'[1]V, inciso p) (OP)'!AM74</f>
        <v>42657</v>
      </c>
      <c r="W114" s="7">
        <f>'[1]V, inciso p) (OP)'!AN74</f>
        <v>42776</v>
      </c>
      <c r="X114" s="6" t="s">
        <v>686</v>
      </c>
      <c r="Y114" s="6" t="s">
        <v>687</v>
      </c>
      <c r="Z114" s="6" t="s">
        <v>268</v>
      </c>
      <c r="AA114" s="6" t="s">
        <v>40</v>
      </c>
      <c r="AB114" s="6" t="s">
        <v>40</v>
      </c>
    </row>
    <row r="115" spans="1:28" ht="67.5">
      <c r="A115" s="6">
        <v>2016</v>
      </c>
      <c r="B115" s="6" t="s">
        <v>30</v>
      </c>
      <c r="C115" s="8" t="str">
        <f>'[1]V, inciso p) (OP)'!D75</f>
        <v>DOPI-EST-CR-PAV-LP-113-2016</v>
      </c>
      <c r="D115" s="13">
        <f>'[1]V, inciso p) (OP)'!AD75</f>
        <v>42656</v>
      </c>
      <c r="E115" s="8" t="str">
        <f>'[1]V, inciso p) (OP)'!I75</f>
        <v>Construcción de la primera etapa de la calle Juan Diego de calle Hidalgo a calle Parral con concreto hidráulico en San Juan de Ocotán, incluye: guarniciones, banquetas y alumbrado público, Municipio de Zapopan, Jalisco.</v>
      </c>
      <c r="F115" s="8" t="s">
        <v>669</v>
      </c>
      <c r="G115" s="9">
        <f>'[1]V, inciso p) (OP)'!AG75</f>
        <v>1410912.86</v>
      </c>
      <c r="H115" s="8" t="str">
        <f>'[1]V, inciso p) (OP)'!AS75</f>
        <v>San Juan de Ocotán</v>
      </c>
      <c r="I115" s="6" t="str">
        <f>'[1]V, inciso p) (OP)'!T75</f>
        <v>Julio Eduardo</v>
      </c>
      <c r="J115" s="6" t="str">
        <f>'[1]V, inciso p) (OP)'!U75</f>
        <v>López</v>
      </c>
      <c r="K115" s="6" t="str">
        <f>'[1]V, inciso p) (OP)'!V75</f>
        <v>Pérez</v>
      </c>
      <c r="L115" s="8" t="str">
        <f>'[1]V, inciso p) (OP)'!W75</f>
        <v>Proyectos e Insumos Industriales Jelp, S.A. de C.V.</v>
      </c>
      <c r="M115" s="6" t="str">
        <f>'[1]V, inciso p) (OP)'!X75</f>
        <v>PEI020208RW0</v>
      </c>
      <c r="N115" s="9">
        <f t="shared" si="2"/>
        <v>1410912.86</v>
      </c>
      <c r="O115" s="10" t="s">
        <v>40</v>
      </c>
      <c r="P115" s="6" t="s">
        <v>688</v>
      </c>
      <c r="Q115" s="9">
        <f>N115/846</f>
        <v>1667.7456973995272</v>
      </c>
      <c r="R115" s="6" t="s">
        <v>42</v>
      </c>
      <c r="S115" s="12">
        <v>5581</v>
      </c>
      <c r="T115" s="8" t="s">
        <v>43</v>
      </c>
      <c r="U115" s="6" t="s">
        <v>565</v>
      </c>
      <c r="V115" s="7">
        <f>'[1]V, inciso p) (OP)'!AM75</f>
        <v>42657</v>
      </c>
      <c r="W115" s="7">
        <f>'[1]V, inciso p) (OP)'!AN75</f>
        <v>42776</v>
      </c>
      <c r="X115" s="6" t="s">
        <v>686</v>
      </c>
      <c r="Y115" s="6" t="s">
        <v>687</v>
      </c>
      <c r="Z115" s="6" t="s">
        <v>268</v>
      </c>
      <c r="AA115" s="6" t="s">
        <v>40</v>
      </c>
      <c r="AB115" s="6" t="s">
        <v>40</v>
      </c>
    </row>
    <row r="116" spans="1:28" ht="67.5">
      <c r="A116" s="6">
        <v>2016</v>
      </c>
      <c r="B116" s="6" t="s">
        <v>30</v>
      </c>
      <c r="C116" s="8" t="str">
        <f>'[1]V, inciso p) (OP)'!D76</f>
        <v>DOPI-EST-CR-PAV-LP-114-2016</v>
      </c>
      <c r="D116" s="13">
        <f>'[1]V, inciso p) (OP)'!AD76</f>
        <v>42656</v>
      </c>
      <c r="E116" s="8" t="str">
        <f>'[1]V, inciso p) (OP)'!I76</f>
        <v>Construcción de la primera etapa de la calle Hidalgo de calle Juan Santibañez a calle Parral 3, con concreto hidráulico en San Juan de Ocotán, incluye: guarniciones, banquetas y alumbrado público, Municipio de Zapopan, Jalisco.</v>
      </c>
      <c r="F116" s="8" t="s">
        <v>669</v>
      </c>
      <c r="G116" s="9">
        <f>'[1]V, inciso p) (OP)'!AG76</f>
        <v>5333222.53</v>
      </c>
      <c r="H116" s="8" t="str">
        <f>'[1]V, inciso p) (OP)'!AS76</f>
        <v>San Juan de Ocotán</v>
      </c>
      <c r="I116" s="6" t="str">
        <f>'[1]V, inciso p) (OP)'!T76</f>
        <v>Jorge Hugo</v>
      </c>
      <c r="J116" s="6" t="str">
        <f>'[1]V, inciso p) (OP)'!U76</f>
        <v>López</v>
      </c>
      <c r="K116" s="6" t="str">
        <f>'[1]V, inciso p) (OP)'!V76</f>
        <v>Pérez</v>
      </c>
      <c r="L116" s="8" t="str">
        <f>'[1]V, inciso p) (OP)'!W76</f>
        <v>Control de Calidad de Materiales San Agustin de Hipona, S.A. de C.V.</v>
      </c>
      <c r="M116" s="6" t="str">
        <f>'[1]V, inciso p) (OP)'!X76</f>
        <v>CCM130405AY1</v>
      </c>
      <c r="N116" s="9">
        <f t="shared" si="2"/>
        <v>5333222.53</v>
      </c>
      <c r="O116" s="10" t="s">
        <v>40</v>
      </c>
      <c r="P116" s="6" t="s">
        <v>689</v>
      </c>
      <c r="Q116" s="9">
        <f>N116/3876</f>
        <v>1375.9604050567596</v>
      </c>
      <c r="R116" s="6" t="s">
        <v>42</v>
      </c>
      <c r="S116" s="12">
        <v>5581</v>
      </c>
      <c r="T116" s="8" t="s">
        <v>43</v>
      </c>
      <c r="U116" s="6" t="s">
        <v>565</v>
      </c>
      <c r="V116" s="7">
        <f>'[1]V, inciso p) (OP)'!AM76</f>
        <v>42657</v>
      </c>
      <c r="W116" s="7">
        <f>'[1]V, inciso p) (OP)'!AN76</f>
        <v>42776</v>
      </c>
      <c r="X116" s="6" t="s">
        <v>686</v>
      </c>
      <c r="Y116" s="6" t="s">
        <v>687</v>
      </c>
      <c r="Z116" s="6" t="s">
        <v>268</v>
      </c>
      <c r="AA116" s="6" t="s">
        <v>40</v>
      </c>
      <c r="AB116" s="6" t="s">
        <v>40</v>
      </c>
    </row>
    <row r="117" spans="1:28" ht="81">
      <c r="A117" s="6">
        <v>2016</v>
      </c>
      <c r="B117" s="6" t="s">
        <v>30</v>
      </c>
      <c r="C117" s="8" t="str">
        <f>'[1]V, inciso p) (OP)'!D77</f>
        <v>DOPI-EST-CR-PAV-LP-115-2016</v>
      </c>
      <c r="D117" s="13">
        <f>'[1]V, inciso p) (OP)'!AD77</f>
        <v>42656</v>
      </c>
      <c r="E117" s="8" t="str">
        <f>'[1]V, inciso p) (OP)'!I77</f>
        <v>Construcción de la primera etapa de la calle Iturbide de la calle Abasolo hacia Jardines de las Bugambilias con concreto hidráulico en Santa Ana Tepetitlan, incluye: guarniciones, banquetas, red de agua potable, alcantarillado y alumbrado público, Municipio de Zapopan, Jalisco.</v>
      </c>
      <c r="F117" s="8" t="s">
        <v>669</v>
      </c>
      <c r="G117" s="9">
        <f>'[1]V, inciso p) (OP)'!AG77</f>
        <v>1012796.53</v>
      </c>
      <c r="H117" s="8" t="str">
        <f>'[1]V, inciso p) (OP)'!AS77</f>
        <v>Santa Ana Tepetitlán</v>
      </c>
      <c r="I117" s="6" t="str">
        <f>'[1]V, inciso p) (OP)'!T77</f>
        <v>Luis Armando</v>
      </c>
      <c r="J117" s="6" t="str">
        <f>'[1]V, inciso p) (OP)'!U77</f>
        <v>Linares</v>
      </c>
      <c r="K117" s="6" t="str">
        <f>'[1]V, inciso p) (OP)'!V77</f>
        <v>Cacho</v>
      </c>
      <c r="L117" s="8" t="str">
        <f>'[1]V, inciso p) (OP)'!W77</f>
        <v>Urbanizadora y Constructora Roal, S.A. de C.V.</v>
      </c>
      <c r="M117" s="6" t="str">
        <f>'[1]V, inciso p) (OP)'!X77</f>
        <v>URC160310857</v>
      </c>
      <c r="N117" s="9">
        <f t="shared" si="2"/>
        <v>1012796.53</v>
      </c>
      <c r="O117" s="10" t="s">
        <v>40</v>
      </c>
      <c r="P117" s="6" t="s">
        <v>690</v>
      </c>
      <c r="Q117" s="9">
        <f>N117/420</f>
        <v>2411.4203095238095</v>
      </c>
      <c r="R117" s="6" t="s">
        <v>42</v>
      </c>
      <c r="S117" s="12">
        <v>5780</v>
      </c>
      <c r="T117" s="8" t="s">
        <v>43</v>
      </c>
      <c r="U117" s="6" t="s">
        <v>565</v>
      </c>
      <c r="V117" s="7">
        <f>'[1]V, inciso p) (OP)'!AM77</f>
        <v>42657</v>
      </c>
      <c r="W117" s="7">
        <f>'[1]V, inciso p) (OP)'!AN77</f>
        <v>42776</v>
      </c>
      <c r="X117" s="6" t="s">
        <v>536</v>
      </c>
      <c r="Y117" s="6" t="s">
        <v>383</v>
      </c>
      <c r="Z117" s="6" t="s">
        <v>300</v>
      </c>
      <c r="AA117" s="6" t="s">
        <v>40</v>
      </c>
      <c r="AB117" s="6" t="s">
        <v>40</v>
      </c>
    </row>
    <row r="118" spans="1:28" ht="81">
      <c r="A118" s="6">
        <v>2016</v>
      </c>
      <c r="B118" s="6" t="s">
        <v>30</v>
      </c>
      <c r="C118" s="8" t="str">
        <f>'[1]V, inciso p) (OP)'!D78</f>
        <v>DOPI-EST-CR-PAV-LP-116-2016</v>
      </c>
      <c r="D118" s="13">
        <f>'[1]V, inciso p) (OP)'!AD78</f>
        <v>42656</v>
      </c>
      <c r="E118" s="8" t="str">
        <f>'[1]V, inciso p) (OP)'!I78</f>
        <v>Construcción de la primera etapa de la calle Abasolo de la calle Matamoros a calle 5 de Mayo con concreto hidráulico en Santa Ana Tepetitlan, incluye: guarniciones, banquetas, red de agua potable, alcantarillado y alumbrado público, Municipio de Zapopan, Jalisco.</v>
      </c>
      <c r="F118" s="8" t="s">
        <v>669</v>
      </c>
      <c r="G118" s="9">
        <f>'[1]V, inciso p) (OP)'!AG78</f>
        <v>6796856.54</v>
      </c>
      <c r="H118" s="8" t="str">
        <f>'[1]V, inciso p) (OP)'!AS78</f>
        <v>Santa Ana Tepetitlán</v>
      </c>
      <c r="I118" s="6" t="str">
        <f>'[1]V, inciso p) (OP)'!T78</f>
        <v>Julio Eduardo</v>
      </c>
      <c r="J118" s="6" t="str">
        <f>'[1]V, inciso p) (OP)'!U78</f>
        <v>López</v>
      </c>
      <c r="K118" s="6" t="str">
        <f>'[1]V, inciso p) (OP)'!V78</f>
        <v>Pérez</v>
      </c>
      <c r="L118" s="8" t="str">
        <f>'[1]V, inciso p) (OP)'!W78</f>
        <v>Proyectos e Insumos Industriales Jelp, S.A. de C.V.</v>
      </c>
      <c r="M118" s="6" t="str">
        <f>'[1]V, inciso p) (OP)'!X78</f>
        <v>PEI020208RW0</v>
      </c>
      <c r="N118" s="9">
        <f t="shared" si="2"/>
        <v>6796856.54</v>
      </c>
      <c r="O118" s="10" t="s">
        <v>40</v>
      </c>
      <c r="P118" s="6" t="s">
        <v>691</v>
      </c>
      <c r="Q118" s="9">
        <f>N118/3503</f>
        <v>1940.29590065658</v>
      </c>
      <c r="R118" s="6" t="s">
        <v>42</v>
      </c>
      <c r="S118" s="12">
        <v>5780</v>
      </c>
      <c r="T118" s="8" t="s">
        <v>43</v>
      </c>
      <c r="U118" s="6" t="s">
        <v>565</v>
      </c>
      <c r="V118" s="7">
        <f>'[1]V, inciso p) (OP)'!AM78</f>
        <v>42657</v>
      </c>
      <c r="W118" s="7">
        <f>'[1]V, inciso p) (OP)'!AN78</f>
        <v>42776</v>
      </c>
      <c r="X118" s="6" t="s">
        <v>536</v>
      </c>
      <c r="Y118" s="6" t="s">
        <v>383</v>
      </c>
      <c r="Z118" s="6" t="s">
        <v>300</v>
      </c>
      <c r="AA118" s="6" t="s">
        <v>40</v>
      </c>
      <c r="AB118" s="6" t="s">
        <v>40</v>
      </c>
    </row>
    <row r="119" spans="1:28" ht="81">
      <c r="A119" s="6">
        <v>2016</v>
      </c>
      <c r="B119" s="6" t="s">
        <v>30</v>
      </c>
      <c r="C119" s="8" t="str">
        <f>'[1]V, inciso p) (OP)'!D79</f>
        <v>DOPI-EST-CR-PAV-LP-117-2016</v>
      </c>
      <c r="D119" s="13">
        <f>'[1]V, inciso p) (OP)'!AD79</f>
        <v>42656</v>
      </c>
      <c r="E119" s="8" t="str">
        <f>'[1]V, inciso p) (OP)'!I79</f>
        <v>Construcción de la primera etapa de la calle Morelos de la calle Matamoros a ingreso a atrio de iglesia con concreto hidráulico en Santa Ana Tepetitlan, incluye: guarniciones, banquetas, red de agua potable, alcantarillado y alumbrado público, Municipio de Zapopan, Jalisco.</v>
      </c>
      <c r="F119" s="8" t="s">
        <v>669</v>
      </c>
      <c r="G119" s="9">
        <f>'[1]V, inciso p) (OP)'!AG79</f>
        <v>1329275.32</v>
      </c>
      <c r="H119" s="8" t="str">
        <f>'[1]V, inciso p) (OP)'!AS79</f>
        <v>Santa Ana Tepetitlán</v>
      </c>
      <c r="I119" s="6" t="str">
        <f>'[1]V, inciso p) (OP)'!T79</f>
        <v>Bernardo</v>
      </c>
      <c r="J119" s="6" t="str">
        <f>'[1]V, inciso p) (OP)'!U79</f>
        <v>Saenz</v>
      </c>
      <c r="K119" s="6" t="str">
        <f>'[1]V, inciso p) (OP)'!V79</f>
        <v>Barba</v>
      </c>
      <c r="L119" s="8" t="str">
        <f>'[1]V, inciso p) (OP)'!W79</f>
        <v>Grupo Edificador Mayab, S.A. de C.V.</v>
      </c>
      <c r="M119" s="6" t="str">
        <f>'[1]V, inciso p) (OP)'!X79</f>
        <v>GEM070112PX8</v>
      </c>
      <c r="N119" s="9">
        <f t="shared" si="2"/>
        <v>1329275.32</v>
      </c>
      <c r="O119" s="10" t="s">
        <v>40</v>
      </c>
      <c r="P119" s="6" t="s">
        <v>692</v>
      </c>
      <c r="Q119" s="9">
        <f>N119/720</f>
        <v>1846.2157222222222</v>
      </c>
      <c r="R119" s="6" t="s">
        <v>42</v>
      </c>
      <c r="S119" s="12">
        <v>3736</v>
      </c>
      <c r="T119" s="8" t="s">
        <v>43</v>
      </c>
      <c r="U119" s="6" t="s">
        <v>565</v>
      </c>
      <c r="V119" s="7">
        <f>'[1]V, inciso p) (OP)'!AM79</f>
        <v>42657</v>
      </c>
      <c r="W119" s="7">
        <f>'[1]V, inciso p) (OP)'!AN79</f>
        <v>42776</v>
      </c>
      <c r="X119" s="6" t="s">
        <v>536</v>
      </c>
      <c r="Y119" s="6" t="s">
        <v>383</v>
      </c>
      <c r="Z119" s="6" t="s">
        <v>300</v>
      </c>
      <c r="AA119" s="6" t="s">
        <v>40</v>
      </c>
      <c r="AB119" s="6" t="s">
        <v>40</v>
      </c>
    </row>
    <row r="120" spans="1:28" ht="81">
      <c r="A120" s="6">
        <v>2016</v>
      </c>
      <c r="B120" s="6" t="s">
        <v>30</v>
      </c>
      <c r="C120" s="8" t="str">
        <f>'[1]V, inciso p) (OP)'!D80</f>
        <v>DOPI-EST-CR-PAV-LP-118-2016</v>
      </c>
      <c r="D120" s="13">
        <f>'[1]V, inciso p) (OP)'!AD80</f>
        <v>42656</v>
      </c>
      <c r="E120" s="8" t="str">
        <f>'[1]V, inciso p) (OP)'!I80</f>
        <v>Construcción de la primera etapa de la calle Privada Morelos de calle Morelos a cerrada con concreto hidráulico en Santa Ana Tepetitlan, incluye: guarniciones, banquetas, red de agua potable, alcantarillado y alumbrado público, Municipio de Zapopan, Jalisco.</v>
      </c>
      <c r="F120" s="8" t="s">
        <v>669</v>
      </c>
      <c r="G120" s="9">
        <f>'[1]V, inciso p) (OP)'!AG80</f>
        <v>670861.71</v>
      </c>
      <c r="H120" s="8" t="str">
        <f>'[1]V, inciso p) (OP)'!AS80</f>
        <v>Santa Ana Tepetitlán</v>
      </c>
      <c r="I120" s="6" t="str">
        <f>'[1]V, inciso p) (OP)'!T80</f>
        <v>Bernardo</v>
      </c>
      <c r="J120" s="6" t="str">
        <f>'[1]V, inciso p) (OP)'!U80</f>
        <v>Saenz</v>
      </c>
      <c r="K120" s="6" t="str">
        <f>'[1]V, inciso p) (OP)'!V80</f>
        <v>Barba</v>
      </c>
      <c r="L120" s="8" t="str">
        <f>'[1]V, inciso p) (OP)'!W80</f>
        <v>Grupo Edificador Mayab, S.A. de C.V.</v>
      </c>
      <c r="M120" s="6" t="str">
        <f>'[1]V, inciso p) (OP)'!X80</f>
        <v>GEM070112PX8</v>
      </c>
      <c r="N120" s="9">
        <f t="shared" si="2"/>
        <v>670861.71</v>
      </c>
      <c r="O120" s="10" t="s">
        <v>40</v>
      </c>
      <c r="P120" s="6" t="s">
        <v>693</v>
      </c>
      <c r="Q120" s="9">
        <f>N120/240</f>
        <v>2795.2571249999996</v>
      </c>
      <c r="R120" s="6" t="s">
        <v>42</v>
      </c>
      <c r="S120" s="12">
        <v>3736</v>
      </c>
      <c r="T120" s="8" t="s">
        <v>43</v>
      </c>
      <c r="U120" s="6" t="s">
        <v>565</v>
      </c>
      <c r="V120" s="7">
        <f>'[1]V, inciso p) (OP)'!AM80</f>
        <v>42657</v>
      </c>
      <c r="W120" s="7">
        <f>'[1]V, inciso p) (OP)'!AN80</f>
        <v>42776</v>
      </c>
      <c r="X120" s="6" t="s">
        <v>536</v>
      </c>
      <c r="Y120" s="6" t="s">
        <v>383</v>
      </c>
      <c r="Z120" s="6" t="s">
        <v>300</v>
      </c>
      <c r="AA120" s="6" t="s">
        <v>40</v>
      </c>
      <c r="AB120" s="6" t="s">
        <v>40</v>
      </c>
    </row>
    <row r="121" spans="1:28" ht="54">
      <c r="A121" s="6">
        <v>2016</v>
      </c>
      <c r="B121" s="6" t="s">
        <v>30</v>
      </c>
      <c r="C121" s="8" t="str">
        <f>'[1]V, inciso p) (OP)'!D81</f>
        <v>DOPI-EST-FC-PAV-LP-119-2016</v>
      </c>
      <c r="D121" s="13">
        <f>'[1]V, inciso p) (OP)'!AD81</f>
        <v>42656</v>
      </c>
      <c r="E121" s="8" t="str">
        <f>'[1]V, inciso p) (OP)'!I81</f>
        <v>Primera etapa de reencarpetamiento de Circuito Madrigal, de Av. Patria a Circuito. Madrigal, Municipio de Zapopan, Jalisco.</v>
      </c>
      <c r="F121" s="8" t="s">
        <v>669</v>
      </c>
      <c r="G121" s="9">
        <f>'[1]V, inciso p) (OP)'!AG81</f>
        <v>8383533</v>
      </c>
      <c r="H121" s="8" t="str">
        <f>'[1]V, inciso p) (OP)'!AS81</f>
        <v>Colonia Santa Isabel</v>
      </c>
      <c r="I121" s="6" t="str">
        <f>'[1]V, inciso p) (OP)'!T81</f>
        <v>Ángel Salomón</v>
      </c>
      <c r="J121" s="6" t="str">
        <f>'[1]V, inciso p) (OP)'!U81</f>
        <v>Rincón</v>
      </c>
      <c r="K121" s="6" t="str">
        <f>'[1]V, inciso p) (OP)'!V81</f>
        <v>De la Rosa</v>
      </c>
      <c r="L121" s="8" t="str">
        <f>'[1]V, inciso p) (OP)'!W81</f>
        <v>Aro Asfaltos y Riegos de Occidente, S.A. de C.V.</v>
      </c>
      <c r="M121" s="6" t="str">
        <f>'[1]V, inciso p) (OP)'!X81</f>
        <v>AAR120507VA9</v>
      </c>
      <c r="N121" s="9">
        <f t="shared" si="2"/>
        <v>8383533</v>
      </c>
      <c r="O121" s="10" t="s">
        <v>40</v>
      </c>
      <c r="P121" s="6" t="s">
        <v>694</v>
      </c>
      <c r="Q121" s="9">
        <f>N121/16290</f>
        <v>514.6429097605893</v>
      </c>
      <c r="R121" s="6" t="s">
        <v>42</v>
      </c>
      <c r="S121" s="12">
        <v>6077</v>
      </c>
      <c r="T121" s="8" t="s">
        <v>43</v>
      </c>
      <c r="U121" s="6" t="s">
        <v>565</v>
      </c>
      <c r="V121" s="7">
        <f>'[1]V, inciso p) (OP)'!AM81</f>
        <v>42657</v>
      </c>
      <c r="W121" s="7">
        <f>'[1]V, inciso p) (OP)'!AN81</f>
        <v>42776</v>
      </c>
      <c r="X121" s="6" t="s">
        <v>586</v>
      </c>
      <c r="Y121" s="6" t="s">
        <v>404</v>
      </c>
      <c r="Z121" s="6" t="s">
        <v>405</v>
      </c>
      <c r="AA121" s="22" t="s">
        <v>940</v>
      </c>
      <c r="AB121" s="6" t="s">
        <v>40</v>
      </c>
    </row>
    <row r="122" spans="1:28" ht="54">
      <c r="A122" s="6">
        <v>2016</v>
      </c>
      <c r="B122" s="6" t="s">
        <v>30</v>
      </c>
      <c r="C122" s="8" t="str">
        <f>'[1]V, inciso p) (OP)'!D82</f>
        <v>DOPI-EST-FC-PAV-LP-120-2016</v>
      </c>
      <c r="D122" s="13">
        <f>'[1]V, inciso p) (OP)'!AD82</f>
        <v>42656</v>
      </c>
      <c r="E122" s="8" t="str">
        <f>'[1]V, inciso p) (OP)'!I82</f>
        <v>Primera etapa de modernización de Prolongación Av. Guadalupe, de Prolongación Mariano Otero al Arroyo El Garabato, Municipio de Zapopan, Jalisco.</v>
      </c>
      <c r="F122" s="8" t="s">
        <v>669</v>
      </c>
      <c r="G122" s="9">
        <f>'[1]V, inciso p) (OP)'!AG82</f>
        <v>6899699.6900000004</v>
      </c>
      <c r="H122" s="8" t="str">
        <f>'[1]V, inciso p) (OP)'!AS82</f>
        <v>Colonia El Fortín</v>
      </c>
      <c r="I122" s="6" t="str">
        <f>'[1]V, inciso p) (OP)'!T82</f>
        <v>Sergio Cesar</v>
      </c>
      <c r="J122" s="6" t="str">
        <f>'[1]V, inciso p) (OP)'!U82</f>
        <v>Diaz</v>
      </c>
      <c r="K122" s="6" t="str">
        <f>'[1]V, inciso p) (OP)'!V82</f>
        <v>Quiroz</v>
      </c>
      <c r="L122" s="8" t="str">
        <f>'[1]V, inciso p) (OP)'!W82</f>
        <v>Grupo Unicreto de México S.A. de C.V.</v>
      </c>
      <c r="M122" s="6" t="str">
        <f>'[1]V, inciso p) (OP)'!X82</f>
        <v>GUM111201IA5</v>
      </c>
      <c r="N122" s="9">
        <f t="shared" si="2"/>
        <v>6899699.6900000004</v>
      </c>
      <c r="O122" s="10" t="s">
        <v>40</v>
      </c>
      <c r="P122" s="6" t="s">
        <v>695</v>
      </c>
      <c r="Q122" s="9">
        <f>N122/4814</f>
        <v>1433.2571022019113</v>
      </c>
      <c r="R122" s="6" t="s">
        <v>42</v>
      </c>
      <c r="S122" s="12">
        <v>5783</v>
      </c>
      <c r="T122" s="8" t="s">
        <v>43</v>
      </c>
      <c r="U122" s="6" t="s">
        <v>565</v>
      </c>
      <c r="V122" s="7">
        <f>'[1]V, inciso p) (OP)'!AM82</f>
        <v>42657</v>
      </c>
      <c r="W122" s="7">
        <f>'[1]V, inciso p) (OP)'!AN82</f>
        <v>42776</v>
      </c>
      <c r="X122" s="6" t="s">
        <v>536</v>
      </c>
      <c r="Y122" s="6" t="s">
        <v>383</v>
      </c>
      <c r="Z122" s="6" t="s">
        <v>300</v>
      </c>
      <c r="AA122" s="6" t="s">
        <v>40</v>
      </c>
      <c r="AB122" s="6" t="s">
        <v>40</v>
      </c>
    </row>
    <row r="123" spans="1:28" ht="54">
      <c r="A123" s="6">
        <v>2016</v>
      </c>
      <c r="B123" s="6" t="s">
        <v>30</v>
      </c>
      <c r="C123" s="8" t="str">
        <f>'[1]V, inciso p) (OP)'!D83</f>
        <v>DOPI-EST-FC-PAV-LP-121-2016</v>
      </c>
      <c r="D123" s="13">
        <f>'[1]V, inciso p) (OP)'!AD83</f>
        <v>42685</v>
      </c>
      <c r="E123" s="8" t="str">
        <f>'[1]V, inciso p) (OP)'!I83</f>
        <v>Primera etapa de reencarpetamiento y sustitución de losas de la Av. Nicolás Copérnico- Av. Ladrón de Guevara, de Av. Moctezuma a Av. Mariano Otero, Municipio de Zapopan, Jalisco.</v>
      </c>
      <c r="F123" s="8" t="s">
        <v>669</v>
      </c>
      <c r="G123" s="9">
        <f>'[1]V, inciso p) (OP)'!AG83</f>
        <v>4854770.4400000004</v>
      </c>
      <c r="H123" s="8" t="str">
        <f>'[1]V, inciso p) (OP)'!AS83</f>
        <v>Colonia Paseos del Sol</v>
      </c>
      <c r="I123" s="6" t="str">
        <f>'[1]V, inciso p) (OP)'!T83</f>
        <v>Mario</v>
      </c>
      <c r="J123" s="6" t="str">
        <f>'[1]V, inciso p) (OP)'!U83</f>
        <v>Beltrán</v>
      </c>
      <c r="K123" s="6" t="str">
        <f>'[1]V, inciso p) (OP)'!V83</f>
        <v>Rodríguez</v>
      </c>
      <c r="L123" s="8" t="str">
        <f>'[1]V, inciso p) (OP)'!W83</f>
        <v xml:space="preserve">Constructora y Desarrolladora Barba y Asociados, S. A. de C. V. </v>
      </c>
      <c r="M123" s="6" t="str">
        <f>'[1]V, inciso p) (OP)'!X83</f>
        <v>CDB0506068Z4</v>
      </c>
      <c r="N123" s="9">
        <f t="shared" si="2"/>
        <v>4854770.4400000004</v>
      </c>
      <c r="O123" s="10" t="s">
        <v>40</v>
      </c>
      <c r="P123" s="10" t="s">
        <v>696</v>
      </c>
      <c r="Q123" s="11">
        <f>N123/3015</f>
        <v>1610.2057844112771</v>
      </c>
      <c r="R123" s="10" t="s">
        <v>42</v>
      </c>
      <c r="S123" s="14">
        <v>22852</v>
      </c>
      <c r="T123" s="8" t="s">
        <v>43</v>
      </c>
      <c r="U123" s="6" t="s">
        <v>565</v>
      </c>
      <c r="V123" s="7">
        <f>'[1]V, inciso p) (OP)'!AM83</f>
        <v>42688</v>
      </c>
      <c r="W123" s="7">
        <f>'[1]V, inciso p) (OP)'!AN83</f>
        <v>42807</v>
      </c>
      <c r="X123" s="6" t="s">
        <v>671</v>
      </c>
      <c r="Y123" s="6" t="s">
        <v>334</v>
      </c>
      <c r="Z123" s="6" t="s">
        <v>133</v>
      </c>
      <c r="AA123" s="6" t="s">
        <v>40</v>
      </c>
      <c r="AB123" s="6" t="s">
        <v>40</v>
      </c>
    </row>
    <row r="124" spans="1:28" ht="54">
      <c r="A124" s="6">
        <v>2016</v>
      </c>
      <c r="B124" s="6" t="s">
        <v>30</v>
      </c>
      <c r="C124" s="8" t="str">
        <f>'[1]V, inciso p) (OP)'!D84</f>
        <v>DOPI-EST-FC-PAV-LP-122-2016</v>
      </c>
      <c r="D124" s="13">
        <f>'[1]V, inciso p) (OP)'!AD84</f>
        <v>42685</v>
      </c>
      <c r="E124" s="8" t="str">
        <f>'[1]V, inciso p) (OP)'!I84</f>
        <v>Primera etapa de reencarpetamiento y sustitución de losas de Av. Valle de Atemajac, de Av. López Mateos a Sierra de Tapalpa, Municipio de Zapopan, Jalisco.</v>
      </c>
      <c r="F124" s="8" t="s">
        <v>669</v>
      </c>
      <c r="G124" s="9">
        <f>'[1]V, inciso p) (OP)'!AG84</f>
        <v>4741926.8099999996</v>
      </c>
      <c r="H124" s="8" t="str">
        <f>'[1]V, inciso p) (OP)'!AS84</f>
        <v>Colonia Las Aguilas</v>
      </c>
      <c r="I124" s="6" t="str">
        <f>'[1]V, inciso p) (OP)'!T84</f>
        <v>Mario</v>
      </c>
      <c r="J124" s="6" t="str">
        <f>'[1]V, inciso p) (OP)'!U84</f>
        <v>Beltrán</v>
      </c>
      <c r="K124" s="6" t="str">
        <f>'[1]V, inciso p) (OP)'!V84</f>
        <v>Rodríguez</v>
      </c>
      <c r="L124" s="8" t="str">
        <f>'[1]V, inciso p) (OP)'!W84</f>
        <v xml:space="preserve">Constructora y Desarrolladora Barba y Asociados, S. A. de C. V. </v>
      </c>
      <c r="M124" s="6" t="str">
        <f>'[1]V, inciso p) (OP)'!X84</f>
        <v>CDB0506068Z4</v>
      </c>
      <c r="N124" s="9">
        <f t="shared" si="2"/>
        <v>4741926.8099999996</v>
      </c>
      <c r="O124" s="10" t="s">
        <v>40</v>
      </c>
      <c r="P124" s="10" t="s">
        <v>697</v>
      </c>
      <c r="Q124" s="11">
        <f>N124/6069</f>
        <v>781.33577360355901</v>
      </c>
      <c r="R124" s="10" t="s">
        <v>42</v>
      </c>
      <c r="S124" s="14">
        <v>16486</v>
      </c>
      <c r="T124" s="8" t="s">
        <v>43</v>
      </c>
      <c r="U124" s="6" t="s">
        <v>565</v>
      </c>
      <c r="V124" s="7">
        <f>'[1]V, inciso p) (OP)'!AM84</f>
        <v>42688</v>
      </c>
      <c r="W124" s="7">
        <f>'[1]V, inciso p) (OP)'!AN84</f>
        <v>42807</v>
      </c>
      <c r="X124" s="6" t="s">
        <v>671</v>
      </c>
      <c r="Y124" s="6" t="s">
        <v>334</v>
      </c>
      <c r="Z124" s="6" t="s">
        <v>133</v>
      </c>
      <c r="AA124" s="6" t="s">
        <v>40</v>
      </c>
      <c r="AB124" s="6" t="s">
        <v>40</v>
      </c>
    </row>
    <row r="125" spans="1:28" ht="54">
      <c r="A125" s="6">
        <v>2016</v>
      </c>
      <c r="B125" s="6" t="s">
        <v>30</v>
      </c>
      <c r="C125" s="8" t="str">
        <f>'[1]V, inciso p) (OP)'!D85</f>
        <v>DOPI-EST-FC-PAV-LP-123-2016</v>
      </c>
      <c r="D125" s="13">
        <f>'[1]V, inciso p) (OP)'!AD85</f>
        <v>42685</v>
      </c>
      <c r="E125" s="8" t="str">
        <f>'[1]V, inciso p) (OP)'!I85</f>
        <v>Construcción de nueva celda para la disposición de residuos, primera etapa, en el vertedero de basura Picachos, Municipio de Zapopan, Jalisco</v>
      </c>
      <c r="F125" s="8" t="s">
        <v>669</v>
      </c>
      <c r="G125" s="9">
        <f>'[1]V, inciso p) (OP)'!AG85</f>
        <v>5873571.75</v>
      </c>
      <c r="H125" s="8" t="str">
        <f>'[1]V, inciso p) (OP)'!AS85</f>
        <v>Relleno Sanitario de Picachos</v>
      </c>
      <c r="I125" s="6" t="str">
        <f>'[1]V, inciso p) (OP)'!T85</f>
        <v>Jesús David</v>
      </c>
      <c r="J125" s="6" t="str">
        <f>'[1]V, inciso p) (OP)'!U85</f>
        <v>Garza</v>
      </c>
      <c r="K125" s="6" t="str">
        <f>'[1]V, inciso p) (OP)'!V85</f>
        <v>Garcia</v>
      </c>
      <c r="L125" s="8" t="str">
        <f>'[1]V, inciso p) (OP)'!W85</f>
        <v>Construcciones  Electrificaciones y Arrendamiento de Maquinaria S.A. de C.V.</v>
      </c>
      <c r="M125" s="6" t="str">
        <f>'[1]V, inciso p) (OP)'!X85</f>
        <v>CEA010615GT0</v>
      </c>
      <c r="N125" s="9">
        <f t="shared" si="2"/>
        <v>5873571.75</v>
      </c>
      <c r="O125" s="10" t="s">
        <v>40</v>
      </c>
      <c r="P125" s="10" t="s">
        <v>698</v>
      </c>
      <c r="Q125" s="11">
        <f>N125/14859.03</f>
        <v>395.28635112789999</v>
      </c>
      <c r="R125" s="10" t="s">
        <v>42</v>
      </c>
      <c r="S125" s="14">
        <v>1243756</v>
      </c>
      <c r="T125" s="8" t="s">
        <v>43</v>
      </c>
      <c r="U125" s="6" t="s">
        <v>44</v>
      </c>
      <c r="V125" s="7">
        <f>'[1]V, inciso p) (OP)'!AM85</f>
        <v>42688</v>
      </c>
      <c r="W125" s="7">
        <f>'[1]V, inciso p) (OP)'!AN85</f>
        <v>42504</v>
      </c>
      <c r="X125" s="6" t="s">
        <v>699</v>
      </c>
      <c r="Y125" s="6" t="s">
        <v>513</v>
      </c>
      <c r="Z125" s="6" t="s">
        <v>280</v>
      </c>
      <c r="AA125" s="6" t="s">
        <v>40</v>
      </c>
      <c r="AB125" s="6" t="s">
        <v>40</v>
      </c>
    </row>
    <row r="126" spans="1:28" ht="54">
      <c r="A126" s="6">
        <v>2016</v>
      </c>
      <c r="B126" s="6" t="s">
        <v>30</v>
      </c>
      <c r="C126" s="8" t="str">
        <f>'[1]V, inciso p) (OP)'!D86</f>
        <v>DOPI-MUN-PR-EP-LP-124-2016</v>
      </c>
      <c r="D126" s="13">
        <f>'[1]V, inciso p) (OP)'!AD86</f>
        <v>42685</v>
      </c>
      <c r="E126" s="8" t="str">
        <f>'[1]V, inciso p) (OP)'!I86</f>
        <v>Rehabilitación de instalaciones y construcción de Centro Comunitario dentro de la Unidad Deportiva del Polvorín, Municipio de Zapopan, Jalisco, frente 1.</v>
      </c>
      <c r="F126" s="8" t="s">
        <v>648</v>
      </c>
      <c r="G126" s="9">
        <f>'[1]V, inciso p) (OP)'!AG86</f>
        <v>8434117.6600000001</v>
      </c>
      <c r="H126" s="8" t="str">
        <f>'[1]V, inciso p) (OP)'!AS86</f>
        <v>Colonia Guadalajarita</v>
      </c>
      <c r="I126" s="6" t="str">
        <f>'[1]V, inciso p) (OP)'!T86</f>
        <v xml:space="preserve">Leobardo </v>
      </c>
      <c r="J126" s="6" t="str">
        <f>'[1]V, inciso p) (OP)'!U86</f>
        <v>Preciado</v>
      </c>
      <c r="K126" s="6" t="str">
        <f>'[1]V, inciso p) (OP)'!V86</f>
        <v>Zepeda</v>
      </c>
      <c r="L126" s="8" t="str">
        <f>'[1]V, inciso p) (OP)'!W86</f>
        <v>Consorcio Constructor Adobes, S. A. de C. V.</v>
      </c>
      <c r="M126" s="6" t="str">
        <f>'[1]V, inciso p) (OP)'!X86</f>
        <v>CCA971126QC9</v>
      </c>
      <c r="N126" s="9">
        <f t="shared" si="2"/>
        <v>8434117.6600000001</v>
      </c>
      <c r="O126" s="10" t="s">
        <v>40</v>
      </c>
      <c r="P126" s="10" t="s">
        <v>700</v>
      </c>
      <c r="Q126" s="11">
        <f>N126/816.76</f>
        <v>10326.310862432048</v>
      </c>
      <c r="R126" s="10" t="s">
        <v>42</v>
      </c>
      <c r="S126" s="14">
        <v>2184</v>
      </c>
      <c r="T126" s="8" t="s">
        <v>43</v>
      </c>
      <c r="U126" s="6" t="s">
        <v>565</v>
      </c>
      <c r="V126" s="7">
        <f>'[1]V, inciso p) (OP)'!AM86</f>
        <v>42688</v>
      </c>
      <c r="W126" s="7">
        <f>'[1]V, inciso p) (OP)'!AN86</f>
        <v>42763</v>
      </c>
      <c r="X126" s="6" t="s">
        <v>701</v>
      </c>
      <c r="Y126" s="6" t="s">
        <v>295</v>
      </c>
      <c r="Z126" s="6" t="s">
        <v>702</v>
      </c>
      <c r="AA126" s="6" t="s">
        <v>40</v>
      </c>
      <c r="AB126" s="6" t="s">
        <v>40</v>
      </c>
    </row>
    <row r="127" spans="1:28" ht="54">
      <c r="A127" s="6">
        <v>2016</v>
      </c>
      <c r="B127" s="6" t="s">
        <v>30</v>
      </c>
      <c r="C127" s="8" t="str">
        <f>'[1]V, inciso p) (OP)'!D87</f>
        <v>DOPI-MUN-PR-EP-LP-125-2016</v>
      </c>
      <c r="D127" s="13">
        <f>'[1]V, inciso p) (OP)'!AD87</f>
        <v>42685</v>
      </c>
      <c r="E127" s="8" t="str">
        <f>'[1]V, inciso p) (OP)'!I87</f>
        <v>Rehabilitación de instalaciones y construcción de Centro Comunitario dentro de la Unidad Deportiva del Polvorín, Municipio de Zapopan, Jalisco, frente 2.</v>
      </c>
      <c r="F127" s="8" t="s">
        <v>648</v>
      </c>
      <c r="G127" s="9">
        <f>'[1]V, inciso p) (OP)'!AG87</f>
        <v>5098902.66</v>
      </c>
      <c r="H127" s="8" t="str">
        <f>'[1]V, inciso p) (OP)'!AS87</f>
        <v>Colonia Guadalajarita</v>
      </c>
      <c r="I127" s="6" t="str">
        <f>'[1]V, inciso p) (OP)'!T87</f>
        <v>Marco Antonio</v>
      </c>
      <c r="J127" s="6" t="str">
        <f>'[1]V, inciso p) (OP)'!U87</f>
        <v>Cortés</v>
      </c>
      <c r="K127" s="6" t="str">
        <f>'[1]V, inciso p) (OP)'!V87</f>
        <v>González</v>
      </c>
      <c r="L127" s="8" t="str">
        <f>'[1]V, inciso p) (OP)'!W87</f>
        <v>Grupo Taube de México, S.A. de C.V.</v>
      </c>
      <c r="M127" s="6" t="str">
        <f>'[1]V, inciso p) (OP)'!X87</f>
        <v>GTM050418384</v>
      </c>
      <c r="N127" s="9">
        <f t="shared" si="2"/>
        <v>5098902.66</v>
      </c>
      <c r="O127" s="10" t="s">
        <v>40</v>
      </c>
      <c r="P127" s="10" t="s">
        <v>703</v>
      </c>
      <c r="Q127" s="11">
        <f>N127/4876.75</f>
        <v>1045.5534238991131</v>
      </c>
      <c r="R127" s="10" t="s">
        <v>42</v>
      </c>
      <c r="S127" s="14">
        <v>2184</v>
      </c>
      <c r="T127" s="8" t="s">
        <v>43</v>
      </c>
      <c r="U127" s="6" t="s">
        <v>565</v>
      </c>
      <c r="V127" s="7">
        <f>'[1]V, inciso p) (OP)'!AM87</f>
        <v>42688</v>
      </c>
      <c r="W127" s="7">
        <f>'[1]V, inciso p) (OP)'!AN87</f>
        <v>42763</v>
      </c>
      <c r="X127" s="6" t="s">
        <v>701</v>
      </c>
      <c r="Y127" s="6" t="s">
        <v>295</v>
      </c>
      <c r="Z127" s="6" t="s">
        <v>702</v>
      </c>
      <c r="AA127" s="6" t="s">
        <v>40</v>
      </c>
      <c r="AB127" s="6" t="s">
        <v>40</v>
      </c>
    </row>
    <row r="128" spans="1:28" ht="67.5">
      <c r="A128" s="6">
        <v>2016</v>
      </c>
      <c r="B128" s="6" t="s">
        <v>64</v>
      </c>
      <c r="C128" s="8" t="str">
        <f>'[1]V, inciso o) (OP)'!C58</f>
        <v>DOPI-MUN-RM-BAN-AD-126-2016</v>
      </c>
      <c r="D128" s="13">
        <f>'[1]V, inciso o) (OP)'!V58</f>
        <v>42559</v>
      </c>
      <c r="E128" s="8" t="str">
        <f>'[1]V, inciso o) (OP)'!AA58</f>
        <v>Peatonalización, construcción de banquetas, sustitución de guarniciones, bolardos, complemento de reencarpetado y sello tramo 1 de la Av. Pablo Neruda, municipio de Zapopan, Jalisco</v>
      </c>
      <c r="F128" s="8" t="s">
        <v>184</v>
      </c>
      <c r="G128" s="9">
        <f>'[1]V, inciso o) (OP)'!Y58</f>
        <v>1497870.11</v>
      </c>
      <c r="H128" s="8" t="s">
        <v>704</v>
      </c>
      <c r="I128" s="6" t="str">
        <f>'[1]V, inciso o) (OP)'!M58</f>
        <v>Guillermo</v>
      </c>
      <c r="J128" s="6" t="str">
        <f>'[1]V, inciso o) (OP)'!N58</f>
        <v>Lara</v>
      </c>
      <c r="K128" s="6" t="str">
        <f>'[1]V, inciso o) (OP)'!O58</f>
        <v>Vargas</v>
      </c>
      <c r="L128" s="8" t="str">
        <f>'[1]V, inciso o) (OP)'!P58</f>
        <v>Desarrolladora Glar, S.A. de C.V.</v>
      </c>
      <c r="M128" s="6" t="str">
        <f>'[1]V, inciso o) (OP)'!Q58</f>
        <v>DGL060620SUA</v>
      </c>
      <c r="N128" s="9">
        <f t="shared" si="2"/>
        <v>1497870.11</v>
      </c>
      <c r="O128" s="11">
        <v>1170755.7</v>
      </c>
      <c r="P128" s="6" t="s">
        <v>705</v>
      </c>
      <c r="Q128" s="9">
        <f>N128/1236</f>
        <v>1211.8690210355987</v>
      </c>
      <c r="R128" s="6" t="s">
        <v>42</v>
      </c>
      <c r="S128" s="12">
        <v>5427</v>
      </c>
      <c r="T128" s="8" t="s">
        <v>43</v>
      </c>
      <c r="U128" s="6" t="s">
        <v>44</v>
      </c>
      <c r="V128" s="7">
        <f>'[1]V, inciso o) (OP)'!AD58</f>
        <v>42562</v>
      </c>
      <c r="W128" s="7">
        <f>'[1]V, inciso o) (OP)'!AE58</f>
        <v>42598</v>
      </c>
      <c r="X128" s="6" t="s">
        <v>556</v>
      </c>
      <c r="Y128" s="6" t="s">
        <v>557</v>
      </c>
      <c r="Z128" s="6" t="s">
        <v>558</v>
      </c>
      <c r="AA128" s="6" t="s">
        <v>40</v>
      </c>
      <c r="AB128" s="6" t="s">
        <v>40</v>
      </c>
    </row>
    <row r="129" spans="1:28" ht="67.5">
      <c r="A129" s="6">
        <v>2016</v>
      </c>
      <c r="B129" s="6" t="s">
        <v>64</v>
      </c>
      <c r="C129" s="8" t="str">
        <f>'[1]V, inciso o) (OP)'!C59</f>
        <v>DOPI-MUN-RM-PAV-AD-127-2016</v>
      </c>
      <c r="D129" s="13">
        <f>'[1]V, inciso o) (OP)'!V59</f>
        <v>42559</v>
      </c>
      <c r="E129" s="8" t="str">
        <f>'[1]V, inciso o) (OP)'!AA59</f>
        <v>Peatonalización, construcción de banquetas, sustitución de guarniciones, bolardos, complemento de reencarpetado y sello tramo 2 de la Av. Pablo Neruda, municipio de Zapopan, Jalisco</v>
      </c>
      <c r="F129" s="8" t="s">
        <v>184</v>
      </c>
      <c r="G129" s="9">
        <f>'[1]V, inciso o) (OP)'!Y59</f>
        <v>1439130.15</v>
      </c>
      <c r="H129" s="8" t="s">
        <v>704</v>
      </c>
      <c r="I129" s="6" t="str">
        <f>'[1]V, inciso o) (OP)'!M59</f>
        <v>David Eduardo</v>
      </c>
      <c r="J129" s="6" t="str">
        <f>'[1]V, inciso o) (OP)'!N59</f>
        <v>Lara</v>
      </c>
      <c r="K129" s="6" t="str">
        <f>'[1]V, inciso o) (OP)'!O59</f>
        <v>Ochoa</v>
      </c>
      <c r="L129" s="8" t="str">
        <f>'[1]V, inciso o) (OP)'!P59</f>
        <v xml:space="preserve">Construcciones ICU, S.A. de C.V. </v>
      </c>
      <c r="M129" s="6" t="str">
        <f>'[1]V, inciso o) (OP)'!Q59</f>
        <v>CIC080626ER2</v>
      </c>
      <c r="N129" s="9">
        <f t="shared" si="2"/>
        <v>1439130.15</v>
      </c>
      <c r="O129" s="10" t="s">
        <v>40</v>
      </c>
      <c r="P129" s="6" t="s">
        <v>706</v>
      </c>
      <c r="Q129" s="9">
        <f>N129/1224</f>
        <v>1175.7599264705882</v>
      </c>
      <c r="R129" s="6" t="s">
        <v>42</v>
      </c>
      <c r="S129" s="12">
        <v>5427</v>
      </c>
      <c r="T129" s="8" t="s">
        <v>43</v>
      </c>
      <c r="U129" s="6" t="s">
        <v>44</v>
      </c>
      <c r="V129" s="7">
        <f>'[1]V, inciso o) (OP)'!AD59</f>
        <v>42562</v>
      </c>
      <c r="W129" s="7">
        <f>'[1]V, inciso o) (OP)'!AE59</f>
        <v>42598</v>
      </c>
      <c r="X129" s="6" t="s">
        <v>556</v>
      </c>
      <c r="Y129" s="6" t="s">
        <v>557</v>
      </c>
      <c r="Z129" s="6" t="s">
        <v>558</v>
      </c>
      <c r="AA129" s="6" t="s">
        <v>40</v>
      </c>
      <c r="AB129" s="6" t="s">
        <v>40</v>
      </c>
    </row>
    <row r="130" spans="1:28" ht="81">
      <c r="A130" s="6">
        <v>2016</v>
      </c>
      <c r="B130" s="6" t="s">
        <v>64</v>
      </c>
      <c r="C130" s="8" t="str">
        <f>'[1]V, inciso o) (OP)'!C60</f>
        <v>DOPI-MUN-RM-PAV-AD-128-2016</v>
      </c>
      <c r="D130" s="13">
        <f>'[1]V, inciso o) (OP)'!V60</f>
        <v>42566</v>
      </c>
      <c r="E130" s="8" t="str">
        <f>'[1]V, inciso o) (OP)'!AA60</f>
        <v>Construcción de banquetas, bolardos, sustitución de rejillas pluviales, rehabilitación de bocas de tormenta, aproches y arbolado en el tramo poniente de la Glorieta Venustiano Carranza en la colonia Constitución, municipio de Zapopan, Jalisco</v>
      </c>
      <c r="F130" s="8" t="s">
        <v>184</v>
      </c>
      <c r="G130" s="9">
        <f>'[1]V, inciso o) (OP)'!Y60</f>
        <v>1497520.4400000002</v>
      </c>
      <c r="H130" s="8" t="s">
        <v>707</v>
      </c>
      <c r="I130" s="6" t="str">
        <f>'[1]V, inciso o) (OP)'!M60</f>
        <v>Adalberto</v>
      </c>
      <c r="J130" s="6" t="str">
        <f>'[1]V, inciso o) (OP)'!N60</f>
        <v>Medina</v>
      </c>
      <c r="K130" s="6" t="str">
        <f>'[1]V, inciso o) (OP)'!O60</f>
        <v>Morales</v>
      </c>
      <c r="L130" s="8" t="str">
        <f>'[1]V, inciso o) (OP)'!P60</f>
        <v>Urdem, S.A. de C.V.</v>
      </c>
      <c r="M130" s="6" t="str">
        <f>'[1]V, inciso o) (OP)'!Q60</f>
        <v>URD130830U21</v>
      </c>
      <c r="N130" s="9">
        <f t="shared" si="2"/>
        <v>1497520.4400000002</v>
      </c>
      <c r="O130" s="10" t="s">
        <v>40</v>
      </c>
      <c r="P130" s="6" t="s">
        <v>708</v>
      </c>
      <c r="Q130" s="9">
        <f>N130/621</f>
        <v>2411.4660869565218</v>
      </c>
      <c r="R130" s="6" t="s">
        <v>42</v>
      </c>
      <c r="S130" s="12">
        <v>27515</v>
      </c>
      <c r="T130" s="8" t="s">
        <v>43</v>
      </c>
      <c r="U130" s="6" t="s">
        <v>44</v>
      </c>
      <c r="V130" s="7">
        <f>'[1]V, inciso o) (OP)'!AD60</f>
        <v>42569</v>
      </c>
      <c r="W130" s="7">
        <f>'[1]V, inciso o) (OP)'!AE60</f>
        <v>42613</v>
      </c>
      <c r="X130" s="6" t="s">
        <v>709</v>
      </c>
      <c r="Y130" s="6" t="s">
        <v>651</v>
      </c>
      <c r="Z130" s="6" t="s">
        <v>652</v>
      </c>
      <c r="AA130" s="6" t="s">
        <v>40</v>
      </c>
      <c r="AB130" s="6" t="s">
        <v>40</v>
      </c>
    </row>
    <row r="131" spans="1:28" ht="67.5">
      <c r="A131" s="6">
        <v>2016</v>
      </c>
      <c r="B131" s="6" t="s">
        <v>64</v>
      </c>
      <c r="C131" s="8" t="str">
        <f>'[1]V, inciso o) (OP)'!C61</f>
        <v>DOPI-MUN-RM-PAV-AD-129-2016</v>
      </c>
      <c r="D131" s="13">
        <f>'[1]V, inciso o) (OP)'!V61</f>
        <v>42566</v>
      </c>
      <c r="E131" s="8" t="str">
        <f>'[1]V, inciso o) (OP)'!AA61</f>
        <v>Construcción de banquetas, bolardos, sustitución de rejillas pluviales, rehabilitación de bocas de tormenta, aproches y arbolado en el tramo oriente de la Glorieta Venustiano Carranza en la colonia Constitución, municipio de Zapopan, Jalisco</v>
      </c>
      <c r="F131" s="8" t="s">
        <v>184</v>
      </c>
      <c r="G131" s="9">
        <f>'[1]V, inciso o) (OP)'!Y61</f>
        <v>1499415.54</v>
      </c>
      <c r="H131" s="8" t="s">
        <v>707</v>
      </c>
      <c r="I131" s="6" t="str">
        <f>'[1]V, inciso o) (OP)'!M61</f>
        <v>Arturo Rafael</v>
      </c>
      <c r="J131" s="6" t="str">
        <f>'[1]V, inciso o) (OP)'!N61</f>
        <v>Salazar</v>
      </c>
      <c r="K131" s="6" t="str">
        <f>'[1]V, inciso o) (OP)'!O61</f>
        <v>Martín del Campo</v>
      </c>
      <c r="L131" s="8" t="str">
        <f>'[1]V, inciso o) (OP)'!P61</f>
        <v>Kalmani Constructora, S.A. de C.V.</v>
      </c>
      <c r="M131" s="6" t="str">
        <f>'[1]V, inciso o) (OP)'!Q61</f>
        <v>KCO030922UM6</v>
      </c>
      <c r="N131" s="9">
        <f t="shared" si="2"/>
        <v>1499415.54</v>
      </c>
      <c r="O131" s="10" t="s">
        <v>40</v>
      </c>
      <c r="P131" s="6" t="s">
        <v>710</v>
      </c>
      <c r="Q131" s="9">
        <f>N131/653</f>
        <v>2296.1953139356815</v>
      </c>
      <c r="R131" s="6" t="s">
        <v>42</v>
      </c>
      <c r="S131" s="12">
        <v>27515</v>
      </c>
      <c r="T131" s="8" t="s">
        <v>43</v>
      </c>
      <c r="U131" s="6" t="s">
        <v>44</v>
      </c>
      <c r="V131" s="7">
        <f>'[1]V, inciso o) (OP)'!AD61</f>
        <v>42569</v>
      </c>
      <c r="W131" s="7">
        <f>'[1]V, inciso o) (OP)'!AE61</f>
        <v>42613</v>
      </c>
      <c r="X131" s="6" t="s">
        <v>709</v>
      </c>
      <c r="Y131" s="6" t="s">
        <v>651</v>
      </c>
      <c r="Z131" s="6" t="s">
        <v>652</v>
      </c>
      <c r="AA131" s="6" t="s">
        <v>40</v>
      </c>
      <c r="AB131" s="6" t="s">
        <v>40</v>
      </c>
    </row>
    <row r="132" spans="1:28" ht="81">
      <c r="A132" s="6">
        <v>2016</v>
      </c>
      <c r="B132" s="6" t="s">
        <v>64</v>
      </c>
      <c r="C132" s="8" t="str">
        <f>'[1]V, inciso o) (OP)'!C62</f>
        <v>DOPI-MUN-RM-PAV-AD-130-2016</v>
      </c>
      <c r="D132" s="13">
        <f>'[1]V, inciso o) (OP)'!V62</f>
        <v>42566</v>
      </c>
      <c r="E132" s="8" t="str">
        <f>'[1]V, inciso o) (OP)'!AA62</f>
        <v>Construcción de Motor Lobby con concreto hidráulico en la plazoleta, plazoleta de acceso, acceso a estacionamiento y colocación de arbolado en la Glorieta Venustiano Carranza colonia Constitución, municipio de Zapopan, Jalisco</v>
      </c>
      <c r="F132" s="8" t="s">
        <v>184</v>
      </c>
      <c r="G132" s="9">
        <f>'[1]V, inciso o) (OP)'!Y62</f>
        <v>1373625.4800000002</v>
      </c>
      <c r="H132" s="8" t="s">
        <v>707</v>
      </c>
      <c r="I132" s="6" t="str">
        <f>'[1]V, inciso o) (OP)'!M62</f>
        <v>Sergio Cesar</v>
      </c>
      <c r="J132" s="6" t="str">
        <f>'[1]V, inciso o) (OP)'!N62</f>
        <v>Díaz</v>
      </c>
      <c r="K132" s="6" t="str">
        <f>'[1]V, inciso o) (OP)'!O62</f>
        <v>Quiroz</v>
      </c>
      <c r="L132" s="8" t="str">
        <f>'[1]V, inciso o) (OP)'!P62</f>
        <v>Transcreto S.A. de C.V.</v>
      </c>
      <c r="M132" s="6" t="str">
        <f>'[1]V, inciso o) (OP)'!Q62</f>
        <v>TRA750528286</v>
      </c>
      <c r="N132" s="9">
        <f t="shared" si="2"/>
        <v>1373625.4800000002</v>
      </c>
      <c r="O132" s="10" t="s">
        <v>40</v>
      </c>
      <c r="P132" s="6" t="s">
        <v>711</v>
      </c>
      <c r="Q132" s="9">
        <f>N132/558</f>
        <v>2461.6944086021508</v>
      </c>
      <c r="R132" s="6" t="s">
        <v>42</v>
      </c>
      <c r="S132" s="12">
        <v>27515</v>
      </c>
      <c r="T132" s="8" t="s">
        <v>43</v>
      </c>
      <c r="U132" s="6" t="s">
        <v>44</v>
      </c>
      <c r="V132" s="7">
        <f>'[1]V, inciso o) (OP)'!AD62</f>
        <v>42569</v>
      </c>
      <c r="W132" s="7">
        <f>'[1]V, inciso o) (OP)'!AE62</f>
        <v>42613</v>
      </c>
      <c r="X132" s="6" t="s">
        <v>709</v>
      </c>
      <c r="Y132" s="6" t="s">
        <v>651</v>
      </c>
      <c r="Z132" s="6" t="s">
        <v>652</v>
      </c>
      <c r="AA132" s="6" t="s">
        <v>40</v>
      </c>
      <c r="AB132" s="6" t="s">
        <v>40</v>
      </c>
    </row>
    <row r="133" spans="1:28" ht="94.5">
      <c r="A133" s="6">
        <v>2016</v>
      </c>
      <c r="B133" s="6" t="s">
        <v>64</v>
      </c>
      <c r="C133" s="8" t="str">
        <f>'[1]V, inciso o) (OP)'!C63</f>
        <v>DOPI-MUN-RM-PAV-AD-131-2016</v>
      </c>
      <c r="D133" s="13">
        <f>'[1]V, inciso o) (OP)'!V63</f>
        <v>42566</v>
      </c>
      <c r="E133" s="8" t="str">
        <f>'[1]V, inciso o) (OP)'!AA63</f>
        <v>Repavimentación, sello Slurry Seal, nivelación de pozos de visita y cajas de válvulas, sustitución de rejillas pluviales y señalética horizontal y vertical en la calle Lomas Altas de límite municipal y la glorieta del paseo de la Canadá y en la calle La Cima de la calle Lomas Altas a Glorieta, en la colonia Lomas Altas, municipio de Zapopan, Jalisco.</v>
      </c>
      <c r="F133" s="8" t="s">
        <v>184</v>
      </c>
      <c r="G133" s="9">
        <f>'[1]V, inciso o) (OP)'!Y63</f>
        <v>1498232.17</v>
      </c>
      <c r="H133" s="8" t="s">
        <v>712</v>
      </c>
      <c r="I133" s="6" t="str">
        <f>'[1]V, inciso o) (OP)'!M63</f>
        <v>Aurora Lucia</v>
      </c>
      <c r="J133" s="6" t="str">
        <f>'[1]V, inciso o) (OP)'!N63</f>
        <v xml:space="preserve">Brenez </v>
      </c>
      <c r="K133" s="6" t="str">
        <f>'[1]V, inciso o) (OP)'!O63</f>
        <v>Garnica</v>
      </c>
      <c r="L133" s="8" t="str">
        <f>'[1]V, inciso o) (OP)'!P63</f>
        <v>Karol Urbanizaciones y Construcciones, S.A. de C.V.</v>
      </c>
      <c r="M133" s="6" t="str">
        <f>'[1]V, inciso o) (OP)'!Q63</f>
        <v>KUC070424344</v>
      </c>
      <c r="N133" s="9">
        <f t="shared" si="2"/>
        <v>1498232.17</v>
      </c>
      <c r="O133" s="10" t="s">
        <v>40</v>
      </c>
      <c r="P133" s="6" t="s">
        <v>713</v>
      </c>
      <c r="Q133" s="9">
        <f>N133/1844</f>
        <v>812.49033080260301</v>
      </c>
      <c r="R133" s="6" t="s">
        <v>42</v>
      </c>
      <c r="S133" s="12">
        <v>3426</v>
      </c>
      <c r="T133" s="8" t="s">
        <v>43</v>
      </c>
      <c r="U133" s="6" t="s">
        <v>44</v>
      </c>
      <c r="V133" s="7">
        <f>'[1]V, inciso o) (OP)'!AD63</f>
        <v>42569</v>
      </c>
      <c r="W133" s="7">
        <f>'[1]V, inciso o) (OP)'!AE63</f>
        <v>42628</v>
      </c>
      <c r="X133" s="6" t="s">
        <v>530</v>
      </c>
      <c r="Y133" s="6" t="s">
        <v>343</v>
      </c>
      <c r="Z133" s="6" t="s">
        <v>344</v>
      </c>
      <c r="AA133" s="6" t="s">
        <v>40</v>
      </c>
      <c r="AB133" s="6" t="s">
        <v>40</v>
      </c>
    </row>
    <row r="134" spans="1:28" ht="54">
      <c r="A134" s="6">
        <v>2016</v>
      </c>
      <c r="B134" s="6" t="s">
        <v>64</v>
      </c>
      <c r="C134" s="8" t="str">
        <f>'[1]V, inciso o) (OP)'!C64</f>
        <v>DOPI-MUN-RM-OC-AD-132-2016</v>
      </c>
      <c r="D134" s="13">
        <f>'[1]V, inciso o) (OP)'!V64</f>
        <v>42566</v>
      </c>
      <c r="E134" s="8" t="str">
        <f>'[1]V, inciso o) (OP)'!AA64</f>
        <v>Demolición de viviendas abandonadas, reforzamiento de taludes y adecuaciones sanitarias en la zona de inundación y canal de la Martinica, municipio de Zapopan Jalisco.</v>
      </c>
      <c r="F134" s="8" t="s">
        <v>184</v>
      </c>
      <c r="G134" s="9">
        <f>'[1]V, inciso o) (OP)'!Y64</f>
        <v>940138.27</v>
      </c>
      <c r="H134" s="8" t="s">
        <v>714</v>
      </c>
      <c r="I134" s="6" t="str">
        <f>'[1]V, inciso o) (OP)'!M64</f>
        <v>Alberto</v>
      </c>
      <c r="J134" s="6" t="str">
        <f>'[1]V, inciso o) (OP)'!N64</f>
        <v>Bañuelos</v>
      </c>
      <c r="K134" s="6" t="str">
        <f>'[1]V, inciso o) (OP)'!O64</f>
        <v>García</v>
      </c>
      <c r="L134" s="8" t="str">
        <f>'[1]V, inciso o) (OP)'!P64</f>
        <v>Grial Construcciones, S.A. de C.V.</v>
      </c>
      <c r="M134" s="6" t="str">
        <f>'[1]V, inciso o) (OP)'!Q64</f>
        <v>GCO100226SU6</v>
      </c>
      <c r="N134" s="9">
        <f t="shared" si="2"/>
        <v>940138.27</v>
      </c>
      <c r="O134" s="11">
        <v>882079.19</v>
      </c>
      <c r="P134" s="6" t="s">
        <v>715</v>
      </c>
      <c r="Q134" s="9">
        <f>N134/513</f>
        <v>1832.6282066276804</v>
      </c>
      <c r="R134" s="6" t="s">
        <v>42</v>
      </c>
      <c r="S134" s="12">
        <v>3459</v>
      </c>
      <c r="T134" s="8" t="s">
        <v>43</v>
      </c>
      <c r="U134" s="6" t="s">
        <v>44</v>
      </c>
      <c r="V134" s="7">
        <f>'[1]V, inciso o) (OP)'!AD64</f>
        <v>42569</v>
      </c>
      <c r="W134" s="7">
        <f>'[1]V, inciso o) (OP)'!AE64</f>
        <v>42598</v>
      </c>
      <c r="X134" s="6" t="s">
        <v>572</v>
      </c>
      <c r="Y134" s="6" t="s">
        <v>573</v>
      </c>
      <c r="Z134" s="6" t="s">
        <v>574</v>
      </c>
      <c r="AA134" s="6" t="s">
        <v>40</v>
      </c>
      <c r="AB134" s="6" t="s">
        <v>40</v>
      </c>
    </row>
    <row r="135" spans="1:28" ht="81">
      <c r="A135" s="6">
        <v>2016</v>
      </c>
      <c r="B135" s="6" t="s">
        <v>64</v>
      </c>
      <c r="C135" s="8" t="str">
        <f>'[1]V, inciso o) (OP)'!C65</f>
        <v>DOPI-MUN-RM-OC-AD-133-2016</v>
      </c>
      <c r="D135" s="13">
        <f>'[1]V, inciso o) (OP)'!V65</f>
        <v>42566</v>
      </c>
      <c r="E135" s="8" t="str">
        <f>'[1]V, inciso o) (OP)'!AA65</f>
        <v>Rectificación, rehabilitación y desazolve del arroyo La Campana; Adecuaciones hidráulicas y pluviales en las colindancias del nodo vial Santa Esther y Periférico; y reconstrucción de banquetas en Avenida Central, municipio de Zapopan, Jalisco</v>
      </c>
      <c r="F135" s="8" t="s">
        <v>184</v>
      </c>
      <c r="G135" s="9">
        <f>'[1]V, inciso o) (OP)'!Y65</f>
        <v>1450005.23</v>
      </c>
      <c r="H135" s="8" t="s">
        <v>716</v>
      </c>
      <c r="I135" s="6" t="str">
        <f>'[1]V, inciso o) (OP)'!M65</f>
        <v>Hector Eugenio</v>
      </c>
      <c r="J135" s="6" t="str">
        <f>'[1]V, inciso o) (OP)'!N65</f>
        <v>De la Torre</v>
      </c>
      <c r="K135" s="6" t="str">
        <f>'[1]V, inciso o) (OP)'!O65</f>
        <v>Menchaca</v>
      </c>
      <c r="L135" s="8" t="str">
        <f>'[1]V, inciso o) (OP)'!P65</f>
        <v>Ingenieros De la Torre, S.A. de C.V.</v>
      </c>
      <c r="M135" s="6" t="str">
        <f>'[1]V, inciso o) (OP)'!Q65</f>
        <v>ITO951005HY5</v>
      </c>
      <c r="N135" s="9">
        <f t="shared" si="2"/>
        <v>1450005.23</v>
      </c>
      <c r="O135" s="10" t="s">
        <v>40</v>
      </c>
      <c r="P135" s="6" t="s">
        <v>717</v>
      </c>
      <c r="Q135" s="9">
        <f>N135/1302</f>
        <v>1113.675291858679</v>
      </c>
      <c r="R135" s="6" t="s">
        <v>42</v>
      </c>
      <c r="S135" s="12">
        <v>16342</v>
      </c>
      <c r="T135" s="8" t="s">
        <v>43</v>
      </c>
      <c r="U135" s="6" t="s">
        <v>44</v>
      </c>
      <c r="V135" s="7">
        <f>'[1]V, inciso o) (OP)'!AD65</f>
        <v>42569</v>
      </c>
      <c r="W135" s="7">
        <f>'[1]V, inciso o) (OP)'!AE65</f>
        <v>42614</v>
      </c>
      <c r="X135" s="6" t="s">
        <v>530</v>
      </c>
      <c r="Y135" s="6" t="s">
        <v>343</v>
      </c>
      <c r="Z135" s="6" t="s">
        <v>344</v>
      </c>
      <c r="AA135" s="6" t="s">
        <v>40</v>
      </c>
      <c r="AB135" s="6" t="s">
        <v>40</v>
      </c>
    </row>
    <row r="136" spans="1:28" ht="40.5">
      <c r="A136" s="6">
        <v>2016</v>
      </c>
      <c r="B136" s="6" t="s">
        <v>64</v>
      </c>
      <c r="C136" s="8" t="str">
        <f>'[1]V, inciso o) (OP)'!C66</f>
        <v>DOPI-MUN-RM-OC-AD-134-2016</v>
      </c>
      <c r="D136" s="13">
        <f>'[1]V, inciso o) (OP)'!V66</f>
        <v>42578</v>
      </c>
      <c r="E136" s="8" t="str">
        <f>'[1]V, inciso o) (OP)'!AA66</f>
        <v>Construcción y reforzamiento de bordos primera etapa en el ejido de Santa Lucia, municipio de Zapopan, Jalisco.</v>
      </c>
      <c r="F136" s="8" t="s">
        <v>184</v>
      </c>
      <c r="G136" s="9">
        <f>'[1]V, inciso o) (OP)'!Y66</f>
        <v>1501235.7800000003</v>
      </c>
      <c r="H136" s="8" t="s">
        <v>718</v>
      </c>
      <c r="I136" s="6" t="str">
        <f>'[1]V, inciso o) (OP)'!M66</f>
        <v>Heliodoro Nicolás</v>
      </c>
      <c r="J136" s="6" t="str">
        <f>'[1]V, inciso o) (OP)'!N66</f>
        <v>Aceves</v>
      </c>
      <c r="K136" s="6" t="str">
        <f>'[1]V, inciso o) (OP)'!O66</f>
        <v>Orozco</v>
      </c>
      <c r="L136" s="8" t="str">
        <f>'[1]V, inciso o) (OP)'!P66</f>
        <v>Imaqsa, S.A. de C.V.</v>
      </c>
      <c r="M136" s="6" t="str">
        <f>'[1]V, inciso o) (OP)'!Q66</f>
        <v>IMA050204LA9</v>
      </c>
      <c r="N136" s="9">
        <f t="shared" si="2"/>
        <v>1501235.7800000003</v>
      </c>
      <c r="O136" s="10" t="s">
        <v>40</v>
      </c>
      <c r="P136" s="6" t="s">
        <v>719</v>
      </c>
      <c r="Q136" s="9">
        <f>N136/4468</f>
        <v>335.99726499552378</v>
      </c>
      <c r="R136" s="6" t="s">
        <v>42</v>
      </c>
      <c r="S136" s="12">
        <v>24253</v>
      </c>
      <c r="T136" s="8" t="s">
        <v>43</v>
      </c>
      <c r="U136" s="6" t="s">
        <v>44</v>
      </c>
      <c r="V136" s="7">
        <f>'[1]V, inciso o) (OP)'!AD66</f>
        <v>42579</v>
      </c>
      <c r="W136" s="7">
        <f>'[1]V, inciso o) (OP)'!AE66</f>
        <v>42698</v>
      </c>
      <c r="X136" s="6" t="s">
        <v>544</v>
      </c>
      <c r="Y136" s="6" t="s">
        <v>545</v>
      </c>
      <c r="Z136" s="6" t="s">
        <v>212</v>
      </c>
      <c r="AA136" s="6" t="s">
        <v>40</v>
      </c>
      <c r="AB136" s="6" t="s">
        <v>40</v>
      </c>
    </row>
    <row r="137" spans="1:28" ht="40.5">
      <c r="A137" s="6">
        <v>2016</v>
      </c>
      <c r="B137" s="6" t="s">
        <v>64</v>
      </c>
      <c r="C137" s="8" t="str">
        <f>'[1]V, inciso o) (OP)'!C67</f>
        <v>DOPI-MUN-RM-EP-AD-135-2016</v>
      </c>
      <c r="D137" s="13">
        <f>'[1]V, inciso o) (OP)'!V67</f>
        <v>42587</v>
      </c>
      <c r="E137" s="8" t="str">
        <f>'[1]V, inciso o) (OP)'!AA67</f>
        <v>Obra complementaria en el parque El Polvorin II, municipio de Zapopan, Jalisco.</v>
      </c>
      <c r="F137" s="8" t="s">
        <v>184</v>
      </c>
      <c r="G137" s="9">
        <f>'[1]V, inciso o) (OP)'!Y67</f>
        <v>1494650.15</v>
      </c>
      <c r="H137" s="8" t="s">
        <v>289</v>
      </c>
      <c r="I137" s="6" t="str">
        <f>'[1]V, inciso o) (OP)'!M67</f>
        <v>Maria Eugenia</v>
      </c>
      <c r="J137" s="6" t="str">
        <f>'[1]V, inciso o) (OP)'!N67</f>
        <v>Cortés</v>
      </c>
      <c r="K137" s="6" t="str">
        <f>'[1]V, inciso o) (OP)'!O67</f>
        <v>González</v>
      </c>
      <c r="L137" s="8" t="str">
        <f>'[1]V, inciso o) (OP)'!P67</f>
        <v>Aspavi, S.A. de C.V.</v>
      </c>
      <c r="M137" s="6" t="str">
        <f>'[1]V, inciso o) (OP)'!Q67</f>
        <v>ASP100215RH9</v>
      </c>
      <c r="N137" s="9">
        <f>'[1]V, inciso o) (OP)'!Y67</f>
        <v>1494650.15</v>
      </c>
      <c r="O137" s="11">
        <v>1494649.1600000001</v>
      </c>
      <c r="P137" s="6" t="s">
        <v>294</v>
      </c>
      <c r="Q137" s="9">
        <f>N137/2546.52</f>
        <v>586.93831189230787</v>
      </c>
      <c r="R137" s="6" t="s">
        <v>42</v>
      </c>
      <c r="S137" s="12">
        <v>2614</v>
      </c>
      <c r="T137" s="8" t="s">
        <v>43</v>
      </c>
      <c r="U137" s="6" t="s">
        <v>44</v>
      </c>
      <c r="V137" s="7">
        <f>'[1]V, inciso o) (OP)'!AD67</f>
        <v>42591</v>
      </c>
      <c r="W137" s="7">
        <f>'[1]V, inciso o) (OP)'!AE67</f>
        <v>42613</v>
      </c>
      <c r="X137" s="6" t="s">
        <v>544</v>
      </c>
      <c r="Y137" s="6" t="s">
        <v>524</v>
      </c>
      <c r="Z137" s="6" t="s">
        <v>254</v>
      </c>
      <c r="AA137" s="6" t="s">
        <v>40</v>
      </c>
      <c r="AB137" s="6" t="s">
        <v>40</v>
      </c>
    </row>
    <row r="138" spans="1:28" ht="40.5">
      <c r="A138" s="6">
        <v>2016</v>
      </c>
      <c r="B138" s="6" t="s">
        <v>64</v>
      </c>
      <c r="C138" s="8" t="str">
        <f>'[1]V, inciso o) (OP)'!C68</f>
        <v>DOPI-MUN-RM-PROY-AD-136-2016</v>
      </c>
      <c r="D138" s="13">
        <f>'[1]V, inciso o) (OP)'!V68</f>
        <v>42586</v>
      </c>
      <c r="E138" s="8" t="str">
        <f>'[1]V, inciso o) (OP)'!AA68</f>
        <v>Estudios de mecánica de suelos y diseño de pavimentos de diferentes obras 2016, segunda etapa, del municipio de Zapopan, Jalisco.</v>
      </c>
      <c r="F138" s="8" t="s">
        <v>184</v>
      </c>
      <c r="G138" s="9">
        <f>'[1]V, inciso o) (OP)'!Y68</f>
        <v>602435.48</v>
      </c>
      <c r="H138" s="8" t="s">
        <v>225</v>
      </c>
      <c r="I138" s="6" t="str">
        <f>'[1]V, inciso o) (OP)'!M68</f>
        <v>José Alejandro</v>
      </c>
      <c r="J138" s="6" t="str">
        <f>'[1]V, inciso o) (OP)'!N68</f>
        <v>Alva</v>
      </c>
      <c r="K138" s="6" t="str">
        <f>'[1]V, inciso o) (OP)'!O68</f>
        <v>Delgado</v>
      </c>
      <c r="L138" s="8" t="str">
        <f>'[1]V, inciso o) (OP)'!P68</f>
        <v>Servicios de Obras Civiles Serco, S.A. de C.V.</v>
      </c>
      <c r="M138" s="6" t="str">
        <f>'[1]V, inciso o) (OP)'!Q68</f>
        <v>SOC150806E69</v>
      </c>
      <c r="N138" s="9">
        <f>'[1]V, inciso o) (OP)'!Y68</f>
        <v>602435.48</v>
      </c>
      <c r="O138" s="10" t="s">
        <v>40</v>
      </c>
      <c r="P138" s="6" t="s">
        <v>231</v>
      </c>
      <c r="Q138" s="9" t="s">
        <v>231</v>
      </c>
      <c r="R138" s="6" t="s">
        <v>232</v>
      </c>
      <c r="S138" s="12" t="s">
        <v>232</v>
      </c>
      <c r="T138" s="8" t="s">
        <v>43</v>
      </c>
      <c r="U138" s="6" t="s">
        <v>565</v>
      </c>
      <c r="V138" s="7">
        <f>'[1]V, inciso o) (OP)'!AD68</f>
        <v>42591</v>
      </c>
      <c r="W138" s="7">
        <f>'[1]V, inciso o) (OP)'!AE68</f>
        <v>42735</v>
      </c>
      <c r="X138" s="6" t="s">
        <v>640</v>
      </c>
      <c r="Y138" s="6" t="s">
        <v>720</v>
      </c>
      <c r="Z138" s="6" t="s">
        <v>167</v>
      </c>
      <c r="AA138" s="6" t="s">
        <v>40</v>
      </c>
      <c r="AB138" s="6" t="s">
        <v>40</v>
      </c>
    </row>
    <row r="139" spans="1:28" ht="40.5">
      <c r="A139" s="6">
        <v>2016</v>
      </c>
      <c r="B139" s="6" t="s">
        <v>64</v>
      </c>
      <c r="C139" s="8" t="str">
        <f>'[1]V, inciso o) (OP)'!C69</f>
        <v>DOPI-MUN-RM-AP-AD-137-2016</v>
      </c>
      <c r="D139" s="13">
        <f>'[1]V, inciso o) (OP)'!V69</f>
        <v>42594</v>
      </c>
      <c r="E139" s="8" t="str">
        <f>'[1]V, inciso o) (OP)'!AA69</f>
        <v>Complemento de red de agua potable y tomas domiciliarias en la localidad de Milpillas, municipio de Zapopan, Jalisco</v>
      </c>
      <c r="F139" s="8" t="s">
        <v>184</v>
      </c>
      <c r="G139" s="9">
        <f>'[1]V, inciso o) (OP)'!Y69</f>
        <v>1435250.48</v>
      </c>
      <c r="H139" s="8" t="s">
        <v>721</v>
      </c>
      <c r="I139" s="6" t="str">
        <f>'[1]V, inciso o) (OP)'!M69</f>
        <v>Javier</v>
      </c>
      <c r="J139" s="6" t="str">
        <f>'[1]V, inciso o) (OP)'!N69</f>
        <v xml:space="preserve">Ávila </v>
      </c>
      <c r="K139" s="6" t="str">
        <f>'[1]V, inciso o) (OP)'!O69</f>
        <v>Flores</v>
      </c>
      <c r="L139" s="8" t="str">
        <f>'[1]V, inciso o) (OP)'!P69</f>
        <v>Savho Consultoría y Construcción, S.A. de C.V.</v>
      </c>
      <c r="M139" s="6" t="str">
        <f>'[1]V, inciso o) (OP)'!Q69</f>
        <v>SCC060622HZ3</v>
      </c>
      <c r="N139" s="9">
        <f>'[1]V, inciso o) (OP)'!Y69</f>
        <v>1435250.48</v>
      </c>
      <c r="O139" s="10" t="s">
        <v>40</v>
      </c>
      <c r="P139" s="10" t="s">
        <v>722</v>
      </c>
      <c r="Q139" s="11">
        <f>N139/1280</f>
        <v>1121.2894375000001</v>
      </c>
      <c r="R139" s="10" t="s">
        <v>42</v>
      </c>
      <c r="S139" s="14">
        <v>86</v>
      </c>
      <c r="T139" s="8" t="s">
        <v>43</v>
      </c>
      <c r="U139" s="6" t="s">
        <v>44</v>
      </c>
      <c r="V139" s="7">
        <f>'[1]V, inciso o) (OP)'!AD69</f>
        <v>42597</v>
      </c>
      <c r="W139" s="7">
        <f>'[1]V, inciso o) (OP)'!AE69</f>
        <v>42643</v>
      </c>
      <c r="X139" s="6" t="s">
        <v>723</v>
      </c>
      <c r="Y139" s="6" t="s">
        <v>724</v>
      </c>
      <c r="Z139" s="6" t="s">
        <v>145</v>
      </c>
      <c r="AA139" s="6" t="s">
        <v>40</v>
      </c>
      <c r="AB139" s="6" t="s">
        <v>40</v>
      </c>
    </row>
    <row r="140" spans="1:28" ht="67.5">
      <c r="A140" s="6">
        <v>2016</v>
      </c>
      <c r="B140" s="6" t="s">
        <v>64</v>
      </c>
      <c r="C140" s="8" t="str">
        <f>'[1]V, inciso o) (OP)'!C70</f>
        <v>DOPI-MUN-RM-IM-AD-138-2016</v>
      </c>
      <c r="D140" s="13">
        <f>'[1]V, inciso o) (OP)'!V70</f>
        <v>42607</v>
      </c>
      <c r="E140" s="8" t="str">
        <f>'[1]V, inciso o) (OP)'!AA70</f>
        <v>Complemento de la construcción de muro oriente, rehabilitación de banquetas e instalación de malla ciclón en el Panteón Municipal ubicado en la localidad de Santa Ana Tepetitlán, municipio de Zapopan, Jalisco.</v>
      </c>
      <c r="F140" s="8" t="s">
        <v>184</v>
      </c>
      <c r="G140" s="9">
        <f>'[1]V, inciso o) (OP)'!Y70</f>
        <v>1308547.98</v>
      </c>
      <c r="H140" s="8" t="s">
        <v>436</v>
      </c>
      <c r="I140" s="6" t="str">
        <f>'[1]V, inciso o) (OP)'!M70</f>
        <v>Oscar Luis</v>
      </c>
      <c r="J140" s="6" t="str">
        <f>'[1]V, inciso o) (OP)'!N70</f>
        <v xml:space="preserve"> Chávez</v>
      </c>
      <c r="K140" s="6" t="str">
        <f>'[1]V, inciso o) (OP)'!O70</f>
        <v>González</v>
      </c>
      <c r="L140" s="8" t="str">
        <f>'[1]V, inciso o) (OP)'!P70</f>
        <v>Euro Trade, S.A. de C.V.</v>
      </c>
      <c r="M140" s="6" t="str">
        <f>'[1]V, inciso o) (OP)'!Q70</f>
        <v>ETR070417NS8</v>
      </c>
      <c r="N140" s="9">
        <f>'[1]V, inciso o) (OP)'!Y70</f>
        <v>1308547.98</v>
      </c>
      <c r="O140" s="10" t="s">
        <v>40</v>
      </c>
      <c r="P140" s="6" t="s">
        <v>725</v>
      </c>
      <c r="Q140" s="9">
        <f>N140/735</f>
        <v>1780.3373877551021</v>
      </c>
      <c r="R140" s="6" t="s">
        <v>42</v>
      </c>
      <c r="S140" s="12">
        <v>171759</v>
      </c>
      <c r="T140" s="8" t="s">
        <v>43</v>
      </c>
      <c r="U140" s="6" t="s">
        <v>44</v>
      </c>
      <c r="V140" s="7">
        <f>'[1]V, inciso o) (OP)'!AD70</f>
        <v>42611</v>
      </c>
      <c r="W140" s="7">
        <f>'[1]V, inciso o) (OP)'!AE70</f>
        <v>42655</v>
      </c>
      <c r="X140" s="6" t="s">
        <v>726</v>
      </c>
      <c r="Y140" s="6" t="s">
        <v>727</v>
      </c>
      <c r="Z140" s="6" t="s">
        <v>101</v>
      </c>
      <c r="AA140" s="6" t="s">
        <v>40</v>
      </c>
      <c r="AB140" s="6" t="s">
        <v>40</v>
      </c>
    </row>
    <row r="141" spans="1:28" ht="40.5">
      <c r="A141" s="6">
        <v>2016</v>
      </c>
      <c r="B141" s="6" t="s">
        <v>64</v>
      </c>
      <c r="C141" s="8" t="str">
        <f>'[1]V, inciso o) (OP)'!C71</f>
        <v>DOPI-MUN-RM-IM-AD-139-2016</v>
      </c>
      <c r="D141" s="13">
        <f>'[1]V, inciso o) (OP)'!V71</f>
        <v>42607</v>
      </c>
      <c r="E141" s="8" t="str">
        <f>'[1]V, inciso o) (OP)'!AA71</f>
        <v>Construcción de muro, banquetas, instalación de malla ciclón en el Panteón municipal ubicado en Atemajac, municipio de Zapopan, Jalisco</v>
      </c>
      <c r="F141" s="8" t="s">
        <v>184</v>
      </c>
      <c r="G141" s="9">
        <f>'[1]V, inciso o) (OP)'!Y71</f>
        <v>1485649.36</v>
      </c>
      <c r="H141" s="8" t="s">
        <v>728</v>
      </c>
      <c r="I141" s="6" t="str">
        <f>'[1]V, inciso o) (OP)'!M71</f>
        <v>Víctor Eduardo</v>
      </c>
      <c r="J141" s="6" t="str">
        <f>'[1]V, inciso o) (OP)'!N71</f>
        <v>López</v>
      </c>
      <c r="K141" s="6" t="str">
        <f>'[1]V, inciso o) (OP)'!O71</f>
        <v>Carpio</v>
      </c>
      <c r="L141" s="8" t="str">
        <f>'[1]V, inciso o) (OP)'!P71</f>
        <v>CCR Ingenieros, S.A. de C.V.</v>
      </c>
      <c r="M141" s="6" t="str">
        <f>'[1]V, inciso o) (OP)'!Q71</f>
        <v>CIN101029PR5</v>
      </c>
      <c r="N141" s="9">
        <f>'[1]V, inciso o) (OP)'!Y71</f>
        <v>1485649.36</v>
      </c>
      <c r="O141" s="10" t="s">
        <v>40</v>
      </c>
      <c r="P141" s="10" t="s">
        <v>729</v>
      </c>
      <c r="Q141" s="11">
        <f>N141/244</f>
        <v>6088.7268852459019</v>
      </c>
      <c r="R141" s="10" t="s">
        <v>42</v>
      </c>
      <c r="S141" s="14">
        <v>194745</v>
      </c>
      <c r="T141" s="8" t="s">
        <v>43</v>
      </c>
      <c r="U141" s="6" t="s">
        <v>44</v>
      </c>
      <c r="V141" s="7">
        <f>'[1]V, inciso o) (OP)'!AD71</f>
        <v>42611</v>
      </c>
      <c r="W141" s="7">
        <f>'[1]V, inciso o) (OP)'!AE71</f>
        <v>42670</v>
      </c>
      <c r="X141" s="6" t="s">
        <v>544</v>
      </c>
      <c r="Y141" s="6" t="s">
        <v>524</v>
      </c>
      <c r="Z141" s="6" t="s">
        <v>254</v>
      </c>
      <c r="AA141" s="6" t="s">
        <v>40</v>
      </c>
      <c r="AB141" s="6" t="s">
        <v>40</v>
      </c>
    </row>
    <row r="142" spans="1:28" ht="81">
      <c r="A142" s="6">
        <v>2016</v>
      </c>
      <c r="B142" s="8" t="str">
        <f>'[1]V, inciso p) (OP)'!B88</f>
        <v>Licitación por Invitación Restringida</v>
      </c>
      <c r="C142" s="8" t="str">
        <f>'[1]V, inciso p) (OP)'!D88</f>
        <v>DOPI-MUN-CRM-AP-CI-141-2016</v>
      </c>
      <c r="D142" s="13">
        <f>'[1]V, inciso p) (OP)'!AD88</f>
        <v>42685</v>
      </c>
      <c r="E142" s="8" t="str">
        <f>'[1]V, inciso p) (OP)'!I88</f>
        <v>Construcción de linea de conducción de agua potable desde el pozo de La Soledad de Nextipac a la Colonia Fuentesillas, en la localidad de Nextipac; Construccuón de red de drenaje y descargas sanitarias en la Colonia Vinatera, municipio de Zapopan, Jalisco.</v>
      </c>
      <c r="F142" s="8" t="s">
        <v>184</v>
      </c>
      <c r="G142" s="9">
        <f>'[1]V, inciso p) (OP)'!AG88</f>
        <v>5289583.63</v>
      </c>
      <c r="H142" s="8" t="str">
        <f>'[1]V, inciso p) (OP)'!AS88</f>
        <v>Localidad de Nextipac</v>
      </c>
      <c r="I142" s="6" t="str">
        <f>'[1]V, inciso p) (OP)'!T88</f>
        <v>Claudio Felipe</v>
      </c>
      <c r="J142" s="6" t="str">
        <f>'[1]V, inciso p) (OP)'!U88</f>
        <v>Trujillo</v>
      </c>
      <c r="K142" s="6" t="str">
        <f>'[1]V, inciso p) (OP)'!V88</f>
        <v>Gracián</v>
      </c>
      <c r="L142" s="8" t="str">
        <f>'[1]V, inciso p) (OP)'!W88</f>
        <v>Desarrolladora Lumadi, S.A. de C.V.</v>
      </c>
      <c r="M142" s="6" t="str">
        <f>'[1]V, inciso p) (OP)'!X88</f>
        <v>DLU100818F46</v>
      </c>
      <c r="N142" s="9">
        <f>G142</f>
        <v>5289583.63</v>
      </c>
      <c r="O142" s="10" t="s">
        <v>40</v>
      </c>
      <c r="P142" s="10" t="s">
        <v>730</v>
      </c>
      <c r="Q142" s="11">
        <f>N142/3891</f>
        <v>1359.4406656386532</v>
      </c>
      <c r="R142" s="10" t="s">
        <v>42</v>
      </c>
      <c r="S142" s="14">
        <v>1482</v>
      </c>
      <c r="T142" s="8" t="s">
        <v>43</v>
      </c>
      <c r="U142" s="6" t="s">
        <v>44</v>
      </c>
      <c r="V142" s="7">
        <f>'[1]V, inciso p) (OP)'!AM88</f>
        <v>42688</v>
      </c>
      <c r="W142" s="7">
        <f>'[1]V, inciso p) (OP)'!AN88</f>
        <v>42728</v>
      </c>
      <c r="X142" s="6" t="s">
        <v>544</v>
      </c>
      <c r="Y142" s="6" t="s">
        <v>545</v>
      </c>
      <c r="Z142" s="6" t="s">
        <v>212</v>
      </c>
      <c r="AA142" s="6" t="s">
        <v>40</v>
      </c>
      <c r="AB142" s="6" t="s">
        <v>40</v>
      </c>
    </row>
    <row r="143" spans="1:28" ht="40.5">
      <c r="A143" s="6">
        <v>2016</v>
      </c>
      <c r="B143" s="8" t="str">
        <f>'[1]V, inciso p) (OP)'!B89</f>
        <v>Licitación por Invitación Restringida</v>
      </c>
      <c r="C143" s="8" t="str">
        <f>'[1]V, inciso p) (OP)'!D89</f>
        <v>DOPI-MUN-CRM-AP-CI-142-2016</v>
      </c>
      <c r="D143" s="13">
        <f>'[1]V, inciso p) (OP)'!AD89</f>
        <v>42685</v>
      </c>
      <c r="E143" s="8" t="str">
        <f>'[1]V, inciso p) (OP)'!I89</f>
        <v>Perforación y Equipamiento de pozo profundo en la localidad de Milpillas Mesa de San Juan, municipio de Zapopan, Jalisco</v>
      </c>
      <c r="F143" s="8" t="s">
        <v>184</v>
      </c>
      <c r="G143" s="9">
        <f>'[1]V, inciso p) (OP)'!AG89</f>
        <v>5113699.54</v>
      </c>
      <c r="H143" s="8" t="str">
        <f>'[1]V, inciso p) (OP)'!AS89</f>
        <v>Localidad Milpillas</v>
      </c>
      <c r="I143" s="6" t="str">
        <f>'[1]V, inciso p) (OP)'!T89</f>
        <v>Víctor Saul</v>
      </c>
      <c r="J143" s="6" t="str">
        <f>'[1]V, inciso p) (OP)'!U89</f>
        <v>Ramos</v>
      </c>
      <c r="K143" s="6" t="str">
        <f>'[1]V, inciso p) (OP)'!V89</f>
        <v>Morales</v>
      </c>
      <c r="L143" s="8" t="str">
        <f>'[1]V, inciso p) (OP)'!W89</f>
        <v>Ramper Drilling, S.A. de C.V.</v>
      </c>
      <c r="M143" s="6" t="str">
        <f>'[1]V, inciso p) (OP)'!X89</f>
        <v>RDR100922131</v>
      </c>
      <c r="N143" s="9">
        <f t="shared" ref="N143:N159" si="3">G143</f>
        <v>5113699.54</v>
      </c>
      <c r="O143" s="10" t="s">
        <v>40</v>
      </c>
      <c r="P143" s="10" t="s">
        <v>731</v>
      </c>
      <c r="Q143" s="11">
        <f>N143/1</f>
        <v>5113699.54</v>
      </c>
      <c r="R143" s="10" t="s">
        <v>42</v>
      </c>
      <c r="S143" s="14">
        <v>105</v>
      </c>
      <c r="T143" s="8" t="s">
        <v>43</v>
      </c>
      <c r="U143" s="6" t="s">
        <v>565</v>
      </c>
      <c r="V143" s="7">
        <f>'[1]V, inciso p) (OP)'!AM89</f>
        <v>42688</v>
      </c>
      <c r="W143" s="7">
        <f>'[1]V, inciso p) (OP)'!AN89</f>
        <v>42759</v>
      </c>
      <c r="X143" s="6" t="s">
        <v>723</v>
      </c>
      <c r="Y143" s="6" t="s">
        <v>724</v>
      </c>
      <c r="Z143" s="6" t="s">
        <v>145</v>
      </c>
      <c r="AA143" s="6" t="s">
        <v>40</v>
      </c>
      <c r="AB143" s="6" t="s">
        <v>40</v>
      </c>
    </row>
    <row r="144" spans="1:28" ht="40.5">
      <c r="A144" s="6">
        <v>2016</v>
      </c>
      <c r="B144" s="8" t="str">
        <f>'[1]V, inciso p) (OP)'!B90</f>
        <v>Licitación por Invitación Restringida</v>
      </c>
      <c r="C144" s="8" t="str">
        <f>'[1]V, inciso p) (OP)'!D90</f>
        <v>DOPI-MUN-CRM-AP-CI-143-2016</v>
      </c>
      <c r="D144" s="13">
        <f>'[1]V, inciso p) (OP)'!AD90</f>
        <v>42685</v>
      </c>
      <c r="E144" s="8" t="str">
        <f>'[1]V, inciso p) (OP)'!I90</f>
        <v>Perforación y equipamiento de pozo profundo en la localidad de Cerca Morada, municipio de Zapopan, Jalisco.</v>
      </c>
      <c r="F144" s="8" t="s">
        <v>184</v>
      </c>
      <c r="G144" s="9">
        <f>'[1]V, inciso p) (OP)'!AG90</f>
        <v>4937334.7300000004</v>
      </c>
      <c r="H144" s="8" t="str">
        <f>'[1]V, inciso p) (OP)'!AS90</f>
        <v>Localidad Cerca Morada</v>
      </c>
      <c r="I144" s="6" t="str">
        <f>'[1]V, inciso p) (OP)'!T90</f>
        <v>Antonio José Rodolfo</v>
      </c>
      <c r="J144" s="6" t="str">
        <f>'[1]V, inciso p) (OP)'!U90</f>
        <v>Corcuera</v>
      </c>
      <c r="K144" s="6" t="str">
        <f>'[1]V, inciso p) (OP)'!V90</f>
        <v>Garza Madero</v>
      </c>
      <c r="L144" s="8" t="str">
        <f>'[1]V, inciso p) (OP)'!W90</f>
        <v>Alcor de Occidente, S.A. de C.V.</v>
      </c>
      <c r="M144" s="6" t="str">
        <f>'[1]V, inciso p) (OP)'!X90</f>
        <v>AOC830810TG9</v>
      </c>
      <c r="N144" s="9">
        <f t="shared" si="3"/>
        <v>4937334.7300000004</v>
      </c>
      <c r="O144" s="10" t="s">
        <v>40</v>
      </c>
      <c r="P144" s="10" t="s">
        <v>731</v>
      </c>
      <c r="Q144" s="11">
        <f>N144</f>
        <v>4937334.7300000004</v>
      </c>
      <c r="R144" s="10" t="s">
        <v>42</v>
      </c>
      <c r="S144" s="14">
        <v>96</v>
      </c>
      <c r="T144" s="8" t="s">
        <v>43</v>
      </c>
      <c r="U144" s="6" t="s">
        <v>565</v>
      </c>
      <c r="V144" s="7">
        <f>'[1]V, inciso p) (OP)'!AM90</f>
        <v>42688</v>
      </c>
      <c r="W144" s="7">
        <f>'[1]V, inciso p) (OP)'!AN90</f>
        <v>42759</v>
      </c>
      <c r="X144" s="6" t="s">
        <v>544</v>
      </c>
      <c r="Y144" s="6" t="s">
        <v>545</v>
      </c>
      <c r="Z144" s="6" t="s">
        <v>212</v>
      </c>
      <c r="AA144" s="6" t="s">
        <v>40</v>
      </c>
      <c r="AB144" s="6" t="s">
        <v>40</v>
      </c>
    </row>
    <row r="145" spans="1:28" ht="67.5">
      <c r="A145" s="6">
        <v>2016</v>
      </c>
      <c r="B145" s="8" t="str">
        <f>'[1]V, inciso p) (OP)'!B91</f>
        <v>Licitación por Invitación Restringida</v>
      </c>
      <c r="C145" s="8" t="str">
        <f>'[1]V, inciso p) (OP)'!D91</f>
        <v>DOPI-MUN-RM-IS-CI-144-2016</v>
      </c>
      <c r="D145" s="13">
        <f>'[1]V, inciso p) (OP)'!AD91</f>
        <v>42685</v>
      </c>
      <c r="E145" s="8" t="str">
        <f>'[1]V, inciso p) (OP)'!I91</f>
        <v>Rehabilitación del área de consultorios, urgencias,mortuario y acabados en general en la Cruz Verde Sur Las Aguilas, ubicada en Av. López Mateos y calle Cruz del Sur en la Colonia Las Aguilas, municipio de Zapopan, Jalisco.</v>
      </c>
      <c r="F145" s="8" t="s">
        <v>184</v>
      </c>
      <c r="G145" s="9">
        <f>'[1]V, inciso p) (OP)'!AG91</f>
        <v>3504992.46</v>
      </c>
      <c r="H145" s="8" t="str">
        <f>'[1]V, inciso p) (OP)'!AS91</f>
        <v>Colonia Las Aguilas</v>
      </c>
      <c r="I145" s="6" t="str">
        <f>'[1]V, inciso p) (OP)'!T91</f>
        <v>Marco Antonio</v>
      </c>
      <c r="J145" s="6" t="str">
        <f>'[1]V, inciso p) (OP)'!U91</f>
        <v>Cortés</v>
      </c>
      <c r="K145" s="6" t="str">
        <f>'[1]V, inciso p) (OP)'!V91</f>
        <v>González</v>
      </c>
      <c r="L145" s="8" t="str">
        <f>'[1]V, inciso p) (OP)'!W91</f>
        <v>Grupo Taube de México, S.A. de C.V.</v>
      </c>
      <c r="M145" s="6" t="str">
        <f>'[1]V, inciso p) (OP)'!X91</f>
        <v>GTM050418384</v>
      </c>
      <c r="N145" s="9">
        <f t="shared" si="3"/>
        <v>3504992.46</v>
      </c>
      <c r="O145" s="10" t="s">
        <v>40</v>
      </c>
      <c r="P145" s="10" t="s">
        <v>732</v>
      </c>
      <c r="Q145" s="11">
        <f>N145/382</f>
        <v>9175.3729319371723</v>
      </c>
      <c r="R145" s="10" t="s">
        <v>42</v>
      </c>
      <c r="S145" s="14">
        <v>280500</v>
      </c>
      <c r="T145" s="8" t="s">
        <v>43</v>
      </c>
      <c r="U145" s="6" t="s">
        <v>44</v>
      </c>
      <c r="V145" s="7">
        <f>'[1]V, inciso p) (OP)'!AM91</f>
        <v>42688</v>
      </c>
      <c r="W145" s="7">
        <f>'[1]V, inciso p) (OP)'!AN91</f>
        <v>42728</v>
      </c>
      <c r="X145" s="6" t="s">
        <v>733</v>
      </c>
      <c r="Y145" s="6" t="s">
        <v>734</v>
      </c>
      <c r="Z145" s="6" t="s">
        <v>735</v>
      </c>
      <c r="AA145" s="6" t="s">
        <v>40</v>
      </c>
      <c r="AB145" s="6" t="s">
        <v>40</v>
      </c>
    </row>
    <row r="146" spans="1:28" ht="67.5">
      <c r="A146" s="6">
        <v>2016</v>
      </c>
      <c r="B146" s="8" t="str">
        <f>'[1]V, inciso p) (OP)'!B92</f>
        <v>Licitación por Invitación Restringida</v>
      </c>
      <c r="C146" s="8" t="str">
        <f>'[1]V, inciso p) (OP)'!D92</f>
        <v>DOPI-MUN-RM-AP-CI-145-2016</v>
      </c>
      <c r="D146" s="13">
        <f>'[1]V, inciso p) (OP)'!AD92</f>
        <v>42685</v>
      </c>
      <c r="E146" s="8" t="str">
        <f>'[1]V, inciso p) (OP)'!I92</f>
        <v>Sustitución de red de agua potable, drenaje sanitario y adecuaciones pluviales en la Avenida Juan Manuel Ruvalcaba en el tramo de la calle Río Amazonas y Pedro Moreno, localidad de Santa Lucia, municipio de Zapopan, Jalisco.</v>
      </c>
      <c r="F146" s="8" t="s">
        <v>184</v>
      </c>
      <c r="G146" s="9">
        <f>'[1]V, inciso p) (OP)'!AG92</f>
        <v>5120884.03</v>
      </c>
      <c r="H146" s="8" t="str">
        <f>'[1]V, inciso p) (OP)'!AS92</f>
        <v>Localidad de Santa Lucia</v>
      </c>
      <c r="I146" s="6" t="str">
        <f>'[1]V, inciso p) (OP)'!T92</f>
        <v>Mario</v>
      </c>
      <c r="J146" s="6" t="str">
        <f>'[1]V, inciso p) (OP)'!U92</f>
        <v>Beltrán</v>
      </c>
      <c r="K146" s="6" t="str">
        <f>'[1]V, inciso p) (OP)'!V92</f>
        <v>Rodríguez</v>
      </c>
      <c r="L146" s="8" t="str">
        <f>'[1]V, inciso p) (OP)'!W92</f>
        <v xml:space="preserve">Constructora y Desarrolladora Barba y Asociados, S. A. de C. V. </v>
      </c>
      <c r="M146" s="6" t="str">
        <f>'[1]V, inciso p) (OP)'!X92</f>
        <v>CDB0506068Z4</v>
      </c>
      <c r="N146" s="9">
        <f t="shared" si="3"/>
        <v>5120884.03</v>
      </c>
      <c r="O146" s="10" t="s">
        <v>40</v>
      </c>
      <c r="P146" s="10" t="s">
        <v>736</v>
      </c>
      <c r="Q146" s="11">
        <f>N146/1988</f>
        <v>2575.8973993963782</v>
      </c>
      <c r="R146" s="10" t="s">
        <v>42</v>
      </c>
      <c r="S146" s="14">
        <v>320</v>
      </c>
      <c r="T146" s="8" t="s">
        <v>43</v>
      </c>
      <c r="U146" s="6" t="s">
        <v>44</v>
      </c>
      <c r="V146" s="7">
        <f>'[1]V, inciso p) (OP)'!AM92</f>
        <v>42688</v>
      </c>
      <c r="W146" s="7">
        <f>'[1]V, inciso p) (OP)'!AN92</f>
        <v>42728</v>
      </c>
      <c r="X146" s="6" t="s">
        <v>544</v>
      </c>
      <c r="Y146" s="6" t="s">
        <v>545</v>
      </c>
      <c r="Z146" s="6" t="s">
        <v>212</v>
      </c>
      <c r="AA146" s="6" t="s">
        <v>40</v>
      </c>
      <c r="AB146" s="6" t="s">
        <v>40</v>
      </c>
    </row>
    <row r="147" spans="1:28" ht="202.5">
      <c r="A147" s="6">
        <v>2016</v>
      </c>
      <c r="B147" s="8" t="str">
        <f>'[1]V, inciso p) (OP)'!B93</f>
        <v>Licitación por Invitación Restringida</v>
      </c>
      <c r="C147" s="8" t="str">
        <f>'[1]V, inciso p) (OP)'!D93</f>
        <v>DOPI-MUN-RM-IE-CI-146-2016</v>
      </c>
      <c r="D147" s="13">
        <f>'[1]V, inciso p) (OP)'!AD93</f>
        <v>42685</v>
      </c>
      <c r="E147" s="8" t="str">
        <f>'[1]V, inciso p) (OP)'!I93</f>
        <v>Suministro y colocación de estructuras de protección de rayos ultravioleta en los planteles educativos: Plaza Comunitaria Ineejad matricula 200, colonia Centro; Centro de Atención Especial matricula 181, colonia El Vigia; Escuela Primaria Justo Sierra matricula 1115, localidad de Santa Anta Tepetitlán; Escuela Primaria Sor Juana Inés de la Cruz y José Vasconcelos matricula 1026, colonia Jardines del Valle; Escuela Primaria José Amador Pelayo y Miguel Hidalgo y Costilla matricula 985, colonia Lomas de Tabachines; Escuela Primaria Urbana Juan Escutia 1130 y Agustín Yañez matricula 916, colonia Paraísos del Colli; Escuela Primaria Vicente Guerrero matricula 854, colonia Vicente Guerrero, municipio de Zapopan, Jalisco.</v>
      </c>
      <c r="F147" s="8" t="s">
        <v>184</v>
      </c>
      <c r="G147" s="9">
        <f>'[1]V, inciso p) (OP)'!AG93</f>
        <v>4839304.3099999996</v>
      </c>
      <c r="H147" s="8" t="str">
        <f>'[1]V, inciso p) (OP)'!AS93</f>
        <v>Colonia Centro, El Vigia, Santa Ana Tepetitlán, Jardines del Valle, Lomas de Tabachines, Paraisos del Colli y Vicente Guerrero</v>
      </c>
      <c r="I147" s="6" t="str">
        <f>'[1]V, inciso p) (OP)'!T93</f>
        <v>Gustavo</v>
      </c>
      <c r="J147" s="6" t="str">
        <f>'[1]V, inciso p) (OP)'!U93</f>
        <v>Durán</v>
      </c>
      <c r="K147" s="6" t="str">
        <f>'[1]V, inciso p) (OP)'!V93</f>
        <v>Jiménez</v>
      </c>
      <c r="L147" s="8" t="str">
        <f>'[1]V, inciso p) (OP)'!W93</f>
        <v>Durán Jiménez Arquitectos y Asociados, S.A. de C.V.</v>
      </c>
      <c r="M147" s="6" t="str">
        <f>'[1]V, inciso p) (OP)'!X93</f>
        <v>DJA9405184G7</v>
      </c>
      <c r="N147" s="9">
        <f t="shared" si="3"/>
        <v>4839304.3099999996</v>
      </c>
      <c r="O147" s="10" t="s">
        <v>40</v>
      </c>
      <c r="P147" s="10" t="s">
        <v>737</v>
      </c>
      <c r="Q147" s="11">
        <f>N147/3597</f>
        <v>1345.3723408395883</v>
      </c>
      <c r="R147" s="10" t="s">
        <v>42</v>
      </c>
      <c r="S147" s="14">
        <v>965</v>
      </c>
      <c r="T147" s="8" t="s">
        <v>43</v>
      </c>
      <c r="U147" s="6" t="s">
        <v>44</v>
      </c>
      <c r="V147" s="7">
        <f>'[1]V, inciso p) (OP)'!AM93</f>
        <v>42688</v>
      </c>
      <c r="W147" s="7">
        <f>'[1]V, inciso p) (OP)'!AN93</f>
        <v>42728</v>
      </c>
      <c r="X147" s="6" t="s">
        <v>668</v>
      </c>
      <c r="Y147" s="6" t="s">
        <v>476</v>
      </c>
      <c r="Z147" s="6" t="s">
        <v>89</v>
      </c>
      <c r="AA147" s="6" t="s">
        <v>40</v>
      </c>
      <c r="AB147" s="6" t="s">
        <v>40</v>
      </c>
    </row>
    <row r="148" spans="1:28" ht="40.5">
      <c r="A148" s="6">
        <v>2016</v>
      </c>
      <c r="B148" s="8" t="str">
        <f>'[1]V, inciso p) (OP)'!B94</f>
        <v>Licitación por Invitación Restringida</v>
      </c>
      <c r="C148" s="8" t="str">
        <f>'[1]V, inciso p) (OP)'!D94</f>
        <v>DOPI-MUN-RM-AP-CI-147-2016</v>
      </c>
      <c r="D148" s="13">
        <f>'[1]V, inciso p) (OP)'!AD94</f>
        <v>42685</v>
      </c>
      <c r="E148" s="8" t="str">
        <f>'[1]V, inciso p) (OP)'!I94</f>
        <v>Perforación y equipamiento de pozo en el ejido de Copalita.</v>
      </c>
      <c r="F148" s="8" t="s">
        <v>184</v>
      </c>
      <c r="G148" s="9">
        <f>'[1]V, inciso p) (OP)'!AG94</f>
        <v>5204600.13</v>
      </c>
      <c r="H148" s="8" t="str">
        <f>'[1]V, inciso p) (OP)'!AS94</f>
        <v>Ejido Copalita</v>
      </c>
      <c r="I148" s="6" t="str">
        <f>'[1]V, inciso p) (OP)'!T94</f>
        <v>Karla Mariana</v>
      </c>
      <c r="J148" s="6" t="str">
        <f>'[1]V, inciso p) (OP)'!U94</f>
        <v>Méndez</v>
      </c>
      <c r="K148" s="6" t="str">
        <f>'[1]V, inciso p) (OP)'!V94</f>
        <v>Rodríguez</v>
      </c>
      <c r="L148" s="8" t="str">
        <f>'[1]V, inciso p) (OP)'!W94</f>
        <v>Grupo la Fuente, S.A. de C.V.</v>
      </c>
      <c r="M148" s="6" t="str">
        <f>'[1]V, inciso p) (OP)'!X94</f>
        <v>GFU021009BC1</v>
      </c>
      <c r="N148" s="9">
        <f t="shared" si="3"/>
        <v>5204600.13</v>
      </c>
      <c r="O148" s="10" t="s">
        <v>40</v>
      </c>
      <c r="P148" s="10" t="s">
        <v>738</v>
      </c>
      <c r="Q148" s="11">
        <f>N148/300</f>
        <v>17348.667099999999</v>
      </c>
      <c r="R148" s="10" t="s">
        <v>42</v>
      </c>
      <c r="S148" s="14">
        <v>88</v>
      </c>
      <c r="T148" s="8" t="s">
        <v>43</v>
      </c>
      <c r="U148" s="6" t="s">
        <v>565</v>
      </c>
      <c r="V148" s="7">
        <f>'[1]V, inciso p) (OP)'!AM94</f>
        <v>42688</v>
      </c>
      <c r="W148" s="7">
        <f>'[1]V, inciso p) (OP)'!AN94</f>
        <v>42759</v>
      </c>
      <c r="X148" s="6" t="s">
        <v>723</v>
      </c>
      <c r="Y148" s="6" t="s">
        <v>724</v>
      </c>
      <c r="Z148" s="6" t="s">
        <v>145</v>
      </c>
      <c r="AA148" s="6" t="s">
        <v>40</v>
      </c>
      <c r="AB148" s="6" t="s">
        <v>40</v>
      </c>
    </row>
    <row r="149" spans="1:28" ht="49.9" customHeight="1">
      <c r="A149" s="6">
        <v>2016</v>
      </c>
      <c r="B149" s="8" t="str">
        <f>'[1]V, inciso p) (OP)'!B95</f>
        <v>Licitación por Invitación Restringida</v>
      </c>
      <c r="C149" s="8" t="str">
        <f>'[1]V, inciso p) (OP)'!D95</f>
        <v>DOPI-MUN-R33-ELE-CI-148-2016</v>
      </c>
      <c r="D149" s="13">
        <f>'[1]V, inciso p) (OP)'!AD95</f>
        <v>42685</v>
      </c>
      <c r="E149" s="8" t="str">
        <f>'[1]V, inciso p) (OP)'!I95</f>
        <v>Primera etapa de alumbrado público en las calles Jardines del Vergel poniente y oriente, Jardines de los Olmos, Jardines de los Álamos, Jardines de los Cerezos, Jardines de las Magnolias, Jardines del Oyamel, Jardines de los Nísperos, Jardines de los Capulines, Jardines de los Tamarindos, Jardines de los Manzanos, Jardines del Jardines de las Parras, Jardines de los Ciruelos, Jardines de los Membrillos, Jardines de los Naranjos, Jardines de los Ébanos Oriente y Poniente, Jardines de los Robles Oriente y Poniente, Av. Del Vergel Poniente, Jardines de los Cerezos, Jardines de las Higueras, Jardines de las Caobas, Jardines del Oyamel, Jardines de la Rosa Morada, Jardines de los Abetos, Jardines de los Nogales, en la colonia Jardines del Vergel I sección; Primera etapa de alumbrado público en las calles Eucalipto, Ciprés, Aztecas. Daniel Duarte, Humberto Chavira, Las Torres, J. Carlos Rivera Aceves, José Bañuelos Guardado, en la colonia Lomas del Centinela, municipio de Zapopan, Jalisco.</v>
      </c>
      <c r="F149" s="8" t="s">
        <v>739</v>
      </c>
      <c r="G149" s="9">
        <f>'[1]V, inciso p) (OP)'!AG95</f>
        <v>4251366.43</v>
      </c>
      <c r="H149" s="8" t="str">
        <f>'[1]V, inciso p) (OP)'!AS95</f>
        <v>Varias colonias del Municipio</v>
      </c>
      <c r="I149" s="6" t="str">
        <f>'[1]V, inciso p) (OP)'!T95</f>
        <v>Héctor Alejandro</v>
      </c>
      <c r="J149" s="6" t="str">
        <f>'[1]V, inciso p) (OP)'!U95</f>
        <v>Ortega</v>
      </c>
      <c r="K149" s="6" t="str">
        <f>'[1]V, inciso p) (OP)'!V95</f>
        <v>Rosales</v>
      </c>
      <c r="L149" s="8" t="str">
        <f>'[1]V, inciso p) (OP)'!W95</f>
        <v xml:space="preserve">IME Servicios y Suministros, S. A. de C. V. </v>
      </c>
      <c r="M149" s="6" t="str">
        <f>'[1]V, inciso p) (OP)'!X95</f>
        <v>ISS920330811</v>
      </c>
      <c r="N149" s="9">
        <f t="shared" si="3"/>
        <v>4251366.43</v>
      </c>
      <c r="O149" s="10" t="s">
        <v>40</v>
      </c>
      <c r="P149" s="10" t="s">
        <v>740</v>
      </c>
      <c r="Q149" s="11">
        <f>N149/1150</f>
        <v>3696.8403739130431</v>
      </c>
      <c r="R149" s="10" t="s">
        <v>42</v>
      </c>
      <c r="S149" s="14">
        <v>906</v>
      </c>
      <c r="T149" s="8" t="s">
        <v>43</v>
      </c>
      <c r="U149" s="6" t="s">
        <v>565</v>
      </c>
      <c r="V149" s="7">
        <f>'[1]V, inciso p) (OP)'!AM95</f>
        <v>42688</v>
      </c>
      <c r="W149" s="7">
        <f>'[1]V, inciso p) (OP)'!AN95</f>
        <v>42728</v>
      </c>
      <c r="X149" s="6" t="s">
        <v>640</v>
      </c>
      <c r="Y149" s="6" t="s">
        <v>496</v>
      </c>
      <c r="Z149" s="6" t="s">
        <v>741</v>
      </c>
      <c r="AA149" s="6" t="s">
        <v>40</v>
      </c>
      <c r="AB149" s="6" t="s">
        <v>40</v>
      </c>
    </row>
    <row r="150" spans="1:28" ht="49.9" customHeight="1">
      <c r="A150" s="6">
        <v>2016</v>
      </c>
      <c r="B150" s="8" t="str">
        <f>'[1]V, inciso p) (OP)'!B96</f>
        <v>Licitación por Invitación Restringida</v>
      </c>
      <c r="C150" s="8" t="str">
        <f>'[1]V, inciso p) (OP)'!D96</f>
        <v>DOPI-MUN-R33-AP-CI-149-2016</v>
      </c>
      <c r="D150" s="13">
        <f>'[1]V, inciso p) (OP)'!AD96</f>
        <v>42727</v>
      </c>
      <c r="E150" s="8" t="str">
        <f>'[1]V, inciso p) (OP)'!I96</f>
        <v>Construcción de línea de agua potable y drenaje sanitario en la calle Jícama, de calle Limón a cerrada, calle Carlos Herrera Jasso, de calle Limón a calle Jícama, Privada Mango, de calle Carlos Herrera Jasso a cerrada y Privada Fresa, de calle Carlos Herrera Jasso a cerrada, en la colonia Mesa Colorada Oriente; y Construcción de línea de drenaje sanitario en la calle Paseo de los Ahuehuetes, de calle Paseo de Los Almendros a calle de Paseo de los Guayabos y calle Paseo de los Guayabos, de calle Colorines a calle Paseo de los Ahuehuetes, en la colonia Mesa de Los Ocotes, en el municipio de Zapopan, Jalisco.</v>
      </c>
      <c r="F150" s="8" t="s">
        <v>739</v>
      </c>
      <c r="G150" s="9">
        <f>'[1]V, inciso p) (OP)'!AG96</f>
        <v>4456704.66</v>
      </c>
      <c r="H150" s="8" t="str">
        <f>'[1]V, inciso p) (OP)'!AS96</f>
        <v>Colonia Mesa Colorada Oriente y colonia Mesa de los Ocotes</v>
      </c>
      <c r="I150" s="6" t="str">
        <f>'[1]V, inciso p) (OP)'!T96</f>
        <v>Eduardo</v>
      </c>
      <c r="J150" s="6" t="str">
        <f>'[1]V, inciso p) (OP)'!U96</f>
        <v>Romero</v>
      </c>
      <c r="K150" s="6" t="str">
        <f>'[1]V, inciso p) (OP)'!V96</f>
        <v>Lugo</v>
      </c>
      <c r="L150" s="8" t="str">
        <f>'[1]V, inciso p) (OP)'!W96</f>
        <v>RS Obras y Servicios, S.A. de C.V.</v>
      </c>
      <c r="M150" s="6" t="str">
        <f>'[1]V, inciso p) (OP)'!X96</f>
        <v>ROS120904PV9</v>
      </c>
      <c r="N150" s="9">
        <f>G150</f>
        <v>4456704.66</v>
      </c>
      <c r="O150" s="10" t="s">
        <v>40</v>
      </c>
      <c r="P150" s="10" t="s">
        <v>742</v>
      </c>
      <c r="Q150" s="11">
        <f>N150/1349.88</f>
        <v>3301.5561827718016</v>
      </c>
      <c r="R150" s="10" t="s">
        <v>42</v>
      </c>
      <c r="S150" s="14">
        <v>302</v>
      </c>
      <c r="T150" s="8" t="s">
        <v>43</v>
      </c>
      <c r="U150" s="6" t="s">
        <v>565</v>
      </c>
      <c r="V150" s="7">
        <f>'[1]V, inciso p) (OP)'!AM96</f>
        <v>42730</v>
      </c>
      <c r="W150" s="7">
        <f>'[1]V, inciso p) (OP)'!AN96</f>
        <v>42831</v>
      </c>
      <c r="X150" s="6" t="s">
        <v>681</v>
      </c>
      <c r="Y150" s="6" t="s">
        <v>682</v>
      </c>
      <c r="Z150" s="6" t="s">
        <v>683</v>
      </c>
      <c r="AA150" s="6" t="s">
        <v>40</v>
      </c>
      <c r="AB150" s="6" t="s">
        <v>40</v>
      </c>
    </row>
    <row r="151" spans="1:28" ht="108">
      <c r="A151" s="6">
        <v>2016</v>
      </c>
      <c r="B151" s="8" t="str">
        <f>'[1]V, inciso p) (OP)'!B97</f>
        <v>Licitación por Invitación Restringida</v>
      </c>
      <c r="C151" s="8" t="str">
        <f>'[1]V, inciso p) (OP)'!D97</f>
        <v>DOPI-MUN-RM-PAV-CI-150-2016</v>
      </c>
      <c r="D151" s="13">
        <f>'[1]V, inciso p) (OP)'!AD97</f>
        <v>42685</v>
      </c>
      <c r="E151" s="8" t="str">
        <f>'[1]V, inciso p) (OP)'!I97</f>
        <v>Reencarpetado de la vialidad, desbastado de la carpeta existente, nivelación de pozos de visita, cajas de válvulas, rejillas pluviales, bocas de tormenta y elementos estructurales que sobresalen de la rasante de la vialidad, calafateos, señalética horizontal en la Av. Aviación de Av. Vallarta a calle Ocampo frente 1, municipio de Zapopan, Jalisco.</v>
      </c>
      <c r="F151" s="8" t="s">
        <v>184</v>
      </c>
      <c r="G151" s="9">
        <f>'[1]V, inciso p) (OP)'!AG97</f>
        <v>4960902.49</v>
      </c>
      <c r="H151" s="8" t="str">
        <f>'[1]V, inciso p) (OP)'!AS97</f>
        <v>San Juan de Ocotán</v>
      </c>
      <c r="I151" s="6" t="str">
        <f>'[1]V, inciso p) (OP)'!T97</f>
        <v>David Eduardo</v>
      </c>
      <c r="J151" s="6" t="str">
        <f>'[1]V, inciso p) (OP)'!U97</f>
        <v>Lara</v>
      </c>
      <c r="K151" s="6" t="str">
        <f>'[1]V, inciso p) (OP)'!V97</f>
        <v>Ochoa</v>
      </c>
      <c r="L151" s="8" t="str">
        <f>'[1]V, inciso p) (OP)'!W97</f>
        <v xml:space="preserve">Construcciones ICU, S.A. de C.V. </v>
      </c>
      <c r="M151" s="6" t="str">
        <f>'[1]V, inciso p) (OP)'!X97</f>
        <v>CIC080626ER2</v>
      </c>
      <c r="N151" s="9">
        <f t="shared" si="3"/>
        <v>4960902.49</v>
      </c>
      <c r="O151" s="11">
        <v>4480983.33</v>
      </c>
      <c r="P151" s="10" t="s">
        <v>743</v>
      </c>
      <c r="Q151" s="11">
        <f>N151/7500</f>
        <v>661.45366533333333</v>
      </c>
      <c r="R151" s="10" t="s">
        <v>42</v>
      </c>
      <c r="S151" s="14">
        <v>35640</v>
      </c>
      <c r="T151" s="8" t="s">
        <v>43</v>
      </c>
      <c r="U151" s="6" t="s">
        <v>44</v>
      </c>
      <c r="V151" s="7">
        <f>'[1]V, inciso p) (OP)'!AM97</f>
        <v>42688</v>
      </c>
      <c r="W151" s="7">
        <f>'[1]V, inciso p) (OP)'!AN97</f>
        <v>42728</v>
      </c>
      <c r="X151" s="6" t="s">
        <v>586</v>
      </c>
      <c r="Y151" s="6" t="s">
        <v>404</v>
      </c>
      <c r="Z151" s="6" t="s">
        <v>405</v>
      </c>
      <c r="AA151" s="6" t="s">
        <v>40</v>
      </c>
      <c r="AB151" s="6" t="s">
        <v>40</v>
      </c>
    </row>
    <row r="152" spans="1:28" ht="108">
      <c r="A152" s="6">
        <v>2016</v>
      </c>
      <c r="B152" s="8" t="str">
        <f>'[1]V, inciso p) (OP)'!B98</f>
        <v>Licitación por Invitación Restringida</v>
      </c>
      <c r="C152" s="8" t="str">
        <f>'[1]V, inciso p) (OP)'!D98</f>
        <v>DOPI-MUN-RM-PAV-CI-151-2016</v>
      </c>
      <c r="D152" s="13">
        <f>'[1]V, inciso p) (OP)'!AD98</f>
        <v>42685</v>
      </c>
      <c r="E152" s="8" t="str">
        <f>'[1]V, inciso p) (OP)'!I98</f>
        <v>Reencarpetado de la vialidad, desbastado de la carpeta existente, nivelación de pozos de visita, cajas de válvulas, rejillas pluviales, bocas de tormenta y elementos estructurales que sobresalen de la rasante de la vialidad, calafateos, señalética horizontal en la Av. Aviación de Av. Vallarta a calle Ocampo frente 2, municipio de Zapopan, Jalisco.</v>
      </c>
      <c r="F152" s="8" t="s">
        <v>184</v>
      </c>
      <c r="G152" s="9">
        <f>'[1]V, inciso p) (OP)'!AG98</f>
        <v>4130342.71</v>
      </c>
      <c r="H152" s="8" t="str">
        <f>'[1]V, inciso p) (OP)'!AS98</f>
        <v>San Juan de Ocotán</v>
      </c>
      <c r="I152" s="6" t="str">
        <f>'[1]V, inciso p) (OP)'!T98</f>
        <v>Luis Armando</v>
      </c>
      <c r="J152" s="6" t="str">
        <f>'[1]V, inciso p) (OP)'!U98</f>
        <v>Linares</v>
      </c>
      <c r="K152" s="6" t="str">
        <f>'[1]V, inciso p) (OP)'!V98</f>
        <v>Cacho</v>
      </c>
      <c r="L152" s="8" t="str">
        <f>'[1]V, inciso p) (OP)'!W98</f>
        <v>Urbanizadora y Constructora Roal, S.A. de C.V.</v>
      </c>
      <c r="M152" s="6" t="str">
        <f>'[1]V, inciso p) (OP)'!X98</f>
        <v>URC160310857</v>
      </c>
      <c r="N152" s="9">
        <f t="shared" si="3"/>
        <v>4130342.71</v>
      </c>
      <c r="O152" s="11">
        <v>4130342.71</v>
      </c>
      <c r="P152" s="10" t="s">
        <v>744</v>
      </c>
      <c r="Q152" s="11">
        <f>N152/3201</f>
        <v>1290.3288691034052</v>
      </c>
      <c r="R152" s="10" t="s">
        <v>42</v>
      </c>
      <c r="S152" s="14">
        <v>35640</v>
      </c>
      <c r="T152" s="8" t="s">
        <v>43</v>
      </c>
      <c r="U152" s="6" t="s">
        <v>44</v>
      </c>
      <c r="V152" s="7">
        <f>'[1]V, inciso p) (OP)'!AM98</f>
        <v>42688</v>
      </c>
      <c r="W152" s="7">
        <f>'[1]V, inciso p) (OP)'!AN98</f>
        <v>42728</v>
      </c>
      <c r="X152" s="6" t="s">
        <v>586</v>
      </c>
      <c r="Y152" s="6" t="s">
        <v>404</v>
      </c>
      <c r="Z152" s="6" t="s">
        <v>405</v>
      </c>
      <c r="AA152" s="6" t="s">
        <v>40</v>
      </c>
      <c r="AB152" s="6" t="s">
        <v>40</v>
      </c>
    </row>
    <row r="153" spans="1:28" ht="108">
      <c r="A153" s="6">
        <v>2016</v>
      </c>
      <c r="B153" s="8" t="str">
        <f>'[1]V, inciso p) (OP)'!B99</f>
        <v>Licitación por Invitación Restringida</v>
      </c>
      <c r="C153" s="8" t="str">
        <f>'[1]V, inciso p) (OP)'!D99</f>
        <v>DOPI-MUN-RM-PAV-CI-152-2016</v>
      </c>
      <c r="D153" s="13">
        <f>'[1]V, inciso p) (OP)'!AD99</f>
        <v>42685</v>
      </c>
      <c r="E153" s="8" t="str">
        <f>'[1]V, inciso p) (OP)'!I99</f>
        <v>Reencarpetado de la vialidad, desbastado de la carpeta existente, nivelación de pozos de visita, cajas de válvulas, rejillas pluviales, bocas de tormenta y elementos estructurales que sobresalen de la rasante de la vialidad, calafateos, señalética horizontal en la Av. 5 de Mayo de Periférico Poniente a Av. Aviación, municipio de Zapopan, Jalisco.</v>
      </c>
      <c r="F153" s="8" t="s">
        <v>184</v>
      </c>
      <c r="G153" s="9">
        <f>'[1]V, inciso p) (OP)'!AG99</f>
        <v>5069996.18</v>
      </c>
      <c r="H153" s="8" t="str">
        <f>'[1]V, inciso p) (OP)'!AS99</f>
        <v>San Juan de Ocotán</v>
      </c>
      <c r="I153" s="6" t="str">
        <f>'[1]V, inciso p) (OP)'!T99</f>
        <v>Carlos Ignacio</v>
      </c>
      <c r="J153" s="6" t="str">
        <f>'[1]V, inciso p) (OP)'!U99</f>
        <v>Curiel</v>
      </c>
      <c r="K153" s="6" t="str">
        <f>'[1]V, inciso p) (OP)'!V99</f>
        <v>Dueñas</v>
      </c>
      <c r="L153" s="8" t="str">
        <f>'[1]V, inciso p) (OP)'!W99</f>
        <v>Constructora Cecuchi, S.A. de C.V.</v>
      </c>
      <c r="M153" s="6" t="str">
        <f>'[1]V, inciso p) (OP)'!X99</f>
        <v>CCE130723IR7</v>
      </c>
      <c r="N153" s="9">
        <f t="shared" si="3"/>
        <v>5069996.18</v>
      </c>
      <c r="O153" s="10" t="s">
        <v>40</v>
      </c>
      <c r="P153" s="10" t="s">
        <v>745</v>
      </c>
      <c r="Q153" s="11">
        <f>N153/16033</f>
        <v>316.2225522360132</v>
      </c>
      <c r="R153" s="10" t="s">
        <v>42</v>
      </c>
      <c r="S153" s="14">
        <v>4226</v>
      </c>
      <c r="T153" s="8" t="s">
        <v>43</v>
      </c>
      <c r="U153" s="6" t="s">
        <v>565</v>
      </c>
      <c r="V153" s="7">
        <f>'[1]V, inciso p) (OP)'!AM99</f>
        <v>42688</v>
      </c>
      <c r="W153" s="7">
        <f>'[1]V, inciso p) (OP)'!AN99</f>
        <v>42728</v>
      </c>
      <c r="X153" s="6" t="s">
        <v>586</v>
      </c>
      <c r="Y153" s="6" t="s">
        <v>404</v>
      </c>
      <c r="Z153" s="6" t="s">
        <v>405</v>
      </c>
      <c r="AA153" s="6" t="s">
        <v>40</v>
      </c>
      <c r="AB153" s="6" t="s">
        <v>40</v>
      </c>
    </row>
    <row r="154" spans="1:28" ht="94.5">
      <c r="A154" s="6">
        <v>2016</v>
      </c>
      <c r="B154" s="8" t="str">
        <f>'[1]V, inciso p) (OP)'!B100</f>
        <v>Licitación por Invitación Restringida</v>
      </c>
      <c r="C154" s="8" t="str">
        <f>'[1]V, inciso p) (OP)'!D100</f>
        <v>DOPI-MUN-RM-PAV-CI-153-2016</v>
      </c>
      <c r="D154" s="13">
        <f>'[1]V, inciso p) (OP)'!AD100</f>
        <v>42685</v>
      </c>
      <c r="E154" s="8" t="str">
        <f>'[1]V, inciso p) (OP)'!I100</f>
        <v>Construcción de pavimento de concreto hidráulico MR-45, de línea de agua potable, drenaje sanitario, electrificación, alumbrado público, guarniciones, banqueta, señalética horizontal y vertical en la calle Capulín, en la localidad de Tesistán, municipio de Zapopan, Jalisco.</v>
      </c>
      <c r="F154" s="8" t="s">
        <v>184</v>
      </c>
      <c r="G154" s="9">
        <f>'[1]V, inciso p) (OP)'!AG100</f>
        <v>7253719.3200000003</v>
      </c>
      <c r="H154" s="8" t="str">
        <f>'[1]V, inciso p) (OP)'!AS100</f>
        <v>Localidad de Tesistán</v>
      </c>
      <c r="I154" s="6" t="str">
        <f>'[1]V, inciso p) (OP)'!T100</f>
        <v xml:space="preserve"> Martha </v>
      </c>
      <c r="J154" s="6" t="str">
        <f>'[1]V, inciso p) (OP)'!U100</f>
        <v>Jiménez</v>
      </c>
      <c r="K154" s="6" t="str">
        <f>'[1]V, inciso p) (OP)'!V100</f>
        <v>López</v>
      </c>
      <c r="L154" s="8" t="str">
        <f>'[1]V, inciso p) (OP)'!W100</f>
        <v>Inmobiliaria Bochum S. de R.L. de C.V.</v>
      </c>
      <c r="M154" s="6" t="str">
        <f>'[1]V, inciso p) (OP)'!X100</f>
        <v>IBO090918ET9</v>
      </c>
      <c r="N154" s="9">
        <f t="shared" si="3"/>
        <v>7253719.3200000003</v>
      </c>
      <c r="O154" s="10" t="s">
        <v>40</v>
      </c>
      <c r="P154" s="10" t="s">
        <v>746</v>
      </c>
      <c r="Q154" s="11">
        <f>N154/3682</f>
        <v>1970.0487017925041</v>
      </c>
      <c r="R154" s="10" t="s">
        <v>42</v>
      </c>
      <c r="S154" s="14">
        <v>125</v>
      </c>
      <c r="T154" s="8" t="s">
        <v>43</v>
      </c>
      <c r="U154" s="6" t="s">
        <v>44</v>
      </c>
      <c r="V154" s="7">
        <f>'[1]V, inciso p) (OP)'!AM100</f>
        <v>42688</v>
      </c>
      <c r="W154" s="7">
        <f>'[1]V, inciso p) (OP)'!AN100</f>
        <v>42728</v>
      </c>
      <c r="X154" s="6" t="s">
        <v>544</v>
      </c>
      <c r="Y154" s="6" t="s">
        <v>545</v>
      </c>
      <c r="Z154" s="6" t="s">
        <v>212</v>
      </c>
      <c r="AA154" s="6" t="s">
        <v>40</v>
      </c>
      <c r="AB154" s="6" t="s">
        <v>40</v>
      </c>
    </row>
    <row r="155" spans="1:28" ht="94.5">
      <c r="A155" s="6">
        <v>2016</v>
      </c>
      <c r="B155" s="8" t="str">
        <f>'[1]V, inciso p) (OP)'!B101</f>
        <v>Licitación por Invitación Restringida</v>
      </c>
      <c r="C155" s="8" t="str">
        <f>'[1]V, inciso p) (OP)'!D101</f>
        <v>DOPI-MUN-RM-PAV-CI-154-2016</v>
      </c>
      <c r="D155" s="13">
        <f>'[1]V, inciso p) (OP)'!AD101</f>
        <v>42685</v>
      </c>
      <c r="E155" s="8" t="str">
        <f>'[1]V, inciso p) (OP)'!I101</f>
        <v>Construcción de la primera etapa de pavimento de concreto hidráulico MR-45, línea de agua potable, drenaje sanitario, colector sanitario, guarniciones, banqueta, bocas de tormenta en la calle Navio de la Av. La Calma a calle Boyero, en la colonia La Calma, municipio de Zapopan, Jalisco.</v>
      </c>
      <c r="F155" s="8" t="s">
        <v>184</v>
      </c>
      <c r="G155" s="9">
        <f>'[1]V, inciso p) (OP)'!AG101</f>
        <v>3382310.92</v>
      </c>
      <c r="H155" s="8" t="str">
        <f>'[1]V, inciso p) (OP)'!AS101</f>
        <v>Colonia La Calma</v>
      </c>
      <c r="I155" s="6" t="str">
        <f>'[1]V, inciso p) (OP)'!T101</f>
        <v>Carlos</v>
      </c>
      <c r="J155" s="6" t="str">
        <f>'[1]V, inciso p) (OP)'!U101</f>
        <v>Pérez</v>
      </c>
      <c r="K155" s="6" t="str">
        <f>'[1]V, inciso p) (OP)'!V101</f>
        <v>Cruz</v>
      </c>
      <c r="L155" s="8" t="str">
        <f>'[1]V, inciso p) (OP)'!W101</f>
        <v>Constructora Pecru, S.A. de C.V.</v>
      </c>
      <c r="M155" s="6" t="str">
        <f>'[1]V, inciso p) (OP)'!X101</f>
        <v>CPE070123PD4</v>
      </c>
      <c r="N155" s="9">
        <f t="shared" si="3"/>
        <v>3382310.92</v>
      </c>
      <c r="O155" s="10" t="s">
        <v>40</v>
      </c>
      <c r="P155" s="10" t="s">
        <v>747</v>
      </c>
      <c r="Q155" s="11">
        <f>N155/1598</f>
        <v>2116.5900625782228</v>
      </c>
      <c r="R155" s="10" t="s">
        <v>42</v>
      </c>
      <c r="S155" s="14">
        <v>266</v>
      </c>
      <c r="T155" s="8" t="s">
        <v>43</v>
      </c>
      <c r="U155" s="6" t="s">
        <v>44</v>
      </c>
      <c r="V155" s="7">
        <f>'[1]V, inciso p) (OP)'!AM101</f>
        <v>42688</v>
      </c>
      <c r="W155" s="7">
        <f>'[1]V, inciso p) (OP)'!AN101</f>
        <v>42728</v>
      </c>
      <c r="X155" s="6" t="s">
        <v>671</v>
      </c>
      <c r="Y155" s="6" t="s">
        <v>334</v>
      </c>
      <c r="Z155" s="6" t="s">
        <v>133</v>
      </c>
      <c r="AA155" s="6" t="s">
        <v>40</v>
      </c>
      <c r="AB155" s="6" t="s">
        <v>40</v>
      </c>
    </row>
    <row r="156" spans="1:28" ht="67.5">
      <c r="A156" s="6">
        <v>2016</v>
      </c>
      <c r="B156" s="8" t="str">
        <f>'[1]V, inciso p) (OP)'!B102</f>
        <v>Licitación por Invitación Restringida</v>
      </c>
      <c r="C156" s="8" t="str">
        <f>'[1]V, inciso p) (OP)'!D102</f>
        <v>DOPI-MUN-RM-PAV-CI-155-2016</v>
      </c>
      <c r="D156" s="13">
        <f>'[1]V, inciso p) (OP)'!AD102</f>
        <v>42685</v>
      </c>
      <c r="E156" s="8" t="str">
        <f>'[1]V, inciso p) (OP)'!I102</f>
        <v>Construcción de empedrado tradicional y huellas de rodamiento de concreto hidráulico MR-42, cunetas, guarniciones, banquetas, señalamiento vertical y horizontal en el camino al Arenero, municipio de Zapopan, Jalisco.</v>
      </c>
      <c r="F156" s="8" t="s">
        <v>184</v>
      </c>
      <c r="G156" s="9">
        <f>'[1]V, inciso p) (OP)'!AG102</f>
        <v>7468157.6799999997</v>
      </c>
      <c r="H156" s="8" t="str">
        <f>'[1]V, inciso p) (OP)'!AS102</f>
        <v>Colonia Bajío</v>
      </c>
      <c r="I156" s="6" t="str">
        <f>'[1]V, inciso p) (OP)'!T102</f>
        <v>Arturo</v>
      </c>
      <c r="J156" s="6" t="str">
        <f>'[1]V, inciso p) (OP)'!U102</f>
        <v>Rangel</v>
      </c>
      <c r="K156" s="6" t="str">
        <f>'[1]V, inciso p) (OP)'!V102</f>
        <v>Paez</v>
      </c>
      <c r="L156" s="8" t="str">
        <f>'[1]V, inciso p) (OP)'!W102</f>
        <v>Constructora Lasa, S.A. de C.V.</v>
      </c>
      <c r="M156" s="6" t="str">
        <f>'[1]V, inciso p) (OP)'!X102</f>
        <v>CLA890925ER5</v>
      </c>
      <c r="N156" s="9">
        <f t="shared" si="3"/>
        <v>7468157.6799999997</v>
      </c>
      <c r="O156" s="10" t="s">
        <v>40</v>
      </c>
      <c r="P156" s="10" t="s">
        <v>748</v>
      </c>
      <c r="Q156" s="11">
        <f>N156/6512</f>
        <v>1146.8301105651105</v>
      </c>
      <c r="R156" s="10" t="s">
        <v>42</v>
      </c>
      <c r="S156" s="14">
        <v>1224</v>
      </c>
      <c r="T156" s="8" t="s">
        <v>43</v>
      </c>
      <c r="U156" s="6" t="s">
        <v>44</v>
      </c>
      <c r="V156" s="7">
        <f>'[1]V, inciso p) (OP)'!AM102</f>
        <v>42688</v>
      </c>
      <c r="W156" s="7">
        <f>'[1]V, inciso p) (OP)'!AN102</f>
        <v>42728</v>
      </c>
      <c r="X156" s="6" t="s">
        <v>530</v>
      </c>
      <c r="Y156" s="6" t="s">
        <v>343</v>
      </c>
      <c r="Z156" s="6" t="s">
        <v>344</v>
      </c>
      <c r="AA156" s="6" t="s">
        <v>40</v>
      </c>
      <c r="AB156" s="6" t="s">
        <v>40</v>
      </c>
    </row>
    <row r="157" spans="1:28" ht="162">
      <c r="A157" s="6">
        <v>2016</v>
      </c>
      <c r="B157" s="8" t="str">
        <f>'[1]V, inciso p) (OP)'!B103</f>
        <v>Licitación por Invitación Restringida</v>
      </c>
      <c r="C157" s="8" t="str">
        <f>'[1]V, inciso p) (OP)'!D103</f>
        <v>DOPI-MUN-RM-IE-CI-156-2016</v>
      </c>
      <c r="D157" s="13">
        <f>'[1]V, inciso p) (OP)'!AD103</f>
        <v>42685</v>
      </c>
      <c r="E157" s="8" t="str">
        <f>'[1]V, inciso p) (OP)'!I103</f>
        <v>Suministro y colocación de estructuras de protección de rayos ultravioleta en los planteles educativos: Escuela Primaria Niños Héroes y Salvador López Chávez, matricula 750, colonia Pinar de la Calma; Escuela Primaria Idolina Gaona Cosio de Vidaurri, matricula 703, colonia Los Cajetes; Escuela Primaria Antonio Caso y Patria, matricula 490, colonia El Briseño segunda sección; Escuela Primaria Paulo Freire y 24 de Octubre, matricula 675, colonia Mariano Otero; Escuela Primaria Rafael Ramírez, matricula 240, colonia Paseos del Briseño, municipio de Zapopan, Jalisco.</v>
      </c>
      <c r="F157" s="8" t="s">
        <v>184</v>
      </c>
      <c r="G157" s="9">
        <f>'[1]V, inciso p) (OP)'!AG103</f>
        <v>4189228.4</v>
      </c>
      <c r="H157" s="8" t="str">
        <f>'[1]V, inciso p) (OP)'!AS103</f>
        <v>Varias colonias del Municipio</v>
      </c>
      <c r="I157" s="6" t="str">
        <f>'[1]V, inciso p) (OP)'!T103</f>
        <v>Eduardo</v>
      </c>
      <c r="J157" s="6" t="str">
        <f>'[1]V, inciso p) (OP)'!U103</f>
        <v>Cruz</v>
      </c>
      <c r="K157" s="6" t="str">
        <f>'[1]V, inciso p) (OP)'!V103</f>
        <v>Moguel</v>
      </c>
      <c r="L157" s="8" t="str">
        <f>'[1]V, inciso p) (OP)'!W103</f>
        <v>Balken, S.A. de C.V.</v>
      </c>
      <c r="M157" s="6" t="str">
        <f>'[1]V, inciso p) (OP)'!X103</f>
        <v>BAL990803661</v>
      </c>
      <c r="N157" s="9">
        <f t="shared" si="3"/>
        <v>4189228.4</v>
      </c>
      <c r="O157" s="10" t="s">
        <v>40</v>
      </c>
      <c r="P157" s="10" t="s">
        <v>749</v>
      </c>
      <c r="Q157" s="11">
        <f>N157/3208</f>
        <v>1305.8692019950124</v>
      </c>
      <c r="R157" s="10" t="s">
        <v>42</v>
      </c>
      <c r="S157" s="14">
        <v>2831</v>
      </c>
      <c r="T157" s="8" t="s">
        <v>43</v>
      </c>
      <c r="U157" s="6" t="s">
        <v>44</v>
      </c>
      <c r="V157" s="7">
        <f>'[1]V, inciso p) (OP)'!AM103</f>
        <v>42688</v>
      </c>
      <c r="W157" s="7">
        <f>'[1]V, inciso p) (OP)'!AN103</f>
        <v>42728</v>
      </c>
      <c r="X157" s="6" t="s">
        <v>701</v>
      </c>
      <c r="Y157" s="6" t="s">
        <v>295</v>
      </c>
      <c r="Z157" s="6" t="s">
        <v>702</v>
      </c>
      <c r="AA157" s="6" t="s">
        <v>40</v>
      </c>
      <c r="AB157" s="6" t="s">
        <v>40</v>
      </c>
    </row>
    <row r="158" spans="1:28" ht="148.5">
      <c r="A158" s="6">
        <v>2016</v>
      </c>
      <c r="B158" s="8" t="str">
        <f>'[1]V, inciso p) (OP)'!B104</f>
        <v>Licitación por Invitación Restringida</v>
      </c>
      <c r="C158" s="8" t="str">
        <f>'[1]V, inciso p) (OP)'!D104</f>
        <v>DOPI-MUN-RM-IE-CI-157-2016</v>
      </c>
      <c r="D158" s="13">
        <f>'[1]V, inciso p) (OP)'!AD104</f>
        <v>42685</v>
      </c>
      <c r="E158" s="8" t="str">
        <f>'[1]V, inciso p) (OP)'!I104</f>
        <v>Suministro y colocación de estructuras de protección de rayos ultravioleta en los planteles educativos: Escuela Primaria Emiliano Zapata y Lázaro Cárdenas del Río, matricula 493, colonia San Isidro Ejidal; Escuela Primaria Ramón López Velarde, matricula 478, colonia Arcos de Zapopan tercera sección; Escuela Primaria Valentín Gómez Farias, matricula 243, colonia San Isidro Ejidal; Escuela Primaria José María Morelos y Pavón, matricula 194, colonia San José del Bajío, municipio de Zapopan, Jalisco.</v>
      </c>
      <c r="F158" s="8" t="s">
        <v>184</v>
      </c>
      <c r="G158" s="9">
        <f>'[1]V, inciso p) (OP)'!AG104</f>
        <v>3269771.91</v>
      </c>
      <c r="H158" s="8" t="str">
        <f>'[1]V, inciso p) (OP)'!AS104</f>
        <v>Varias colonias del Municipio</v>
      </c>
      <c r="I158" s="6" t="str">
        <f>'[1]V, inciso p) (OP)'!T104</f>
        <v>Vicente</v>
      </c>
      <c r="J158" s="6" t="str">
        <f>'[1]V, inciso p) (OP)'!U104</f>
        <v>Mendoza</v>
      </c>
      <c r="K158" s="6" t="str">
        <f>'[1]V, inciso p) (OP)'!V104</f>
        <v>Lamas</v>
      </c>
      <c r="L158" s="8" t="str">
        <f>'[1]V, inciso p) (OP)'!W104</f>
        <v>Constructora y Urbanizadora Arista, S.A. de C.V.</v>
      </c>
      <c r="M158" s="6" t="str">
        <f>'[1]V, inciso p) (OP)'!X104</f>
        <v>CUA130425I70</v>
      </c>
      <c r="N158" s="9">
        <f t="shared" si="3"/>
        <v>3269771.91</v>
      </c>
      <c r="O158" s="10" t="s">
        <v>40</v>
      </c>
      <c r="P158" s="10" t="s">
        <v>750</v>
      </c>
      <c r="Q158" s="11">
        <f>N158/2548</f>
        <v>1283.2699803767662</v>
      </c>
      <c r="R158" s="10" t="s">
        <v>42</v>
      </c>
      <c r="S158" s="14">
        <v>1402</v>
      </c>
      <c r="T158" s="8" t="s">
        <v>43</v>
      </c>
      <c r="U158" s="6" t="s">
        <v>44</v>
      </c>
      <c r="V158" s="7">
        <f>'[1]V, inciso p) (OP)'!AM104</f>
        <v>42688</v>
      </c>
      <c r="W158" s="7">
        <f>'[1]V, inciso p) (OP)'!AN104</f>
        <v>42728</v>
      </c>
      <c r="X158" s="6" t="s">
        <v>733</v>
      </c>
      <c r="Y158" s="6" t="s">
        <v>734</v>
      </c>
      <c r="Z158" s="6" t="s">
        <v>735</v>
      </c>
      <c r="AA158" s="6" t="s">
        <v>40</v>
      </c>
      <c r="AB158" s="6" t="s">
        <v>40</v>
      </c>
    </row>
    <row r="159" spans="1:28" ht="148.5">
      <c r="A159" s="6">
        <v>2016</v>
      </c>
      <c r="B159" s="8" t="str">
        <f>'[1]V, inciso p) (OP)'!B105</f>
        <v>Licitación por Invitación Restringida</v>
      </c>
      <c r="C159" s="8" t="str">
        <f>'[1]V, inciso p) (OP)'!D105</f>
        <v>DOPI-MUN-RM-IE-CI-158-2016</v>
      </c>
      <c r="D159" s="13">
        <f>'[1]V, inciso p) (OP)'!AD105</f>
        <v>42685</v>
      </c>
      <c r="E159" s="8" t="str">
        <f>'[1]V, inciso p) (OP)'!I105</f>
        <v>Suministro y colocación de estructuras de protección de rayos ultravioleta en los planteles educativos: Escuela Primaria 5 de Mayo y Bernardo Ortíz de Montellano, matricula 642, colonia Misión del Bosque; Escuela Primaria Rural Luis Pérez Verdía, matricula 220, colonia San Francisco de Ixcatán; Escuela Primaria Rural Mariano Azuela, matricula 198, colonia Río Blanco; Escuela Primaria Rural Miguel Hidalgo y Costilla, matricula 140, Ampliación de Copala, municipio de Zapopan, Jalisco.</v>
      </c>
      <c r="F159" s="8" t="s">
        <v>184</v>
      </c>
      <c r="G159" s="9">
        <f>'[1]V, inciso p) (OP)'!AG105</f>
        <v>3328458.75</v>
      </c>
      <c r="H159" s="8" t="str">
        <f>'[1]V, inciso p) (OP)'!AS105</f>
        <v>Varias colonias del Municipio</v>
      </c>
      <c r="I159" s="6" t="str">
        <f>'[1]V, inciso p) (OP)'!T105</f>
        <v>J. Gerardo</v>
      </c>
      <c r="J159" s="6" t="str">
        <f>'[1]V, inciso p) (OP)'!U105</f>
        <v>Nicanor</v>
      </c>
      <c r="K159" s="6" t="str">
        <f>'[1]V, inciso p) (OP)'!V105</f>
        <v>Mejia Mariscal</v>
      </c>
      <c r="L159" s="8" t="str">
        <f>'[1]V, inciso p) (OP)'!W105</f>
        <v>Ineco Construye, S.A. de C.V.</v>
      </c>
      <c r="M159" s="6" t="str">
        <f>'[1]V, inciso p) (OP)'!X105</f>
        <v>ICO980722M04</v>
      </c>
      <c r="N159" s="9">
        <f t="shared" si="3"/>
        <v>3328458.75</v>
      </c>
      <c r="O159" s="10" t="s">
        <v>40</v>
      </c>
      <c r="P159" s="10" t="s">
        <v>751</v>
      </c>
      <c r="Q159" s="11">
        <f>N159/2378</f>
        <v>1399.6882884777124</v>
      </c>
      <c r="R159" s="10" t="s">
        <v>42</v>
      </c>
      <c r="S159" s="14">
        <v>1020</v>
      </c>
      <c r="T159" s="8" t="s">
        <v>43</v>
      </c>
      <c r="U159" s="6" t="s">
        <v>44</v>
      </c>
      <c r="V159" s="7">
        <f>'[1]V, inciso p) (OP)'!AM105</f>
        <v>42688</v>
      </c>
      <c r="W159" s="7">
        <f>'[1]V, inciso p) (OP)'!AN105</f>
        <v>42728</v>
      </c>
      <c r="X159" s="6" t="s">
        <v>668</v>
      </c>
      <c r="Y159" s="6" t="s">
        <v>476</v>
      </c>
      <c r="Z159" s="6" t="s">
        <v>89</v>
      </c>
      <c r="AA159" s="6" t="s">
        <v>40</v>
      </c>
      <c r="AB159" s="6" t="s">
        <v>40</v>
      </c>
    </row>
    <row r="160" spans="1:28" ht="81">
      <c r="A160" s="6">
        <v>2016</v>
      </c>
      <c r="B160" s="6" t="s">
        <v>64</v>
      </c>
      <c r="C160" s="8" t="str">
        <f>'[1]V, inciso o) (OP)'!C72</f>
        <v>DOPI-MUN-RM-PAV-AD-159-2016</v>
      </c>
      <c r="D160" s="13">
        <f>'[1]V, inciso o) (OP)'!V72</f>
        <v>42613</v>
      </c>
      <c r="E160" s="8" t="str">
        <f>'[1]V, inciso o) (OP)'!AA72</f>
        <v>Sustitución de rejillas en bocas de tormenta en Avenida Patria ente Avila Camacho y Real Acueducto, en Avenida Tepeyac entre Manuel J. Clouthier y limite municipal, lateral Periférico en su cruce con Mariano Otero, municipio de Zapopan, Jalisco</v>
      </c>
      <c r="F160" s="8" t="s">
        <v>184</v>
      </c>
      <c r="G160" s="9">
        <f>'[1]V, inciso o) (OP)'!Y72</f>
        <v>1439734.18</v>
      </c>
      <c r="H160" s="8" t="s">
        <v>225</v>
      </c>
      <c r="I160" s="6" t="str">
        <f>'[1]V, inciso o) (OP)'!M72</f>
        <v>José Jaime</v>
      </c>
      <c r="J160" s="6" t="str">
        <f>'[1]V, inciso o) (OP)'!N72</f>
        <v>Camarena</v>
      </c>
      <c r="K160" s="6" t="str">
        <f>'[1]V, inciso o) (OP)'!O72</f>
        <v>Correa</v>
      </c>
      <c r="L160" s="8" t="str">
        <f>'[1]V, inciso o) (OP)'!P72</f>
        <v>Firmitas Constructa, S.A. de C.V.</v>
      </c>
      <c r="M160" s="6" t="str">
        <f>'[1]V, inciso o) (OP)'!Q72</f>
        <v>FCO110711N24</v>
      </c>
      <c r="N160" s="9">
        <f>'[1]V, inciso o) (OP)'!Y72</f>
        <v>1439734.18</v>
      </c>
      <c r="O160" s="10" t="s">
        <v>40</v>
      </c>
      <c r="P160" s="6" t="s">
        <v>752</v>
      </c>
      <c r="Q160" s="9">
        <f>N160/15</f>
        <v>95982.278666666665</v>
      </c>
      <c r="R160" s="6" t="s">
        <v>42</v>
      </c>
      <c r="S160" s="12">
        <v>102366</v>
      </c>
      <c r="T160" s="8" t="s">
        <v>43</v>
      </c>
      <c r="U160" s="6" t="s">
        <v>44</v>
      </c>
      <c r="V160" s="7">
        <f>'[1]V, inciso o) (OP)'!AD72</f>
        <v>42618</v>
      </c>
      <c r="W160" s="7">
        <f>'[1]V, inciso o) (OP)'!AE72</f>
        <v>42658</v>
      </c>
      <c r="X160" s="6" t="s">
        <v>605</v>
      </c>
      <c r="Y160" s="6" t="s">
        <v>442</v>
      </c>
      <c r="Z160" s="6" t="s">
        <v>101</v>
      </c>
      <c r="AA160" s="6" t="s">
        <v>40</v>
      </c>
      <c r="AB160" s="6" t="s">
        <v>40</v>
      </c>
    </row>
    <row r="161" spans="1:28" ht="40.5">
      <c r="A161" s="6">
        <v>2016</v>
      </c>
      <c r="B161" s="6" t="s">
        <v>64</v>
      </c>
      <c r="C161" s="8" t="str">
        <f>'[1]V, inciso o) (OP)'!C73</f>
        <v>DOPI-MUN-RM-PAV-AD-160-2016</v>
      </c>
      <c r="D161" s="13">
        <f>'[1]V, inciso o) (OP)'!V73</f>
        <v>42615</v>
      </c>
      <c r="E161" s="8" t="str">
        <f>'[1]V, inciso o) (OP)'!AA73</f>
        <v>Programa emergente de bacheo de vialidades en Zapopan Centro tramo 1, municipio de Zapopan, Jalisco.</v>
      </c>
      <c r="F161" s="8" t="s">
        <v>184</v>
      </c>
      <c r="G161" s="9">
        <f>'[1]V, inciso o) (OP)'!Y73</f>
        <v>998750.24</v>
      </c>
      <c r="H161" s="8" t="s">
        <v>225</v>
      </c>
      <c r="I161" s="6" t="str">
        <f>'[1]V, inciso o) (OP)'!M73</f>
        <v>Luis Armando</v>
      </c>
      <c r="J161" s="6" t="str">
        <f>'[1]V, inciso o) (OP)'!N73</f>
        <v>Linares</v>
      </c>
      <c r="K161" s="6" t="str">
        <f>'[1]V, inciso o) (OP)'!O73</f>
        <v>Cacho</v>
      </c>
      <c r="L161" s="8" t="str">
        <f>'[1]V, inciso o) (OP)'!P73</f>
        <v>Urbanizadora y Constructora Roal, S.A. de C.V.</v>
      </c>
      <c r="M161" s="6" t="str">
        <f>'[1]V, inciso o) (OP)'!Q73</f>
        <v>URC160310857</v>
      </c>
      <c r="N161" s="9">
        <f>'[1]V, inciso o) (OP)'!Y73</f>
        <v>998750.24</v>
      </c>
      <c r="O161" s="11">
        <v>998750.23</v>
      </c>
      <c r="P161" s="10" t="s">
        <v>753</v>
      </c>
      <c r="Q161" s="11">
        <f>N161/5625</f>
        <v>177.55559822222222</v>
      </c>
      <c r="R161" s="10" t="s">
        <v>42</v>
      </c>
      <c r="S161" s="14">
        <v>17598</v>
      </c>
      <c r="T161" s="8" t="s">
        <v>43</v>
      </c>
      <c r="U161" s="6" t="s">
        <v>44</v>
      </c>
      <c r="V161" s="7">
        <f>'[1]V, inciso o) (OP)'!AD73</f>
        <v>42618</v>
      </c>
      <c r="W161" s="7">
        <f>'[1]V, inciso o) (OP)'!AE73</f>
        <v>42674</v>
      </c>
      <c r="X161" s="6" t="s">
        <v>754</v>
      </c>
      <c r="Y161" s="6" t="s">
        <v>755</v>
      </c>
      <c r="Z161" s="6" t="s">
        <v>756</v>
      </c>
      <c r="AA161" s="6" t="s">
        <v>40</v>
      </c>
      <c r="AB161" s="6" t="s">
        <v>40</v>
      </c>
    </row>
    <row r="162" spans="1:28" ht="40.5">
      <c r="A162" s="6">
        <v>2016</v>
      </c>
      <c r="B162" s="6" t="s">
        <v>64</v>
      </c>
      <c r="C162" s="8" t="str">
        <f>'[1]V, inciso o) (OP)'!C74</f>
        <v>DOPI-MUN-RM-PAV-AD-161-2016</v>
      </c>
      <c r="D162" s="13">
        <f>'[1]V, inciso o) (OP)'!V74</f>
        <v>42615</v>
      </c>
      <c r="E162" s="8" t="str">
        <f>'[1]V, inciso o) (OP)'!AA74</f>
        <v>Programa emergente de bacheo de vialidades en Zapopan Centro tramo 2, municipio de Zapopan, Jalisco.</v>
      </c>
      <c r="F162" s="8" t="s">
        <v>184</v>
      </c>
      <c r="G162" s="9">
        <f>'[1]V, inciso o) (OP)'!Y74</f>
        <v>999587.49</v>
      </c>
      <c r="H162" s="8" t="s">
        <v>225</v>
      </c>
      <c r="I162" s="6" t="str">
        <f>'[1]V, inciso o) (OP)'!M74</f>
        <v>Orlando</v>
      </c>
      <c r="J162" s="6" t="str">
        <f>'[1]V, inciso o) (OP)'!N74</f>
        <v>Hijar</v>
      </c>
      <c r="K162" s="6" t="str">
        <f>'[1]V, inciso o) (OP)'!O74</f>
        <v>Casillas</v>
      </c>
      <c r="L162" s="8" t="str">
        <f>'[1]V, inciso o) (OP)'!P74</f>
        <v>Constructora y Urbanizadora Ceda, S.A. de C.V.</v>
      </c>
      <c r="M162" s="6" t="str">
        <f>'[1]V, inciso o) (OP)'!Q74</f>
        <v>CUC121107NV2</v>
      </c>
      <c r="N162" s="9">
        <f>'[1]V, inciso o) (OP)'!Y74</f>
        <v>999587.49</v>
      </c>
      <c r="O162" s="10" t="s">
        <v>40</v>
      </c>
      <c r="P162" s="10" t="s">
        <v>757</v>
      </c>
      <c r="Q162" s="11">
        <f>N162/5612</f>
        <v>178.11608873841769</v>
      </c>
      <c r="R162" s="10" t="s">
        <v>42</v>
      </c>
      <c r="S162" s="14">
        <v>18966</v>
      </c>
      <c r="T162" s="8" t="s">
        <v>43</v>
      </c>
      <c r="U162" s="6" t="s">
        <v>44</v>
      </c>
      <c r="V162" s="7">
        <f>'[1]V, inciso o) (OP)'!AD74</f>
        <v>42618</v>
      </c>
      <c r="W162" s="7">
        <f>'[1]V, inciso o) (OP)'!AE74</f>
        <v>42674</v>
      </c>
      <c r="X162" s="6" t="s">
        <v>754</v>
      </c>
      <c r="Y162" s="6" t="s">
        <v>755</v>
      </c>
      <c r="Z162" s="6" t="s">
        <v>756</v>
      </c>
      <c r="AA162" s="6" t="s">
        <v>40</v>
      </c>
      <c r="AB162" s="6" t="s">
        <v>40</v>
      </c>
    </row>
    <row r="163" spans="1:28" ht="40.5">
      <c r="A163" s="6">
        <v>2016</v>
      </c>
      <c r="B163" s="6" t="s">
        <v>64</v>
      </c>
      <c r="C163" s="8" t="str">
        <f>'[1]V, inciso o) (OP)'!C75</f>
        <v>DOPI-MUN-RM-PAV-AD-162-2016</v>
      </c>
      <c r="D163" s="13">
        <f>'[1]V, inciso o) (OP)'!V75</f>
        <v>42615</v>
      </c>
      <c r="E163" s="8" t="str">
        <f>'[1]V, inciso o) (OP)'!AA75</f>
        <v>Programa emergente de bacheo de vialidades en Zapopan Sur tramo 1, municipio de Zapopan, Jalisco.</v>
      </c>
      <c r="F163" s="8" t="s">
        <v>184</v>
      </c>
      <c r="G163" s="9">
        <f>'[1]V, inciso o) (OP)'!Y75</f>
        <v>1000115.36</v>
      </c>
      <c r="H163" s="8" t="s">
        <v>225</v>
      </c>
      <c r="I163" s="6" t="str">
        <f>'[1]V, inciso o) (OP)'!M75</f>
        <v>Ignacio Javier</v>
      </c>
      <c r="J163" s="6" t="str">
        <f>'[1]V, inciso o) (OP)'!N75</f>
        <v>Curiel</v>
      </c>
      <c r="K163" s="6" t="str">
        <f>'[1]V, inciso o) (OP)'!O75</f>
        <v>Dueñas</v>
      </c>
      <c r="L163" s="8" t="str">
        <f>'[1]V, inciso o) (OP)'!P75</f>
        <v>TC Construcción y Mantenimiento, S.A. de C.V.</v>
      </c>
      <c r="M163" s="6" t="str">
        <f>'[1]V, inciso o) (OP)'!Q75</f>
        <v>TCM100915HA1</v>
      </c>
      <c r="N163" s="9">
        <f>'[1]V, inciso o) (OP)'!Y75</f>
        <v>1000115.36</v>
      </c>
      <c r="O163" s="10" t="s">
        <v>40</v>
      </c>
      <c r="P163" s="10" t="s">
        <v>758</v>
      </c>
      <c r="Q163" s="11">
        <f>N163/5721</f>
        <v>174.81478063275651</v>
      </c>
      <c r="R163" s="10" t="s">
        <v>42</v>
      </c>
      <c r="S163" s="14">
        <v>18521</v>
      </c>
      <c r="T163" s="8" t="s">
        <v>43</v>
      </c>
      <c r="U163" s="6" t="s">
        <v>44</v>
      </c>
      <c r="V163" s="7">
        <f>'[1]V, inciso o) (OP)'!AD75</f>
        <v>42618</v>
      </c>
      <c r="W163" s="7">
        <f>'[1]V, inciso o) (OP)'!AE75</f>
        <v>42674</v>
      </c>
      <c r="X163" s="6" t="s">
        <v>754</v>
      </c>
      <c r="Y163" s="6" t="s">
        <v>755</v>
      </c>
      <c r="Z163" s="6" t="s">
        <v>756</v>
      </c>
      <c r="AA163" s="6" t="s">
        <v>40</v>
      </c>
      <c r="AB163" s="6" t="s">
        <v>40</v>
      </c>
    </row>
    <row r="164" spans="1:28" ht="40.5">
      <c r="A164" s="6">
        <v>2016</v>
      </c>
      <c r="B164" s="6" t="s">
        <v>64</v>
      </c>
      <c r="C164" s="8" t="str">
        <f>'[1]V, inciso o) (OP)'!C76</f>
        <v>DOPI-MUN-RM-PAV-AD-163-2016</v>
      </c>
      <c r="D164" s="13">
        <f>'[1]V, inciso o) (OP)'!V76</f>
        <v>42615</v>
      </c>
      <c r="E164" s="8" t="str">
        <f>'[1]V, inciso o) (OP)'!AA76</f>
        <v>Programa emergente de bacheo de vialidades en Zapopan Sur Poniente tramo 1, municipio de Zapopan, Jalisco.</v>
      </c>
      <c r="F164" s="8" t="s">
        <v>184</v>
      </c>
      <c r="G164" s="9">
        <f>'[1]V, inciso o) (OP)'!Y76</f>
        <v>1001250.87</v>
      </c>
      <c r="H164" s="8" t="s">
        <v>225</v>
      </c>
      <c r="I164" s="6" t="str">
        <f>'[1]V, inciso o) (OP)'!M76</f>
        <v>Regino</v>
      </c>
      <c r="J164" s="6" t="str">
        <f>'[1]V, inciso o) (OP)'!N76</f>
        <v>Ruiz del Campo</v>
      </c>
      <c r="K164" s="6" t="str">
        <f>'[1]V, inciso o) (OP)'!O76</f>
        <v>Medina</v>
      </c>
      <c r="L164" s="8" t="str">
        <f>'[1]V, inciso o) (OP)'!P76</f>
        <v>Regino Ruiz del Campo Medina</v>
      </c>
      <c r="M164" s="6" t="str">
        <f>'[1]V, inciso o) (OP)'!Q76</f>
        <v>RUMR771116UA8</v>
      </c>
      <c r="N164" s="9">
        <f>'[1]V, inciso o) (OP)'!Y76</f>
        <v>1001250.87</v>
      </c>
      <c r="O164" s="11">
        <v>1001250.87</v>
      </c>
      <c r="P164" s="10" t="s">
        <v>759</v>
      </c>
      <c r="Q164" s="11">
        <f>N164/5725</f>
        <v>174.89098165938864</v>
      </c>
      <c r="R164" s="10" t="s">
        <v>42</v>
      </c>
      <c r="S164" s="14">
        <v>19422</v>
      </c>
      <c r="T164" s="8" t="s">
        <v>43</v>
      </c>
      <c r="U164" s="6" t="s">
        <v>44</v>
      </c>
      <c r="V164" s="7">
        <f>'[1]V, inciso o) (OP)'!AD76</f>
        <v>42618</v>
      </c>
      <c r="W164" s="7">
        <f>'[1]V, inciso o) (OP)'!AE76</f>
        <v>42674</v>
      </c>
      <c r="X164" s="6" t="s">
        <v>754</v>
      </c>
      <c r="Y164" s="6" t="s">
        <v>755</v>
      </c>
      <c r="Z164" s="6" t="s">
        <v>756</v>
      </c>
      <c r="AA164" s="6" t="s">
        <v>40</v>
      </c>
      <c r="AB164" s="6" t="s">
        <v>40</v>
      </c>
    </row>
    <row r="165" spans="1:28" ht="40.5">
      <c r="A165" s="6">
        <v>2016</v>
      </c>
      <c r="B165" s="6" t="s">
        <v>64</v>
      </c>
      <c r="C165" s="8" t="str">
        <f>'[1]V, inciso o) (OP)'!C77</f>
        <v>DOPI-MUN-RM-PAV-AD-164-2016</v>
      </c>
      <c r="D165" s="13">
        <f>'[1]V, inciso o) (OP)'!V77</f>
        <v>42615</v>
      </c>
      <c r="E165" s="8" t="str">
        <f>'[1]V, inciso o) (OP)'!AA77</f>
        <v>Programa emergente de bacheo de vialidades en Zapopan Sur Poniente tramo 2, municipio de Zapopan, Jalsico</v>
      </c>
      <c r="F165" s="8" t="s">
        <v>184</v>
      </c>
      <c r="G165" s="9">
        <f>'[1]V, inciso o) (OP)'!Y77</f>
        <v>1002128.72</v>
      </c>
      <c r="H165" s="8" t="s">
        <v>225</v>
      </c>
      <c r="I165" s="6" t="str">
        <f>'[1]V, inciso o) (OP)'!M77</f>
        <v>Carlos Ignacio</v>
      </c>
      <c r="J165" s="6" t="str">
        <f>'[1]V, inciso o) (OP)'!N77</f>
        <v>Curiel</v>
      </c>
      <c r="K165" s="6" t="str">
        <f>'[1]V, inciso o) (OP)'!O77</f>
        <v>Dueñas</v>
      </c>
      <c r="L165" s="8" t="str">
        <f>'[1]V, inciso o) (OP)'!P77</f>
        <v>Constructora Cecuchi, S.A. de C.V.</v>
      </c>
      <c r="M165" s="6" t="str">
        <f>'[1]V, inciso o) (OP)'!Q77</f>
        <v>CCE130723IR7</v>
      </c>
      <c r="N165" s="9">
        <f>'[1]V, inciso o) (OP)'!Y77</f>
        <v>1002128.72</v>
      </c>
      <c r="O165" s="11">
        <v>1002059.85</v>
      </c>
      <c r="P165" s="10" t="s">
        <v>760</v>
      </c>
      <c r="Q165" s="11">
        <f>N165/5731</f>
        <v>174.86105740708427</v>
      </c>
      <c r="R165" s="10" t="s">
        <v>42</v>
      </c>
      <c r="S165" s="14">
        <v>19523</v>
      </c>
      <c r="T165" s="8" t="s">
        <v>43</v>
      </c>
      <c r="U165" s="6" t="s">
        <v>44</v>
      </c>
      <c r="V165" s="7">
        <f>'[1]V, inciso o) (OP)'!AD77</f>
        <v>42618</v>
      </c>
      <c r="W165" s="7">
        <f>'[1]V, inciso o) (OP)'!AE77</f>
        <v>42674</v>
      </c>
      <c r="X165" s="6" t="s">
        <v>754</v>
      </c>
      <c r="Y165" s="6" t="s">
        <v>755</v>
      </c>
      <c r="Z165" s="6" t="s">
        <v>756</v>
      </c>
      <c r="AA165" s="6" t="s">
        <v>40</v>
      </c>
      <c r="AB165" s="6" t="s">
        <v>40</v>
      </c>
    </row>
    <row r="166" spans="1:28" ht="40.5">
      <c r="A166" s="6">
        <v>2016</v>
      </c>
      <c r="B166" s="6" t="s">
        <v>64</v>
      </c>
      <c r="C166" s="8" t="str">
        <f>'[1]V, inciso o) (OP)'!C78</f>
        <v>DOPI-MUN-RM-PAV-AD-165-2016</v>
      </c>
      <c r="D166" s="13">
        <f>'[1]V, inciso o) (OP)'!V78</f>
        <v>42615</v>
      </c>
      <c r="E166" s="8" t="str">
        <f>'[1]V, inciso o) (OP)'!AA78</f>
        <v>Programa emergente de bacheo de vialidades en Zapopan Poniente tramo 1, municipio de Zapopan, Jalsico</v>
      </c>
      <c r="F166" s="8" t="s">
        <v>184</v>
      </c>
      <c r="G166" s="9">
        <f>'[1]V, inciso o) (OP)'!Y78</f>
        <v>997115.6</v>
      </c>
      <c r="H166" s="8" t="s">
        <v>225</v>
      </c>
      <c r="I166" s="6" t="str">
        <f>'[1]V, inciso o) (OP)'!M78</f>
        <v>Antonio</v>
      </c>
      <c r="J166" s="6" t="str">
        <f>'[1]V, inciso o) (OP)'!N78</f>
        <v>Chávez</v>
      </c>
      <c r="K166" s="6" t="str">
        <f>'[1]V, inciso o) (OP)'!O78</f>
        <v>Navarro</v>
      </c>
      <c r="L166" s="8" t="str">
        <f>'[1]V, inciso o) (OP)'!P78</f>
        <v>Constructora Industrial Chávez S.A. de C.V.</v>
      </c>
      <c r="M166" s="6" t="str">
        <f>'[1]V, inciso o) (OP)'!Q78</f>
        <v>CIC960718BW4</v>
      </c>
      <c r="N166" s="9">
        <f>'[1]V, inciso o) (OP)'!Y78</f>
        <v>997115.6</v>
      </c>
      <c r="O166" s="10" t="s">
        <v>40</v>
      </c>
      <c r="P166" s="10" t="s">
        <v>761</v>
      </c>
      <c r="Q166" s="11">
        <f>N166/5645</f>
        <v>176.6369530558016</v>
      </c>
      <c r="R166" s="10" t="s">
        <v>42</v>
      </c>
      <c r="S166" s="14">
        <v>22538</v>
      </c>
      <c r="T166" s="8" t="s">
        <v>43</v>
      </c>
      <c r="U166" s="6" t="s">
        <v>44</v>
      </c>
      <c r="V166" s="7">
        <f>'[1]V, inciso o) (OP)'!AD78</f>
        <v>42618</v>
      </c>
      <c r="W166" s="7">
        <f>'[1]V, inciso o) (OP)'!AE78</f>
        <v>42674</v>
      </c>
      <c r="X166" s="6" t="s">
        <v>754</v>
      </c>
      <c r="Y166" s="6" t="s">
        <v>755</v>
      </c>
      <c r="Z166" s="6" t="s">
        <v>756</v>
      </c>
      <c r="AA166" s="6" t="s">
        <v>40</v>
      </c>
      <c r="AB166" s="6" t="s">
        <v>40</v>
      </c>
    </row>
    <row r="167" spans="1:28" ht="40.5">
      <c r="A167" s="6">
        <v>2016</v>
      </c>
      <c r="B167" s="6" t="s">
        <v>64</v>
      </c>
      <c r="C167" s="8" t="str">
        <f>'[1]V, inciso o) (OP)'!C79</f>
        <v>DOPI-MUN-RM-PAV-AD-166-2016</v>
      </c>
      <c r="D167" s="13">
        <f>'[1]V, inciso o) (OP)'!V79</f>
        <v>42615</v>
      </c>
      <c r="E167" s="8" t="str">
        <f>'[1]V, inciso o) (OP)'!AA79</f>
        <v>Programa emergente de bacheo de vialidades en Zapopan Poniente tramo 2, municipio de Zapopan, Jalsico</v>
      </c>
      <c r="F167" s="8" t="s">
        <v>184</v>
      </c>
      <c r="G167" s="9">
        <f>'[1]V, inciso o) (OP)'!Y79</f>
        <v>1003154.53</v>
      </c>
      <c r="H167" s="8" t="s">
        <v>225</v>
      </c>
      <c r="I167" s="6" t="str">
        <f>'[1]V, inciso o) (OP)'!M79</f>
        <v>Raquel</v>
      </c>
      <c r="J167" s="6" t="str">
        <f>'[1]V, inciso o) (OP)'!N79</f>
        <v>Chávez</v>
      </c>
      <c r="K167" s="6" t="str">
        <f>'[1]V, inciso o) (OP)'!O79</f>
        <v>Navarro</v>
      </c>
      <c r="L167" s="8" t="str">
        <f>'[1]V, inciso o) (OP)'!P79</f>
        <v>Asfaltos Selectos de Ocotlán, S.A. de C.V.</v>
      </c>
      <c r="M167" s="6" t="str">
        <f>'[1]V, inciso o) (OP)'!Q79</f>
        <v>ASO080408GY0</v>
      </c>
      <c r="N167" s="9">
        <f>'[1]V, inciso o) (OP)'!Y79</f>
        <v>1003154.53</v>
      </c>
      <c r="O167" s="10" t="s">
        <v>40</v>
      </c>
      <c r="P167" s="10" t="s">
        <v>762</v>
      </c>
      <c r="Q167" s="11">
        <f>N167/5733</f>
        <v>174.97898656898658</v>
      </c>
      <c r="R167" s="10" t="s">
        <v>42</v>
      </c>
      <c r="S167" s="14">
        <v>21065</v>
      </c>
      <c r="T167" s="8" t="s">
        <v>43</v>
      </c>
      <c r="U167" s="6" t="s">
        <v>44</v>
      </c>
      <c r="V167" s="7">
        <f>'[1]V, inciso o) (OP)'!AD79</f>
        <v>42618</v>
      </c>
      <c r="W167" s="7">
        <f>'[1]V, inciso o) (OP)'!AE79</f>
        <v>42674</v>
      </c>
      <c r="X167" s="6" t="s">
        <v>754</v>
      </c>
      <c r="Y167" s="6" t="s">
        <v>755</v>
      </c>
      <c r="Z167" s="6" t="s">
        <v>756</v>
      </c>
      <c r="AA167" s="6" t="s">
        <v>40</v>
      </c>
      <c r="AB167" s="6" t="s">
        <v>40</v>
      </c>
    </row>
    <row r="168" spans="1:28" ht="40.5">
      <c r="A168" s="6">
        <v>2016</v>
      </c>
      <c r="B168" s="6" t="s">
        <v>64</v>
      </c>
      <c r="C168" s="8" t="str">
        <f>'[1]V, inciso o) (OP)'!C80</f>
        <v>DOPI-MUN-RM-PAV-AD-167-2016</v>
      </c>
      <c r="D168" s="13">
        <f>'[1]V, inciso o) (OP)'!V80</f>
        <v>42615</v>
      </c>
      <c r="E168" s="8" t="str">
        <f>'[1]V, inciso o) (OP)'!AA80</f>
        <v>Programa emergente de bacheo de vialidades en Zapopan Norponiente tramo 1, municipio de Zapopan, Jalisco.</v>
      </c>
      <c r="F168" s="8" t="s">
        <v>184</v>
      </c>
      <c r="G168" s="9">
        <f>'[1]V, inciso o) (OP)'!Y80</f>
        <v>990472.15</v>
      </c>
      <c r="H168" s="8" t="s">
        <v>225</v>
      </c>
      <c r="I168" s="6" t="str">
        <f>'[1]V, inciso o) (OP)'!M80</f>
        <v xml:space="preserve">Guillermo Emmanuel </v>
      </c>
      <c r="J168" s="6" t="str">
        <f>'[1]V, inciso o) (OP)'!N80</f>
        <v xml:space="preserve">Lara </v>
      </c>
      <c r="K168" s="6" t="str">
        <f>'[1]V, inciso o) (OP)'!O80</f>
        <v>Ochoa</v>
      </c>
      <c r="L168" s="8" t="str">
        <f>'[1]V, inciso o) (OP)'!P80</f>
        <v>Alquimia Grupo Constructor, S.A. de C.V.</v>
      </c>
      <c r="M168" s="6" t="str">
        <f>'[1]V, inciso o) (OP)'!Q80</f>
        <v>AGC070223J95</v>
      </c>
      <c r="N168" s="9">
        <f>'[1]V, inciso o) (OP)'!Y80</f>
        <v>990472.15</v>
      </c>
      <c r="O168" s="11">
        <v>990425.96</v>
      </c>
      <c r="P168" s="10" t="s">
        <v>763</v>
      </c>
      <c r="Q168" s="11">
        <f>N168/5614</f>
        <v>176.428954399715</v>
      </c>
      <c r="R168" s="10" t="s">
        <v>42</v>
      </c>
      <c r="S168" s="14">
        <v>23124</v>
      </c>
      <c r="T168" s="8" t="s">
        <v>43</v>
      </c>
      <c r="U168" s="6" t="s">
        <v>44</v>
      </c>
      <c r="V168" s="7">
        <f>'[1]V, inciso o) (OP)'!AD80</f>
        <v>42618</v>
      </c>
      <c r="W168" s="7">
        <f>'[1]V, inciso o) (OP)'!AE80</f>
        <v>42674</v>
      </c>
      <c r="X168" s="6" t="s">
        <v>754</v>
      </c>
      <c r="Y168" s="6" t="s">
        <v>755</v>
      </c>
      <c r="Z168" s="6" t="s">
        <v>756</v>
      </c>
      <c r="AA168" s="6" t="s">
        <v>40</v>
      </c>
      <c r="AB168" s="6" t="s">
        <v>40</v>
      </c>
    </row>
    <row r="169" spans="1:28" ht="40.5">
      <c r="A169" s="6">
        <v>2016</v>
      </c>
      <c r="B169" s="6" t="s">
        <v>64</v>
      </c>
      <c r="C169" s="8" t="str">
        <f>'[1]V, inciso o) (OP)'!C81</f>
        <v>DOPI-MUN-RM-PAV-AD-168-2016</v>
      </c>
      <c r="D169" s="13">
        <f>'[1]V, inciso o) (OP)'!V81</f>
        <v>42615</v>
      </c>
      <c r="E169" s="8" t="str">
        <f>'[1]V, inciso o) (OP)'!AA81</f>
        <v>Programa emergente de bacheo de vialidades en Zapopan Norponiente tramo 2, municipio de Zapopan, Jalsico</v>
      </c>
      <c r="F169" s="8" t="s">
        <v>184</v>
      </c>
      <c r="G169" s="9">
        <f>'[1]V, inciso o) (OP)'!Y81</f>
        <v>988477.86</v>
      </c>
      <c r="H169" s="8" t="s">
        <v>225</v>
      </c>
      <c r="I169" s="6" t="str">
        <f>'[1]V, inciso o) (OP)'!M81</f>
        <v>Aurora Lucia</v>
      </c>
      <c r="J169" s="6" t="str">
        <f>'[1]V, inciso o) (OP)'!N81</f>
        <v xml:space="preserve">Brenez </v>
      </c>
      <c r="K169" s="6" t="str">
        <f>'[1]V, inciso o) (OP)'!O81</f>
        <v>Garnica</v>
      </c>
      <c r="L169" s="8" t="str">
        <f>'[1]V, inciso o) (OP)'!P81</f>
        <v>Karol Urbanizaciones y Construcciones, S.A. de C.V.</v>
      </c>
      <c r="M169" s="6" t="str">
        <f>'[1]V, inciso o) (OP)'!Q81</f>
        <v>KUC070424344</v>
      </c>
      <c r="N169" s="9">
        <f>'[1]V, inciso o) (OP)'!Y81</f>
        <v>988477.86</v>
      </c>
      <c r="O169" s="10" t="s">
        <v>40</v>
      </c>
      <c r="P169" s="10" t="s">
        <v>764</v>
      </c>
      <c r="Q169" s="11">
        <f>N169/5591</f>
        <v>176.79804328384904</v>
      </c>
      <c r="R169" s="10" t="s">
        <v>42</v>
      </c>
      <c r="S169" s="14">
        <v>22365</v>
      </c>
      <c r="T169" s="8" t="s">
        <v>43</v>
      </c>
      <c r="U169" s="6" t="s">
        <v>44</v>
      </c>
      <c r="V169" s="7">
        <f>'[1]V, inciso o) (OP)'!AD81</f>
        <v>42618</v>
      </c>
      <c r="W169" s="7">
        <f>'[1]V, inciso o) (OP)'!AE81</f>
        <v>42674</v>
      </c>
      <c r="X169" s="6" t="s">
        <v>754</v>
      </c>
      <c r="Y169" s="6" t="s">
        <v>755</v>
      </c>
      <c r="Z169" s="6" t="s">
        <v>756</v>
      </c>
      <c r="AA169" s="6" t="s">
        <v>40</v>
      </c>
      <c r="AB169" s="6" t="s">
        <v>40</v>
      </c>
    </row>
    <row r="170" spans="1:28" ht="40.5">
      <c r="A170" s="6">
        <v>2016</v>
      </c>
      <c r="B170" s="6" t="s">
        <v>64</v>
      </c>
      <c r="C170" s="8" t="str">
        <f>'[1]V, inciso o) (OP)'!C82</f>
        <v>DOPI-MUN-RM-PAV-AD-169-2016</v>
      </c>
      <c r="D170" s="13">
        <f>'[1]V, inciso o) (OP)'!V82</f>
        <v>42615</v>
      </c>
      <c r="E170" s="8" t="str">
        <f>'[1]V, inciso o) (OP)'!AA82</f>
        <v>Programa emergente de bacheo de vialidades en Zapopan Norte tramo 1, municipio de Zapopan, Jalsico</v>
      </c>
      <c r="F170" s="8" t="s">
        <v>184</v>
      </c>
      <c r="G170" s="9">
        <f>'[1]V, inciso o) (OP)'!Y82</f>
        <v>996236.89</v>
      </c>
      <c r="H170" s="8" t="s">
        <v>225</v>
      </c>
      <c r="I170" s="6" t="str">
        <f>'[1]V, inciso o) (OP)'!M82</f>
        <v>Carlos Felipe</v>
      </c>
      <c r="J170" s="6" t="str">
        <f>'[1]V, inciso o) (OP)'!N82</f>
        <v>Vázquez</v>
      </c>
      <c r="K170" s="6" t="str">
        <f>'[1]V, inciso o) (OP)'!O82</f>
        <v>Guerra</v>
      </c>
      <c r="L170" s="8" t="str">
        <f>'[1]V, inciso o) (OP)'!P82</f>
        <v>Urbanizadora Vázquez Guerra, S.A. de C.V.</v>
      </c>
      <c r="M170" s="6" t="str">
        <f>'[1]V, inciso o) (OP)'!Q82</f>
        <v>UVG841211G22</v>
      </c>
      <c r="N170" s="9">
        <f>'[1]V, inciso o) (OP)'!Y82</f>
        <v>996236.89</v>
      </c>
      <c r="O170" s="10" t="s">
        <v>40</v>
      </c>
      <c r="P170" s="10" t="s">
        <v>765</v>
      </c>
      <c r="Q170" s="11">
        <f>N170/5608</f>
        <v>177.64566512125535</v>
      </c>
      <c r="R170" s="10" t="s">
        <v>42</v>
      </c>
      <c r="S170" s="14">
        <v>20165</v>
      </c>
      <c r="T170" s="8" t="s">
        <v>43</v>
      </c>
      <c r="U170" s="6" t="s">
        <v>44</v>
      </c>
      <c r="V170" s="7">
        <f>'[1]V, inciso o) (OP)'!AD82</f>
        <v>42618</v>
      </c>
      <c r="W170" s="7">
        <f>'[1]V, inciso o) (OP)'!AE82</f>
        <v>42674</v>
      </c>
      <c r="X170" s="6" t="s">
        <v>754</v>
      </c>
      <c r="Y170" s="6" t="s">
        <v>755</v>
      </c>
      <c r="Z170" s="6" t="s">
        <v>756</v>
      </c>
      <c r="AA170" s="6" t="s">
        <v>40</v>
      </c>
      <c r="AB170" s="6" t="s">
        <v>40</v>
      </c>
    </row>
    <row r="171" spans="1:28" ht="40.5">
      <c r="A171" s="6">
        <v>2016</v>
      </c>
      <c r="B171" s="6" t="s">
        <v>64</v>
      </c>
      <c r="C171" s="8" t="str">
        <f>'[1]V, inciso o) (OP)'!C83</f>
        <v>DOPI-MUN-RM-ELE-AD-170-2016</v>
      </c>
      <c r="D171" s="13">
        <f>'[1]V, inciso o) (OP)'!V83</f>
        <v>42636</v>
      </c>
      <c r="E171" s="8" t="str">
        <f>'[1]V, inciso o) (OP)'!AA83</f>
        <v>Trabajos complementarios de infraestructura eléctrica y de alumbrado público, frente 1, municipio de Zapopan, Jalisco</v>
      </c>
      <c r="F171" s="8" t="s">
        <v>184</v>
      </c>
      <c r="G171" s="9">
        <f>'[1]V, inciso o) (OP)'!Y83</f>
        <v>1492750.23</v>
      </c>
      <c r="H171" s="8" t="s">
        <v>225</v>
      </c>
      <c r="I171" s="6" t="str">
        <f>'[1]V, inciso o) (OP)'!M83</f>
        <v>Pia Lorena</v>
      </c>
      <c r="J171" s="6" t="str">
        <f>'[1]V, inciso o) (OP)'!N83</f>
        <v>Buenrostro</v>
      </c>
      <c r="K171" s="6" t="str">
        <f>'[1]V, inciso o) (OP)'!O83</f>
        <v>Ahued</v>
      </c>
      <c r="L171" s="8" t="str">
        <f>'[1]V, inciso o) (OP)'!P83</f>
        <v>Birmek Construcciones, S.A. de C.V.</v>
      </c>
      <c r="M171" s="6" t="str">
        <f>'[1]V, inciso o) (OP)'!Q83</f>
        <v>BCO070129512</v>
      </c>
      <c r="N171" s="9">
        <f>'[1]V, inciso o) (OP)'!Y83</f>
        <v>1492750.23</v>
      </c>
      <c r="O171" s="10" t="s">
        <v>40</v>
      </c>
      <c r="P171" s="10" t="s">
        <v>766</v>
      </c>
      <c r="Q171" s="11">
        <f>N171/584</f>
        <v>2556.0791609589041</v>
      </c>
      <c r="R171" s="10" t="s">
        <v>42</v>
      </c>
      <c r="S171" s="14">
        <v>18652</v>
      </c>
      <c r="T171" s="8" t="s">
        <v>43</v>
      </c>
      <c r="U171" s="6" t="s">
        <v>565</v>
      </c>
      <c r="V171" s="7">
        <f>'[1]V, inciso o) (OP)'!AD83</f>
        <v>42639</v>
      </c>
      <c r="W171" s="7">
        <f>'[1]V, inciso o) (OP)'!AE83</f>
        <v>42719</v>
      </c>
      <c r="X171" s="6" t="s">
        <v>640</v>
      </c>
      <c r="Y171" s="6" t="s">
        <v>496</v>
      </c>
      <c r="Z171" s="6" t="s">
        <v>741</v>
      </c>
      <c r="AA171" s="6" t="s">
        <v>40</v>
      </c>
      <c r="AB171" s="6" t="s">
        <v>40</v>
      </c>
    </row>
    <row r="172" spans="1:28" ht="54">
      <c r="A172" s="6">
        <v>2016</v>
      </c>
      <c r="B172" s="6" t="s">
        <v>64</v>
      </c>
      <c r="C172" s="8" t="str">
        <f>'[1]V, inciso o) (OP)'!C84</f>
        <v>DOPI-MUN-RM-PAV-AD-171-2016</v>
      </c>
      <c r="D172" s="13">
        <f>'[1]V, inciso o) (OP)'!V84</f>
        <v>42622</v>
      </c>
      <c r="E172" s="8" t="str">
        <f>'[1]V, inciso o) (OP)'!AA84</f>
        <v>Pavimentación con adoquín y empedrado tradicional con material producto de recuperación en diferentes vialidades en el Municipio de Zapopan, Jalisco</v>
      </c>
      <c r="F172" s="8" t="s">
        <v>184</v>
      </c>
      <c r="G172" s="9">
        <f>'[1]V, inciso o) (OP)'!Y84</f>
        <v>1480115.18</v>
      </c>
      <c r="H172" s="8" t="s">
        <v>225</v>
      </c>
      <c r="I172" s="6" t="str">
        <f>'[1]V, inciso o) (OP)'!M84</f>
        <v>Omar</v>
      </c>
      <c r="J172" s="6" t="str">
        <f>'[1]V, inciso o) (OP)'!N84</f>
        <v>Mora</v>
      </c>
      <c r="K172" s="6" t="str">
        <f>'[1]V, inciso o) (OP)'!O84</f>
        <v>Montes de Oca</v>
      </c>
      <c r="L172" s="8" t="str">
        <f>'[1]V, inciso o) (OP)'!P84</f>
        <v>Dommont Construcciones, S.A. de C.V.</v>
      </c>
      <c r="M172" s="6" t="str">
        <f>'[1]V, inciso o) (OP)'!Q84</f>
        <v>DCO130215C16</v>
      </c>
      <c r="N172" s="9">
        <f>'[1]V, inciso o) (OP)'!Y84</f>
        <v>1480115.18</v>
      </c>
      <c r="O172" s="10" t="s">
        <v>40</v>
      </c>
      <c r="P172" s="10" t="s">
        <v>767</v>
      </c>
      <c r="Q172" s="11">
        <f>N172/3100</f>
        <v>477.45650967741932</v>
      </c>
      <c r="R172" s="10" t="s">
        <v>42</v>
      </c>
      <c r="S172" s="14">
        <v>16845</v>
      </c>
      <c r="T172" s="8" t="s">
        <v>43</v>
      </c>
      <c r="U172" s="6" t="s">
        <v>44</v>
      </c>
      <c r="V172" s="7">
        <f>'[1]V, inciso o) (OP)'!AD84</f>
        <v>42624</v>
      </c>
      <c r="W172" s="7">
        <f>'[1]V, inciso o) (OP)'!AE84</f>
        <v>42689</v>
      </c>
      <c r="X172" s="6" t="s">
        <v>671</v>
      </c>
      <c r="Y172" s="6" t="s">
        <v>334</v>
      </c>
      <c r="Z172" s="6" t="s">
        <v>133</v>
      </c>
      <c r="AA172" s="6" t="s">
        <v>40</v>
      </c>
      <c r="AB172" s="6" t="s">
        <v>40</v>
      </c>
    </row>
    <row r="173" spans="1:28" ht="67.5">
      <c r="A173" s="6">
        <v>2016</v>
      </c>
      <c r="B173" s="6" t="s">
        <v>64</v>
      </c>
      <c r="C173" s="8" t="str">
        <f>'[1]V, inciso o) (OP)'!C85</f>
        <v>DOPI-MUN-RM-SIS-AD-172-2016</v>
      </c>
      <c r="D173" s="13">
        <f>'[1]V, inciso o) (OP)'!V85</f>
        <v>42622</v>
      </c>
      <c r="E173" s="8" t="str">
        <f>'[1]V, inciso o) (OP)'!AA85</f>
        <v>Programación e implementación de sistema informático para la programación, contratación, control y seguimiento de ejecución de obra, elaboración de estimaciones y padrón de contratistas del Municipio de Zapopan, Jalisco</v>
      </c>
      <c r="F173" s="8" t="s">
        <v>67</v>
      </c>
      <c r="G173" s="9">
        <f>'[1]V, inciso o) (OP)'!Y85</f>
        <v>435640.37</v>
      </c>
      <c r="H173" s="8" t="s">
        <v>231</v>
      </c>
      <c r="I173" s="6" t="str">
        <f>'[1]V, inciso o) (OP)'!M85</f>
        <v>Víctor Martín</v>
      </c>
      <c r="J173" s="6" t="str">
        <f>'[1]V, inciso o) (OP)'!N85</f>
        <v>López</v>
      </c>
      <c r="K173" s="6" t="str">
        <f>'[1]V, inciso o) (OP)'!O85</f>
        <v>Santos</v>
      </c>
      <c r="L173" s="8" t="str">
        <f>'[1]V, inciso o) (OP)'!P85</f>
        <v>Desarrollos Vicsa, S.A. de C.V.</v>
      </c>
      <c r="M173" s="6" t="str">
        <f>'[1]V, inciso o) (OP)'!Q85</f>
        <v>DVI0903301U3</v>
      </c>
      <c r="N173" s="9">
        <f>'[1]V, inciso o) (OP)'!Y85</f>
        <v>435640.37</v>
      </c>
      <c r="O173" s="10" t="s">
        <v>40</v>
      </c>
      <c r="P173" s="6" t="s">
        <v>768</v>
      </c>
      <c r="Q173" s="9">
        <f>N173</f>
        <v>435640.37</v>
      </c>
      <c r="R173" s="6" t="s">
        <v>42</v>
      </c>
      <c r="S173" s="12">
        <v>685</v>
      </c>
      <c r="T173" s="8" t="s">
        <v>231</v>
      </c>
      <c r="U173" s="6" t="s">
        <v>44</v>
      </c>
      <c r="V173" s="7">
        <f>'[1]V, inciso o) (OP)'!AD85</f>
        <v>42624</v>
      </c>
      <c r="W173" s="7">
        <f>'[1]V, inciso o) (OP)'!AE85</f>
        <v>42689</v>
      </c>
      <c r="X173" s="6" t="s">
        <v>769</v>
      </c>
      <c r="Y173" s="6" t="s">
        <v>770</v>
      </c>
      <c r="Z173" s="6" t="s">
        <v>771</v>
      </c>
      <c r="AA173" s="6" t="s">
        <v>40</v>
      </c>
      <c r="AB173" s="6" t="s">
        <v>40</v>
      </c>
    </row>
    <row r="174" spans="1:28" ht="54">
      <c r="A174" s="6">
        <v>2016</v>
      </c>
      <c r="B174" s="6" t="str">
        <f>'[1]V, inciso p) (OP)'!B106</f>
        <v>Licitación Pública</v>
      </c>
      <c r="C174" s="8" t="str">
        <f>'[1]V, inciso p) (OP)'!D106</f>
        <v>DOPI-MUN-RM-IM-LP-173-2016</v>
      </c>
      <c r="D174" s="13">
        <f>'[1]V, inciso p) (OP)'!AD106</f>
        <v>42726</v>
      </c>
      <c r="E174" s="8" t="str">
        <f>'[1]V, inciso p) (OP)'!I106</f>
        <v>Rehabilitación de la instalación eléctrica, iluminación y alumbrado público en el mercado municipal de Atemajac, municipio de Zapopan, Jalisco.</v>
      </c>
      <c r="F174" s="8" t="s">
        <v>184</v>
      </c>
      <c r="G174" s="9">
        <f>'[1]V, inciso p) (OP)'!AG106</f>
        <v>8929443.7100000009</v>
      </c>
      <c r="H174" s="8" t="str">
        <f>'[1]V, inciso p) (OP)'!AS106</f>
        <v>Atemajac</v>
      </c>
      <c r="I174" s="6" t="str">
        <f>'[1]V, inciso p) (OP)'!T106</f>
        <v>Amalia</v>
      </c>
      <c r="J174" s="6" t="str">
        <f>'[1]V, inciso p) (OP)'!U106</f>
        <v>Moreno</v>
      </c>
      <c r="K174" s="6" t="str">
        <f>'[1]V, inciso p) (OP)'!V106</f>
        <v>Maldonado</v>
      </c>
      <c r="L174" s="8" t="str">
        <f>'[1]V, inciso p) (OP)'!W106</f>
        <v>Grupo Constructor los Muros, S.A. de C.V.</v>
      </c>
      <c r="M174" s="6" t="str">
        <f>'[1]V, inciso p) (OP)'!X106</f>
        <v>GCM020226F28</v>
      </c>
      <c r="N174" s="9">
        <f>'[1]V, inciso p) (OP)'!AG106</f>
        <v>8929443.7100000009</v>
      </c>
      <c r="O174" s="10" t="s">
        <v>40</v>
      </c>
      <c r="P174" s="10" t="s">
        <v>772</v>
      </c>
      <c r="Q174" s="11">
        <f>N174/9461.16</f>
        <v>943.8000953371469</v>
      </c>
      <c r="R174" s="10" t="s">
        <v>42</v>
      </c>
      <c r="S174" s="14">
        <v>12833</v>
      </c>
      <c r="T174" s="8" t="s">
        <v>43</v>
      </c>
      <c r="U174" s="6" t="s">
        <v>565</v>
      </c>
      <c r="V174" s="7">
        <f>'[1]V, inciso p) (OP)'!AM106</f>
        <v>42727</v>
      </c>
      <c r="W174" s="7">
        <f>'[1]V, inciso p) (OP)'!AN106</f>
        <v>42816</v>
      </c>
      <c r="X174" s="6" t="s">
        <v>640</v>
      </c>
      <c r="Y174" s="6" t="s">
        <v>496</v>
      </c>
      <c r="Z174" s="6" t="s">
        <v>741</v>
      </c>
      <c r="AA174" s="6" t="s">
        <v>40</v>
      </c>
      <c r="AB174" s="6" t="s">
        <v>40</v>
      </c>
    </row>
    <row r="175" spans="1:28" ht="54">
      <c r="A175" s="6">
        <v>2016</v>
      </c>
      <c r="B175" s="6" t="str">
        <f>'[1]V, inciso p) (OP)'!B107</f>
        <v>Licitación Pública</v>
      </c>
      <c r="C175" s="8" t="str">
        <f>'[1]V, inciso p) (OP)'!D107</f>
        <v>DOPI-MUN-RM-IM-LP-174-2016</v>
      </c>
      <c r="D175" s="13">
        <f>'[1]V, inciso p) (OP)'!AD107</f>
        <v>42726</v>
      </c>
      <c r="E175" s="8" t="str">
        <f>'[1]V, inciso p) (OP)'!I107</f>
        <v>Rehabilitación de la red hidrosanitaria, instalación de la red contra incendio, obra civil, elevador y acabados en el mercado municipal de Atemajac, municipio de Zapopan , Jalisco.</v>
      </c>
      <c r="F175" s="8" t="s">
        <v>184</v>
      </c>
      <c r="G175" s="9">
        <f>'[1]V, inciso p) (OP)'!AG107</f>
        <v>10276943.060000001</v>
      </c>
      <c r="H175" s="8" t="str">
        <f>'[1]V, inciso p) (OP)'!AS107</f>
        <v>Atemajac</v>
      </c>
      <c r="I175" s="6" t="str">
        <f>'[1]V, inciso p) (OP)'!T107</f>
        <v xml:space="preserve">Leobardo </v>
      </c>
      <c r="J175" s="6" t="str">
        <f>'[1]V, inciso p) (OP)'!U107</f>
        <v>Preciado</v>
      </c>
      <c r="K175" s="6" t="str">
        <f>'[1]V, inciso p) (OP)'!V107</f>
        <v>Zepeda</v>
      </c>
      <c r="L175" s="8" t="str">
        <f>'[1]V, inciso p) (OP)'!W107</f>
        <v xml:space="preserve">Consorcio Constructor Adobes, S. A. de C. V. </v>
      </c>
      <c r="M175" s="6" t="str">
        <f>'[1]V, inciso p) (OP)'!X107</f>
        <v>CCA971126QC9</v>
      </c>
      <c r="N175" s="9">
        <f>'[1]V, inciso p) (OP)'!AG107</f>
        <v>10276943.060000001</v>
      </c>
      <c r="O175" s="10" t="s">
        <v>40</v>
      </c>
      <c r="P175" s="10" t="s">
        <v>773</v>
      </c>
      <c r="Q175" s="11">
        <f>N175/9461.16</f>
        <v>1086.2244227980502</v>
      </c>
      <c r="R175" s="10" t="s">
        <v>42</v>
      </c>
      <c r="S175" s="14">
        <v>12833</v>
      </c>
      <c r="T175" s="8" t="s">
        <v>43</v>
      </c>
      <c r="U175" s="6" t="s">
        <v>565</v>
      </c>
      <c r="V175" s="7">
        <f>'[1]V, inciso p) (OP)'!AM107</f>
        <v>42727</v>
      </c>
      <c r="W175" s="7">
        <f>'[1]V, inciso p) (OP)'!AN107</f>
        <v>42816</v>
      </c>
      <c r="X175" s="6" t="s">
        <v>723</v>
      </c>
      <c r="Y175" s="6" t="s">
        <v>724</v>
      </c>
      <c r="Z175" s="6" t="s">
        <v>145</v>
      </c>
      <c r="AA175" s="6" t="s">
        <v>40</v>
      </c>
      <c r="AB175" s="6" t="s">
        <v>40</v>
      </c>
    </row>
    <row r="176" spans="1:28" ht="40.5">
      <c r="A176" s="6">
        <v>2016</v>
      </c>
      <c r="B176" s="6" t="str">
        <f>'[1]V, inciso p) (OP)'!B108</f>
        <v>Licitación Pública</v>
      </c>
      <c r="C176" s="8" t="str">
        <f>'[1]V, inciso p) (OP)'!D108</f>
        <v>DOPI-MUN-RM-DP-LP-175-2016</v>
      </c>
      <c r="D176" s="13">
        <f>'[1]V, inciso p) (OP)'!AD108</f>
        <v>42726</v>
      </c>
      <c r="E176" s="8" t="str">
        <f>'[1]V, inciso p) (OP)'!I108</f>
        <v>Sustitución de rejillas de bocas de tormenta en diferentes vialidades del municipio.</v>
      </c>
      <c r="F176" s="8" t="s">
        <v>184</v>
      </c>
      <c r="G176" s="9">
        <f>'[1]V, inciso p) (OP)'!AG108</f>
        <v>2998448.3</v>
      </c>
      <c r="H176" s="8" t="str">
        <f>'[1]V, inciso p) (OP)'!AS108</f>
        <v>Varias colonias del Municipio</v>
      </c>
      <c r="I176" s="6" t="str">
        <f>'[1]V, inciso p) (OP)'!T108</f>
        <v>José Omar</v>
      </c>
      <c r="J176" s="6" t="str">
        <f>'[1]V, inciso p) (OP)'!U108</f>
        <v>Fernández</v>
      </c>
      <c r="K176" s="6" t="str">
        <f>'[1]V, inciso p) (OP)'!V108</f>
        <v>Vázquez</v>
      </c>
      <c r="L176" s="8" t="str">
        <f>'[1]V, inciso p) (OP)'!W108</f>
        <v>José Omar Fernández Vázquez</v>
      </c>
      <c r="M176" s="6" t="str">
        <f>'[1]V, inciso p) (OP)'!X108</f>
        <v>FEVO740619686</v>
      </c>
      <c r="N176" s="9">
        <f>'[1]V, inciso p) (OP)'!AG108</f>
        <v>2998448.3</v>
      </c>
      <c r="O176" s="10" t="s">
        <v>40</v>
      </c>
      <c r="P176" s="10" t="s">
        <v>774</v>
      </c>
      <c r="Q176" s="11">
        <f>N176/254</f>
        <v>11804.914566929134</v>
      </c>
      <c r="R176" s="10" t="s">
        <v>42</v>
      </c>
      <c r="S176" s="14">
        <v>122366</v>
      </c>
      <c r="T176" s="8" t="s">
        <v>43</v>
      </c>
      <c r="U176" s="6" t="s">
        <v>565</v>
      </c>
      <c r="V176" s="7">
        <f>'[1]V, inciso p) (OP)'!AM108</f>
        <v>42727</v>
      </c>
      <c r="W176" s="7">
        <f>'[1]V, inciso p) (OP)'!AN108</f>
        <v>42846</v>
      </c>
      <c r="X176" s="6" t="s">
        <v>775</v>
      </c>
      <c r="Y176" s="6" t="s">
        <v>776</v>
      </c>
      <c r="Z176" s="6" t="s">
        <v>117</v>
      </c>
      <c r="AA176" s="6" t="s">
        <v>40</v>
      </c>
      <c r="AB176" s="6" t="s">
        <v>40</v>
      </c>
    </row>
    <row r="177" spans="1:28" ht="40.5">
      <c r="A177" s="6">
        <v>2016</v>
      </c>
      <c r="B177" s="6" t="str">
        <f>'[1]V, inciso p) (OP)'!B109</f>
        <v>Licitación Pública</v>
      </c>
      <c r="C177" s="8" t="str">
        <f>'[1]V, inciso p) (OP)'!D109</f>
        <v>DOPI-MUN-RM-ID-LP-176-2016</v>
      </c>
      <c r="D177" s="13">
        <f>'[1]V, inciso p) (OP)'!AD109</f>
        <v>42726</v>
      </c>
      <c r="E177" s="8" t="str">
        <f>'[1]V, inciso p) (OP)'!I109</f>
        <v>Rehabilitación de las instalaciones y equipamiento deportivo de la Unidad Deportiva Miramar, municipio de Zapopan, Jalisco</v>
      </c>
      <c r="F177" s="8" t="s">
        <v>184</v>
      </c>
      <c r="G177" s="9">
        <f>'[1]V, inciso p) (OP)'!AG109</f>
        <v>7420078.3799999999</v>
      </c>
      <c r="H177" s="8" t="str">
        <f>'[1]V, inciso p) (OP)'!AS109</f>
        <v>Colonia Miramar</v>
      </c>
      <c r="I177" s="6" t="str">
        <f>'[1]V, inciso p) (OP)'!T109</f>
        <v>José Antonio</v>
      </c>
      <c r="J177" s="6" t="str">
        <f>'[1]V, inciso p) (OP)'!U109</f>
        <v>Álvarez</v>
      </c>
      <c r="K177" s="6" t="str">
        <f>'[1]V, inciso p) (OP)'!V109</f>
        <v>Garcia</v>
      </c>
      <c r="L177" s="8" t="str">
        <f>'[1]V, inciso p) (OP)'!W109</f>
        <v>Urcoma 1970, S.A. de C.V.</v>
      </c>
      <c r="M177" s="6" t="str">
        <f>'[1]V, inciso p) (OP)'!X109</f>
        <v>UMN160125869</v>
      </c>
      <c r="N177" s="9">
        <f>'[1]V, inciso p) (OP)'!AG109</f>
        <v>7420078.3799999999</v>
      </c>
      <c r="O177" s="10" t="s">
        <v>40</v>
      </c>
      <c r="P177" s="10" t="s">
        <v>777</v>
      </c>
      <c r="Q177" s="11">
        <f>N177/13099.16</f>
        <v>566.45451922107986</v>
      </c>
      <c r="R177" s="10" t="s">
        <v>42</v>
      </c>
      <c r="S177" s="14">
        <v>3881</v>
      </c>
      <c r="T177" s="8" t="s">
        <v>43</v>
      </c>
      <c r="U177" s="6" t="s">
        <v>565</v>
      </c>
      <c r="V177" s="7">
        <f>'[1]V, inciso p) (OP)'!AM109</f>
        <v>42727</v>
      </c>
      <c r="W177" s="7">
        <f>'[1]V, inciso p) (OP)'!AN109</f>
        <v>42816</v>
      </c>
      <c r="X177" s="6" t="s">
        <v>668</v>
      </c>
      <c r="Y177" s="6" t="s">
        <v>476</v>
      </c>
      <c r="Z177" s="6" t="s">
        <v>89</v>
      </c>
      <c r="AA177" s="6" t="s">
        <v>40</v>
      </c>
      <c r="AB177" s="6" t="s">
        <v>40</v>
      </c>
    </row>
    <row r="178" spans="1:28" ht="40.5">
      <c r="A178" s="6">
        <v>2016</v>
      </c>
      <c r="B178" s="6" t="str">
        <f>'[1]V, inciso p) (OP)'!B110</f>
        <v>Licitación Pública</v>
      </c>
      <c r="C178" s="8" t="str">
        <f>'[1]V, inciso p) (OP)'!D110</f>
        <v>DOPI-MUN-RM-ID-LP-177-2016</v>
      </c>
      <c r="D178" s="13">
        <f>'[1]V, inciso p) (OP)'!AD110</f>
        <v>42726</v>
      </c>
      <c r="E178" s="8" t="str">
        <f>'[1]V, inciso p) (OP)'!I110</f>
        <v>Rehabilitación de las Instalaciones y equipamiento deportivo de la Unidad Deportiva Paseos del Briseño, municipio de Zapopan, Jalisco</v>
      </c>
      <c r="F178" s="8" t="s">
        <v>184</v>
      </c>
      <c r="G178" s="9">
        <f>'[1]V, inciso p) (OP)'!AG110</f>
        <v>8768312.9199999999</v>
      </c>
      <c r="H178" s="8" t="str">
        <f>'[1]V, inciso p) (OP)'!AS110</f>
        <v>Colonia Paseos del Briseño</v>
      </c>
      <c r="I178" s="6" t="str">
        <f>'[1]V, inciso p) (OP)'!T110</f>
        <v>Francisco Javier</v>
      </c>
      <c r="J178" s="6" t="str">
        <f>'[1]V, inciso p) (OP)'!U110</f>
        <v>Diaz</v>
      </c>
      <c r="K178" s="6" t="str">
        <f>'[1]V, inciso p) (OP)'!V110</f>
        <v>Ruiz</v>
      </c>
      <c r="L178" s="8" t="str">
        <f>'[1]V, inciso p) (OP)'!W110</f>
        <v>Constructora Diru, S.A. de C.V.</v>
      </c>
      <c r="M178" s="6" t="str">
        <f>'[1]V, inciso p) (OP)'!X110</f>
        <v>CDI950714B79</v>
      </c>
      <c r="N178" s="9">
        <f>'[1]V, inciso p) (OP)'!AG110</f>
        <v>8768312.9199999999</v>
      </c>
      <c r="O178" s="10" t="s">
        <v>40</v>
      </c>
      <c r="P178" s="15">
        <v>16194.34</v>
      </c>
      <c r="Q178" s="11">
        <f>N178/16194.34</f>
        <v>541.44305479568789</v>
      </c>
      <c r="R178" s="10" t="s">
        <v>42</v>
      </c>
      <c r="S178" s="14">
        <v>2896</v>
      </c>
      <c r="T178" s="8" t="s">
        <v>43</v>
      </c>
      <c r="U178" s="6" t="s">
        <v>565</v>
      </c>
      <c r="V178" s="7">
        <f>'[1]V, inciso p) (OP)'!AM110</f>
        <v>42727</v>
      </c>
      <c r="W178" s="7">
        <f>'[1]V, inciso p) (OP)'!AN110</f>
        <v>42816</v>
      </c>
      <c r="X178" s="6" t="s">
        <v>701</v>
      </c>
      <c r="Y178" s="6" t="s">
        <v>524</v>
      </c>
      <c r="Z178" s="6" t="s">
        <v>254</v>
      </c>
      <c r="AA178" s="6" t="s">
        <v>40</v>
      </c>
      <c r="AB178" s="6" t="s">
        <v>40</v>
      </c>
    </row>
    <row r="179" spans="1:28" ht="40.5">
      <c r="A179" s="6">
        <v>2016</v>
      </c>
      <c r="B179" s="6" t="str">
        <f>'[1]V, inciso p) (OP)'!B111</f>
        <v>Licitación Pública</v>
      </c>
      <c r="C179" s="8" t="str">
        <f>'[1]V, inciso p) (OP)'!D111</f>
        <v>DOPI-MUN-RM-ID-LP-178-2016</v>
      </c>
      <c r="D179" s="13">
        <f>'[1]V, inciso p) (OP)'!AD111</f>
        <v>42726</v>
      </c>
      <c r="E179" s="8" t="str">
        <f>'[1]V, inciso p) (OP)'!I111</f>
        <v>Rehabilitación de las Instalaciones y equipamiento deportivo de la Unidad Deportiva San Juan de Ocotán, municipio de Zapopan, Jalisco</v>
      </c>
      <c r="F179" s="8" t="s">
        <v>184</v>
      </c>
      <c r="G179" s="9">
        <f>'[1]V, inciso p) (OP)'!AG111</f>
        <v>7913055.7999999998</v>
      </c>
      <c r="H179" s="8" t="str">
        <f>'[1]V, inciso p) (OP)'!AS111</f>
        <v>Colonia San Juan de Ocotán</v>
      </c>
      <c r="I179" s="6" t="str">
        <f>'[1]V, inciso p) (OP)'!T111</f>
        <v>Eduardo</v>
      </c>
      <c r="J179" s="6" t="str">
        <f>'[1]V, inciso p) (OP)'!U111</f>
        <v>Romero</v>
      </c>
      <c r="K179" s="6" t="str">
        <f>'[1]V, inciso p) (OP)'!V111</f>
        <v>Lugo</v>
      </c>
      <c r="L179" s="8" t="str">
        <f>'[1]V, inciso p) (OP)'!W111</f>
        <v>RS Obras y Servicios S.A. de C.V.</v>
      </c>
      <c r="M179" s="6" t="str">
        <f>'[1]V, inciso p) (OP)'!X111</f>
        <v>ROS120904PV9</v>
      </c>
      <c r="N179" s="9">
        <f>'[1]V, inciso p) (OP)'!AG111</f>
        <v>7913055.7999999998</v>
      </c>
      <c r="O179" s="10" t="s">
        <v>40</v>
      </c>
      <c r="P179" s="10" t="s">
        <v>778</v>
      </c>
      <c r="Q179" s="11">
        <f>N179/8180.41</f>
        <v>967.31775057729385</v>
      </c>
      <c r="R179" s="10" t="s">
        <v>42</v>
      </c>
      <c r="S179" s="14">
        <v>12652</v>
      </c>
      <c r="T179" s="8" t="s">
        <v>43</v>
      </c>
      <c r="U179" s="6" t="s">
        <v>565</v>
      </c>
      <c r="V179" s="7">
        <f>'[1]V, inciso p) (OP)'!AM111</f>
        <v>42727</v>
      </c>
      <c r="W179" s="7">
        <f>'[1]V, inciso p) (OP)'!AN111</f>
        <v>42794</v>
      </c>
      <c r="X179" s="6" t="s">
        <v>686</v>
      </c>
      <c r="Y179" s="6" t="s">
        <v>687</v>
      </c>
      <c r="Z179" s="6" t="s">
        <v>268</v>
      </c>
      <c r="AA179" s="6" t="s">
        <v>40</v>
      </c>
      <c r="AB179" s="6" t="s">
        <v>40</v>
      </c>
    </row>
    <row r="180" spans="1:28" ht="67.5">
      <c r="A180" s="6">
        <v>2016</v>
      </c>
      <c r="B180" s="6" t="str">
        <f>'[1]V, inciso p) (OP)'!B112</f>
        <v>Licitación Pública</v>
      </c>
      <c r="C180" s="8" t="str">
        <f>'[1]V, inciso p) (OP)'!D112</f>
        <v>DOPI-MUN-RM-MOV-LP-179-2016</v>
      </c>
      <c r="D180" s="13">
        <f>'[1]V, inciso p) (OP)'!AD112</f>
        <v>42726</v>
      </c>
      <c r="E180" s="8" t="str">
        <f>'[1]V, inciso p) (OP)'!I112</f>
        <v>Construcción de cruceros seguros, incluye señaletica horizontal y vertical, acceso universal en esquinas,semaforización y paradas de autobús en diferentes cruceros, zona 1 del Municipio de Zapopan, Jallisco</v>
      </c>
      <c r="F180" s="16" t="s">
        <v>67</v>
      </c>
      <c r="G180" s="9">
        <f>'[1]V, inciso p) (OP)'!AG112</f>
        <v>3582511.3</v>
      </c>
      <c r="H180" s="8" t="str">
        <f>'[1]V, inciso p) (OP)'!AS112</f>
        <v>Varias colonias del Municipio</v>
      </c>
      <c r="I180" s="6" t="str">
        <f>'[1]V, inciso p) (OP)'!T112</f>
        <v>José Omar</v>
      </c>
      <c r="J180" s="6" t="str">
        <f>'[1]V, inciso p) (OP)'!U112</f>
        <v>Fernández</v>
      </c>
      <c r="K180" s="6" t="str">
        <f>'[1]V, inciso p) (OP)'!V112</f>
        <v>Vázquez</v>
      </c>
      <c r="L180" s="8" t="str">
        <f>'[1]V, inciso p) (OP)'!W112</f>
        <v>José Omar Fernández Vázquez</v>
      </c>
      <c r="M180" s="6" t="str">
        <f>'[1]V, inciso p) (OP)'!X112</f>
        <v>FEVO740619686</v>
      </c>
      <c r="N180" s="9">
        <f>'[1]V, inciso p) (OP)'!AG112</f>
        <v>3582511.3</v>
      </c>
      <c r="O180" s="10" t="s">
        <v>40</v>
      </c>
      <c r="P180" s="10" t="s">
        <v>779</v>
      </c>
      <c r="Q180" s="11">
        <f>N180/1718</f>
        <v>2085.2801513387658</v>
      </c>
      <c r="R180" s="10" t="s">
        <v>42</v>
      </c>
      <c r="S180" s="14">
        <v>220690</v>
      </c>
      <c r="T180" s="8" t="s">
        <v>43</v>
      </c>
      <c r="U180" s="6" t="s">
        <v>565</v>
      </c>
      <c r="V180" s="7">
        <f>'[1]V, inciso p) (OP)'!AM112</f>
        <v>42727</v>
      </c>
      <c r="W180" s="7">
        <f>'[1]V, inciso p) (OP)'!AN112</f>
        <v>42846</v>
      </c>
      <c r="X180" s="6" t="s">
        <v>775</v>
      </c>
      <c r="Y180" s="6" t="s">
        <v>776</v>
      </c>
      <c r="Z180" s="6" t="s">
        <v>117</v>
      </c>
      <c r="AA180" s="6" t="s">
        <v>40</v>
      </c>
      <c r="AB180" s="6" t="s">
        <v>40</v>
      </c>
    </row>
    <row r="181" spans="1:28" ht="67.5">
      <c r="A181" s="6">
        <v>2016</v>
      </c>
      <c r="B181" s="6" t="str">
        <f>'[1]V, inciso p) (OP)'!B113</f>
        <v>Licitación Pública</v>
      </c>
      <c r="C181" s="8" t="str">
        <f>'[1]V, inciso p) (OP)'!D113</f>
        <v>DOPI-MUN-RM-MOV-LP-180-2016</v>
      </c>
      <c r="D181" s="13">
        <f>'[1]V, inciso p) (OP)'!AD113</f>
        <v>42726</v>
      </c>
      <c r="E181" s="8" t="str">
        <f>'[1]V, inciso p) (OP)'!I113</f>
        <v>Construcción de cruceros seguros, incluye señaletica horizontal y vertical, acceso universal en esquinas,semaforización y paradas de autobús en diferentes cruceros, zona 2 del Municipio de Zapopan, Jallisco</v>
      </c>
      <c r="F181" s="16" t="s">
        <v>67</v>
      </c>
      <c r="G181" s="9">
        <f>'[1]V, inciso p) (OP)'!AG113</f>
        <v>4703307.2300000004</v>
      </c>
      <c r="H181" s="8" t="str">
        <f>'[1]V, inciso p) (OP)'!AS113</f>
        <v>Varias colonias del Municipio</v>
      </c>
      <c r="I181" s="6" t="str">
        <f>'[1]V, inciso p) (OP)'!T113</f>
        <v>José Jaime</v>
      </c>
      <c r="J181" s="6" t="str">
        <f>'[1]V, inciso p) (OP)'!U113</f>
        <v>Camarena</v>
      </c>
      <c r="K181" s="6" t="str">
        <f>'[1]V, inciso p) (OP)'!V113</f>
        <v>Correa</v>
      </c>
      <c r="L181" s="8" t="str">
        <f>'[1]V, inciso p) (OP)'!W113</f>
        <v>Firmitas Constructa, S.A de C.V.</v>
      </c>
      <c r="M181" s="6" t="str">
        <f>'[1]V, inciso p) (OP)'!X113</f>
        <v>FCO110711N24</v>
      </c>
      <c r="N181" s="9">
        <f>'[1]V, inciso p) (OP)'!AG113</f>
        <v>4703307.2300000004</v>
      </c>
      <c r="O181" s="10" t="s">
        <v>40</v>
      </c>
      <c r="P181" s="10" t="s">
        <v>780</v>
      </c>
      <c r="Q181" s="11">
        <f>N181/2265.23</f>
        <v>2076.3044944663457</v>
      </c>
      <c r="R181" s="10" t="s">
        <v>42</v>
      </c>
      <c r="S181" s="14">
        <v>284788</v>
      </c>
      <c r="T181" s="8" t="s">
        <v>43</v>
      </c>
      <c r="U181" s="6" t="s">
        <v>565</v>
      </c>
      <c r="V181" s="7">
        <f>'[1]V, inciso p) (OP)'!AM113</f>
        <v>42727</v>
      </c>
      <c r="W181" s="7">
        <f>'[1]V, inciso p) (OP)'!AN113</f>
        <v>42846</v>
      </c>
      <c r="X181" s="6" t="s">
        <v>775</v>
      </c>
      <c r="Y181" s="6" t="s">
        <v>776</v>
      </c>
      <c r="Z181" s="6" t="s">
        <v>117</v>
      </c>
      <c r="AA181" s="6" t="s">
        <v>40</v>
      </c>
      <c r="AB181" s="6" t="s">
        <v>40</v>
      </c>
    </row>
    <row r="182" spans="1:28" ht="40.5">
      <c r="A182" s="6">
        <v>2016</v>
      </c>
      <c r="B182" s="6" t="s">
        <v>64</v>
      </c>
      <c r="C182" s="8" t="str">
        <f>'[1]V, inciso o) (OP)'!C86</f>
        <v>DOPI-MUN-RM-PAV-AD-181-2016</v>
      </c>
      <c r="D182" s="13">
        <f>'[1]V, inciso o) (OP)'!V86</f>
        <v>42653</v>
      </c>
      <c r="E182" s="8" t="str">
        <f>'[1]V, inciso o) (OP)'!AA86</f>
        <v>Programa emergente de bacheo de vialidades en Zapopan Norte tramo 2, municipio de Zapopan, Jalisco.</v>
      </c>
      <c r="F182" s="8" t="s">
        <v>184</v>
      </c>
      <c r="G182" s="9">
        <f>'[1]V, inciso o) (OP)'!Y86</f>
        <v>1494945.36</v>
      </c>
      <c r="H182" s="8" t="s">
        <v>225</v>
      </c>
      <c r="I182" s="6" t="str">
        <f>'[1]V, inciso o) (OP)'!M86</f>
        <v>RAFAEL AUGUSTO</v>
      </c>
      <c r="J182" s="6" t="str">
        <f>'[1]V, inciso o) (OP)'!N86</f>
        <v>CABALLERO</v>
      </c>
      <c r="K182" s="6" t="str">
        <f>'[1]V, inciso o) (OP)'!O86</f>
        <v>QUIRARTE</v>
      </c>
      <c r="L182" s="8" t="str">
        <f>'[1]V, inciso o) (OP)'!P86</f>
        <v>PROYECTOS ARQUITECTONICOS TRIANGULO, S.A. DE C.V.</v>
      </c>
      <c r="M182" s="6" t="str">
        <f>'[1]V, inciso o) (OP)'!Q86</f>
        <v>PAT110331HH0</v>
      </c>
      <c r="N182" s="9">
        <f>'[1]V, inciso o) (OP)'!Y86</f>
        <v>1494945.36</v>
      </c>
      <c r="O182" s="10" t="s">
        <v>40</v>
      </c>
      <c r="P182" s="10" t="s">
        <v>781</v>
      </c>
      <c r="Q182" s="11">
        <f>N182/249</f>
        <v>6003.7966265060249</v>
      </c>
      <c r="R182" s="10" t="s">
        <v>42</v>
      </c>
      <c r="S182" s="14">
        <v>156300</v>
      </c>
      <c r="T182" s="8" t="s">
        <v>43</v>
      </c>
      <c r="U182" s="6" t="s">
        <v>44</v>
      </c>
      <c r="V182" s="7">
        <f>'[1]V, inciso o) (OP)'!AD86</f>
        <v>42654</v>
      </c>
      <c r="W182" s="7">
        <f>'[1]V, inciso o) (OP)'!AE86</f>
        <v>42710</v>
      </c>
      <c r="X182" s="6" t="s">
        <v>754</v>
      </c>
      <c r="Y182" s="6" t="s">
        <v>755</v>
      </c>
      <c r="Z182" s="6" t="s">
        <v>756</v>
      </c>
      <c r="AA182" s="6" t="s">
        <v>40</v>
      </c>
      <c r="AB182" s="6" t="s">
        <v>40</v>
      </c>
    </row>
    <row r="183" spans="1:28" ht="54">
      <c r="A183" s="6">
        <v>2016</v>
      </c>
      <c r="B183" s="6" t="s">
        <v>64</v>
      </c>
      <c r="C183" s="8" t="str">
        <f>'[1]V, inciso o) (OP)'!C87</f>
        <v>DOPI-MUN-RM-PAV-AD-182-2016</v>
      </c>
      <c r="D183" s="13">
        <f>'[1]V, inciso o) (OP)'!V87</f>
        <v>42650</v>
      </c>
      <c r="E183" s="8" t="str">
        <f>'[1]V, inciso o) (OP)'!AA87</f>
        <v>Rehabilitación de machuelos de concreto hidráulico en la Av. Juan Gil Preciado, tramo 1, municipio de Zapopan, Jalisco.</v>
      </c>
      <c r="F183" s="8" t="s">
        <v>184</v>
      </c>
      <c r="G183" s="9">
        <f>'[1]V, inciso o) (OP)'!Y87</f>
        <v>1498832.34</v>
      </c>
      <c r="H183" s="8" t="s">
        <v>225</v>
      </c>
      <c r="I183" s="6" t="str">
        <f>'[1]V, inciso o) (OP)'!M87</f>
        <v>ENRIQUE</v>
      </c>
      <c r="J183" s="6" t="str">
        <f>'[1]V, inciso o) (OP)'!N87</f>
        <v>LUGO</v>
      </c>
      <c r="K183" s="6" t="str">
        <f>'[1]V, inciso o) (OP)'!O87</f>
        <v>IBARRA</v>
      </c>
      <c r="L183" s="8" t="str">
        <f>'[1]V, inciso o) (OP)'!P87</f>
        <v>LUGO IBARRA CONSORCIO CONSTRUCTOR, S.A. DE C.V.</v>
      </c>
      <c r="M183" s="6" t="str">
        <f>'[1]V, inciso o) (OP)'!Q87</f>
        <v>LIC0208141P8</v>
      </c>
      <c r="N183" s="9">
        <f>'[1]V, inciso o) (OP)'!Y87</f>
        <v>1498832.34</v>
      </c>
      <c r="O183" s="10" t="s">
        <v>40</v>
      </c>
      <c r="P183" s="10" t="s">
        <v>782</v>
      </c>
      <c r="Q183" s="11">
        <f>N183/4153</f>
        <v>360.90352516253313</v>
      </c>
      <c r="R183" s="10" t="s">
        <v>42</v>
      </c>
      <c r="S183" s="14">
        <v>121200</v>
      </c>
      <c r="T183" s="8" t="s">
        <v>43</v>
      </c>
      <c r="U183" s="6" t="s">
        <v>44</v>
      </c>
      <c r="V183" s="7">
        <f>'[1]V, inciso o) (OP)'!AD87</f>
        <v>42653</v>
      </c>
      <c r="W183" s="7">
        <f>'[1]V, inciso o) (OP)'!AE87</f>
        <v>42712</v>
      </c>
      <c r="X183" s="6" t="s">
        <v>586</v>
      </c>
      <c r="Y183" s="6" t="s">
        <v>404</v>
      </c>
      <c r="Z183" s="6" t="s">
        <v>405</v>
      </c>
      <c r="AA183" s="6" t="s">
        <v>40</v>
      </c>
      <c r="AB183" s="6" t="s">
        <v>40</v>
      </c>
    </row>
    <row r="184" spans="1:28" ht="40.5">
      <c r="A184" s="6">
        <v>2016</v>
      </c>
      <c r="B184" s="6" t="s">
        <v>64</v>
      </c>
      <c r="C184" s="8" t="str">
        <f>'[1]V, inciso o) (OP)'!C88</f>
        <v>DOPI-MUN-RM-PAV-AD-183-2016</v>
      </c>
      <c r="D184" s="13">
        <f>'[1]V, inciso o) (OP)'!V88</f>
        <v>42650</v>
      </c>
      <c r="E184" s="8" t="str">
        <f>'[1]V, inciso o) (OP)'!AA88</f>
        <v>Rehabilitación de machuelos de concreto hidráulico en la Av. Juan Gil Preciado, tramo 2, municipio de Zapopan, Jalisco.</v>
      </c>
      <c r="F184" s="8" t="s">
        <v>184</v>
      </c>
      <c r="G184" s="9">
        <f>'[1]V, inciso o) (OP)'!Y88</f>
        <v>1492150.48</v>
      </c>
      <c r="H184" s="8" t="s">
        <v>225</v>
      </c>
      <c r="I184" s="6" t="str">
        <f>'[1]V, inciso o) (OP)'!M88</f>
        <v>ARTURO</v>
      </c>
      <c r="J184" s="6" t="str">
        <f>'[1]V, inciso o) (OP)'!N88</f>
        <v>SARMIENTO</v>
      </c>
      <c r="K184" s="6" t="str">
        <f>'[1]V, inciso o) (OP)'!O88</f>
        <v>SANCHEZ</v>
      </c>
      <c r="L184" s="8" t="str">
        <f>'[1]V, inciso o) (OP)'!P88</f>
        <v>CONSTRUBRAVO, S.A. DE C.V.</v>
      </c>
      <c r="M184" s="6" t="str">
        <f>'[1]V, inciso o) (OP)'!Q88</f>
        <v>CON020208696</v>
      </c>
      <c r="N184" s="9">
        <f>'[1]V, inciso o) (OP)'!Y88</f>
        <v>1492150.48</v>
      </c>
      <c r="O184" s="11">
        <v>1492126.81</v>
      </c>
      <c r="P184" s="10" t="s">
        <v>782</v>
      </c>
      <c r="Q184" s="11">
        <f>N184/4153</f>
        <v>359.29460149289667</v>
      </c>
      <c r="R184" s="10" t="s">
        <v>42</v>
      </c>
      <c r="S184" s="14">
        <v>121200</v>
      </c>
      <c r="T184" s="8" t="s">
        <v>43</v>
      </c>
      <c r="U184" s="6" t="s">
        <v>44</v>
      </c>
      <c r="V184" s="7">
        <f>'[1]V, inciso o) (OP)'!AD88</f>
        <v>42653</v>
      </c>
      <c r="W184" s="7">
        <f>'[1]V, inciso o) (OP)'!AE88</f>
        <v>42712</v>
      </c>
      <c r="X184" s="6" t="s">
        <v>586</v>
      </c>
      <c r="Y184" s="6" t="s">
        <v>404</v>
      </c>
      <c r="Z184" s="6" t="s">
        <v>405</v>
      </c>
      <c r="AA184" s="6" t="s">
        <v>40</v>
      </c>
      <c r="AB184" s="6" t="s">
        <v>40</v>
      </c>
    </row>
    <row r="185" spans="1:28" ht="40.5">
      <c r="A185" s="6">
        <v>2016</v>
      </c>
      <c r="B185" s="6" t="s">
        <v>64</v>
      </c>
      <c r="C185" s="8" t="str">
        <f>'[1]V, inciso o) (OP)'!C89</f>
        <v>DOPI-MUN-RM-DP-AD-184-2016</v>
      </c>
      <c r="D185" s="13">
        <f>'[1]V, inciso o) (OP)'!V89</f>
        <v>42653</v>
      </c>
      <c r="E185" s="8" t="str">
        <f>'[1]V, inciso o) (OP)'!AA89</f>
        <v>Construcción de colector pluvial en el camino al Arenero, municipio de Zapopan, Jalisco.</v>
      </c>
      <c r="F185" s="8" t="s">
        <v>184</v>
      </c>
      <c r="G185" s="9">
        <f>'[1]V, inciso o) (OP)'!Y89</f>
        <v>1478083.67</v>
      </c>
      <c r="H185" s="8" t="s">
        <v>783</v>
      </c>
      <c r="I185" s="6" t="str">
        <f>'[1]V, inciso o) (OP)'!M89</f>
        <v xml:space="preserve">EDUARDO </v>
      </c>
      <c r="J185" s="6" t="str">
        <f>'[1]V, inciso o) (OP)'!N89</f>
        <v>ROMERO</v>
      </c>
      <c r="K185" s="6" t="str">
        <f>'[1]V, inciso o) (OP)'!O89</f>
        <v>LUGO</v>
      </c>
      <c r="L185" s="8" t="str">
        <f>'[1]V, inciso o) (OP)'!P89</f>
        <v>RS OBRAS Y SERVICIOS S.A. DE C.V.</v>
      </c>
      <c r="M185" s="6" t="str">
        <f>'[1]V, inciso o) (OP)'!Q89</f>
        <v>ROS120904PV9</v>
      </c>
      <c r="N185" s="9">
        <f>'[1]V, inciso o) (OP)'!Y89</f>
        <v>1478083.67</v>
      </c>
      <c r="O185" s="10" t="s">
        <v>40</v>
      </c>
      <c r="P185" s="10" t="s">
        <v>784</v>
      </c>
      <c r="Q185" s="11">
        <f>N185/231</f>
        <v>6398.6306060606057</v>
      </c>
      <c r="R185" s="10" t="s">
        <v>42</v>
      </c>
      <c r="S185" s="14">
        <v>1850</v>
      </c>
      <c r="T185" s="8" t="s">
        <v>43</v>
      </c>
      <c r="U185" s="6" t="s">
        <v>44</v>
      </c>
      <c r="V185" s="7">
        <f>'[1]V, inciso o) (OP)'!AD89</f>
        <v>42654</v>
      </c>
      <c r="W185" s="7">
        <f>'[1]V, inciso o) (OP)'!AE89</f>
        <v>42678</v>
      </c>
      <c r="X185" s="6" t="s">
        <v>785</v>
      </c>
      <c r="Y185" s="6" t="s">
        <v>76</v>
      </c>
      <c r="Z185" s="6" t="s">
        <v>77</v>
      </c>
      <c r="AA185" s="6" t="s">
        <v>40</v>
      </c>
      <c r="AB185" s="6" t="s">
        <v>40</v>
      </c>
    </row>
    <row r="186" spans="1:28" ht="54">
      <c r="A186" s="6">
        <v>2016</v>
      </c>
      <c r="B186" s="6" t="s">
        <v>64</v>
      </c>
      <c r="C186" s="8" t="str">
        <f>'[1]V, inciso o) (OP)'!C90</f>
        <v>DOPI-MUN-RM-PROY-AD-185-2016</v>
      </c>
      <c r="D186" s="13">
        <f>'[1]V, inciso o) (OP)'!V90</f>
        <v>42653</v>
      </c>
      <c r="E186" s="8" t="str">
        <f>'[1]V, inciso o) (OP)'!AA90</f>
        <v>Proyecto ejecutivo de la renovación y ampliación del Museo de Arte de Zapopan, ubicado en el Andador 20 de Noviembre y la calle 28 de Enero, en la cabecera municipal, de Zapopan, Jalisco.</v>
      </c>
      <c r="F186" s="8" t="s">
        <v>184</v>
      </c>
      <c r="G186" s="9">
        <f>'[1]V, inciso o) (OP)'!Y90</f>
        <v>986034.8</v>
      </c>
      <c r="H186" s="8" t="s">
        <v>215</v>
      </c>
      <c r="I186" s="6" t="str">
        <f>'[1]V, inciso o) (OP)'!M90</f>
        <v>ENRIQUE FRANCISCO</v>
      </c>
      <c r="J186" s="6" t="str">
        <f>'[1]V, inciso o) (OP)'!N90</f>
        <v>TOUSSAINT</v>
      </c>
      <c r="K186" s="6" t="str">
        <f>'[1]V, inciso o) (OP)'!O90</f>
        <v>OCHOA</v>
      </c>
      <c r="L186" s="8" t="str">
        <f>'[1]V, inciso o) (OP)'!P90</f>
        <v>GRUPO ARQUITECTOS TOUSSAINT Y ORENDAIN SC</v>
      </c>
      <c r="M186" s="6" t="str">
        <f>'[1]V, inciso o) (OP)'!Q90</f>
        <v>GAT920520R72</v>
      </c>
      <c r="N186" s="9">
        <f>'[1]V, inciso o) (OP)'!Y90</f>
        <v>986034.8</v>
      </c>
      <c r="O186" s="10" t="s">
        <v>40</v>
      </c>
      <c r="P186" s="10" t="s">
        <v>731</v>
      </c>
      <c r="Q186" s="11">
        <f>N186</f>
        <v>986034.8</v>
      </c>
      <c r="R186" s="10" t="s">
        <v>42</v>
      </c>
      <c r="S186" s="14" t="s">
        <v>232</v>
      </c>
      <c r="T186" s="8" t="s">
        <v>231</v>
      </c>
      <c r="U186" s="6" t="s">
        <v>44</v>
      </c>
      <c r="V186" s="7">
        <f>'[1]V, inciso o) (OP)'!AD90</f>
        <v>42654</v>
      </c>
      <c r="W186" s="7">
        <f>'[1]V, inciso o) (OP)'!AE90</f>
        <v>42750</v>
      </c>
      <c r="X186" s="6" t="s">
        <v>639</v>
      </c>
      <c r="Y186" s="6" t="s">
        <v>524</v>
      </c>
      <c r="Z186" s="6" t="s">
        <v>462</v>
      </c>
      <c r="AA186" s="6" t="s">
        <v>40</v>
      </c>
      <c r="AB186" s="6" t="s">
        <v>40</v>
      </c>
    </row>
    <row r="187" spans="1:28" ht="54">
      <c r="A187" s="6">
        <v>2016</v>
      </c>
      <c r="B187" s="6" t="s">
        <v>64</v>
      </c>
      <c r="C187" s="8" t="str">
        <f>'[1]V, inciso o) (OP)'!C91</f>
        <v>DOPI-MUN-RM-DP-AD-186-2016</v>
      </c>
      <c r="D187" s="13">
        <f>'[1]V, inciso o) (OP)'!V91</f>
        <v>42653</v>
      </c>
      <c r="E187" s="8" t="str">
        <f>'[1]V, inciso o) (OP)'!AA91</f>
        <v>Solución Pluvial en Tesistán (colector pluvial de 36" y bocas de tormenta) en la calle Jalisco, Hidalgo, Puebla, en la localidad de Tesistán, municipio de Zapopan, Jalisco. Frente 1.</v>
      </c>
      <c r="F187" s="8" t="s">
        <v>184</v>
      </c>
      <c r="G187" s="9">
        <f>'[1]V, inciso o) (OP)'!Y91</f>
        <v>1479766.1</v>
      </c>
      <c r="H187" s="8" t="s">
        <v>786</v>
      </c>
      <c r="I187" s="6" t="str">
        <f>'[1]V, inciso o) (OP)'!M91</f>
        <v>JAVIER</v>
      </c>
      <c r="J187" s="6" t="str">
        <f>'[1]V, inciso o) (OP)'!N91</f>
        <v xml:space="preserve">ÁVILA </v>
      </c>
      <c r="K187" s="6" t="str">
        <f>'[1]V, inciso o) (OP)'!O91</f>
        <v>FLORES</v>
      </c>
      <c r="L187" s="8" t="str">
        <f>'[1]V, inciso o) (OP)'!P91</f>
        <v>SAVHO CONSULTORÍA Y CONSTRUCCIÓN, S.A. DE C.V.</v>
      </c>
      <c r="M187" s="6" t="str">
        <f>'[1]V, inciso o) (OP)'!Q91</f>
        <v>SCC060622HZ3</v>
      </c>
      <c r="N187" s="9">
        <f>'[1]V, inciso o) (OP)'!Y91</f>
        <v>1479766.1</v>
      </c>
      <c r="O187" s="10" t="s">
        <v>40</v>
      </c>
      <c r="P187" s="10" t="s">
        <v>787</v>
      </c>
      <c r="Q187" s="11">
        <f>N187/222</f>
        <v>6665.6130630630632</v>
      </c>
      <c r="R187" s="10" t="s">
        <v>42</v>
      </c>
      <c r="S187" s="14">
        <v>2460</v>
      </c>
      <c r="T187" s="8" t="s">
        <v>43</v>
      </c>
      <c r="U187" s="6" t="s">
        <v>44</v>
      </c>
      <c r="V187" s="7">
        <f>'[1]V, inciso o) (OP)'!AD91</f>
        <v>42654</v>
      </c>
      <c r="W187" s="7">
        <f>'[1]V, inciso o) (OP)'!AE91</f>
        <v>42704</v>
      </c>
      <c r="X187" s="6" t="s">
        <v>544</v>
      </c>
      <c r="Y187" s="6" t="s">
        <v>545</v>
      </c>
      <c r="Z187" s="6" t="s">
        <v>212</v>
      </c>
      <c r="AA187" s="6" t="s">
        <v>40</v>
      </c>
      <c r="AB187" s="6" t="s">
        <v>40</v>
      </c>
    </row>
    <row r="188" spans="1:28" ht="67.5">
      <c r="A188" s="6">
        <v>2016</v>
      </c>
      <c r="B188" s="6" t="s">
        <v>64</v>
      </c>
      <c r="C188" s="8" t="str">
        <f>'[1]V, inciso o) (OP)'!C92</f>
        <v>DOPI-MUN-RM-IE-AD-187-2016</v>
      </c>
      <c r="D188" s="13">
        <f>'[1]V, inciso o) (OP)'!V92</f>
        <v>42664</v>
      </c>
      <c r="E188" s="8" t="str">
        <f>'[1]V, inciso o) (OP)'!AA92</f>
        <v>Suministro y colocación de estructuras de protección de rayos ultravioleta y sustitución de losas de concreto en el plantel educativo Gustavo Diaz Ordaz, clave 14EPR1473U, colonia Gustavo Diaz Ordaz, Municipio de Zapopan, Jalisco.</v>
      </c>
      <c r="F188" s="8" t="s">
        <v>184</v>
      </c>
      <c r="G188" s="9">
        <f>'[1]V, inciso o) (OP)'!Y92</f>
        <v>998756.32</v>
      </c>
      <c r="H188" s="8" t="s">
        <v>788</v>
      </c>
      <c r="I188" s="6" t="str">
        <f>'[1]V, inciso o) (OP)'!M92</f>
        <v>AARON</v>
      </c>
      <c r="J188" s="6" t="str">
        <f>'[1]V, inciso o) (OP)'!N92</f>
        <v>AMARAL</v>
      </c>
      <c r="K188" s="6" t="str">
        <f>'[1]V, inciso o) (OP)'!O92</f>
        <v>LOPEZ</v>
      </c>
      <c r="L188" s="8" t="str">
        <f>'[1]V, inciso o) (OP)'!P92</f>
        <v>GLOBAL CONSTRUCCIONES Y CONSULTORIA, S.A. DE C.V.</v>
      </c>
      <c r="M188" s="6" t="str">
        <f>'[1]V, inciso o) (OP)'!Q92</f>
        <v>GCC1102098R8</v>
      </c>
      <c r="N188" s="9">
        <f>'[1]V, inciso o) (OP)'!Y92</f>
        <v>998756.32</v>
      </c>
      <c r="O188" s="10" t="s">
        <v>40</v>
      </c>
      <c r="P188" s="10" t="s">
        <v>789</v>
      </c>
      <c r="Q188" s="11">
        <f>N188/684</f>
        <v>1460.1700584795321</v>
      </c>
      <c r="R188" s="10" t="s">
        <v>42</v>
      </c>
      <c r="S188" s="14">
        <v>1140</v>
      </c>
      <c r="T188" s="8" t="s">
        <v>43</v>
      </c>
      <c r="U188" s="6" t="s">
        <v>44</v>
      </c>
      <c r="V188" s="7">
        <f>'[1]V, inciso o) (OP)'!AD92</f>
        <v>42667</v>
      </c>
      <c r="W188" s="7">
        <f>'[1]V, inciso o) (OP)'!AE92</f>
        <v>42726</v>
      </c>
      <c r="X188" s="6" t="s">
        <v>668</v>
      </c>
      <c r="Y188" s="6" t="s">
        <v>88</v>
      </c>
      <c r="Z188" s="6" t="s">
        <v>790</v>
      </c>
      <c r="AA188" s="6" t="s">
        <v>40</v>
      </c>
      <c r="AB188" s="6" t="s">
        <v>40</v>
      </c>
    </row>
    <row r="189" spans="1:28" ht="40.5">
      <c r="A189" s="6">
        <v>2016</v>
      </c>
      <c r="B189" s="6" t="s">
        <v>30</v>
      </c>
      <c r="C189" s="8" t="str">
        <f>'[1]V, inciso p) (OP)'!D114</f>
        <v>DOPI-FED-R23-IM-LP-188-2016</v>
      </c>
      <c r="D189" s="13">
        <f>'[1]V, inciso p) (OP)'!AD114</f>
        <v>42704</v>
      </c>
      <c r="E189" s="8" t="str">
        <f>'[1]V, inciso p) (OP)'!AL114</f>
        <v>Construcción de la primera etapa del centro comunitario, Centro de Emprendimiento, en Miramar, frente 1.</v>
      </c>
      <c r="F189" s="8" t="s">
        <v>648</v>
      </c>
      <c r="G189" s="9">
        <f>'[1]V, inciso p) (OP)'!AG114</f>
        <v>18435309.59</v>
      </c>
      <c r="H189" s="8" t="str">
        <f>'[1]V, inciso p) (OP)'!AS114</f>
        <v>Colonia Miramar</v>
      </c>
      <c r="I189" s="6" t="str">
        <f>'[1]V, inciso p) (OP)'!T114</f>
        <v>Luis German</v>
      </c>
      <c r="J189" s="6" t="str">
        <f>'[1]V, inciso p) (OP)'!U114</f>
        <v xml:space="preserve">Delgadillo </v>
      </c>
      <c r="K189" s="6" t="str">
        <f>'[1]V, inciso p) (OP)'!V114</f>
        <v>Alcazar</v>
      </c>
      <c r="L189" s="8" t="str">
        <f>'[1]V, inciso p) (OP)'!W114</f>
        <v>Axioma Proyectos e Ingeniería, S. A. de C. V.</v>
      </c>
      <c r="M189" s="6" t="str">
        <f>'[1]V, inciso p) (OP)'!X114</f>
        <v>APE111122MI0</v>
      </c>
      <c r="N189" s="9">
        <f t="shared" ref="N189:N211" si="4">G189</f>
        <v>18435309.59</v>
      </c>
      <c r="O189" s="10" t="s">
        <v>40</v>
      </c>
      <c r="P189" s="10" t="s">
        <v>791</v>
      </c>
      <c r="Q189" s="11">
        <f>N189/1601</f>
        <v>11514.871698938163</v>
      </c>
      <c r="R189" s="10" t="s">
        <v>42</v>
      </c>
      <c r="S189" s="14">
        <v>4790</v>
      </c>
      <c r="T189" s="8" t="s">
        <v>43</v>
      </c>
      <c r="U189" s="6" t="s">
        <v>565</v>
      </c>
      <c r="V189" s="7">
        <f>'[1]V, inciso p) (OP)'!AM114</f>
        <v>42705</v>
      </c>
      <c r="W189" s="7">
        <f>'[1]V, inciso p) (OP)'!AN114</f>
        <v>42735</v>
      </c>
      <c r="X189" s="6" t="s">
        <v>668</v>
      </c>
      <c r="Y189" s="6" t="s">
        <v>88</v>
      </c>
      <c r="Z189" s="6" t="s">
        <v>790</v>
      </c>
      <c r="AA189" s="6" t="s">
        <v>40</v>
      </c>
      <c r="AB189" s="6" t="s">
        <v>40</v>
      </c>
    </row>
    <row r="190" spans="1:28" ht="40.5">
      <c r="A190" s="6">
        <v>2016</v>
      </c>
      <c r="B190" s="6" t="s">
        <v>30</v>
      </c>
      <c r="C190" s="8" t="str">
        <f>'[1]V, inciso p) (OP)'!D115</f>
        <v>DOPI-FED-R23-IM-LP-189-2016</v>
      </c>
      <c r="D190" s="13">
        <f>'[1]V, inciso p) (OP)'!AD115</f>
        <v>42704</v>
      </c>
      <c r="E190" s="8" t="str">
        <f>'[1]V, inciso p) (OP)'!AL115</f>
        <v>Construcción de la primera etapa del centro comunitario, Centro de Emprendimiento, en Miramar, frente 2.</v>
      </c>
      <c r="F190" s="8" t="s">
        <v>648</v>
      </c>
      <c r="G190" s="9">
        <f>'[1]V, inciso p) (OP)'!AG115</f>
        <v>4817658.4800000004</v>
      </c>
      <c r="H190" s="8" t="str">
        <f>'[1]V, inciso p) (OP)'!AS115</f>
        <v>Colonia Miramar</v>
      </c>
      <c r="I190" s="6" t="str">
        <f>'[1]V, inciso p) (OP)'!T115</f>
        <v>Gustavo Alejandro</v>
      </c>
      <c r="J190" s="6" t="str">
        <f>'[1]V, inciso p) (OP)'!U115</f>
        <v>Ledezma</v>
      </c>
      <c r="K190" s="6" t="str">
        <f>'[1]V, inciso p) (OP)'!V115</f>
        <v xml:space="preserve"> Cervantes</v>
      </c>
      <c r="L190" s="8" t="str">
        <f>'[1]V, inciso p) (OP)'!W115</f>
        <v>Edificaciones y Proyectos Roca, S.A. de C.V.</v>
      </c>
      <c r="M190" s="6" t="str">
        <f>'[1]V, inciso p) (OP)'!X115</f>
        <v>EPR131016I71</v>
      </c>
      <c r="N190" s="9">
        <f t="shared" si="4"/>
        <v>4817658.4800000004</v>
      </c>
      <c r="O190" s="10" t="s">
        <v>40</v>
      </c>
      <c r="P190" s="10" t="s">
        <v>792</v>
      </c>
      <c r="Q190" s="11">
        <f>N190/4215</f>
        <v>1142.9794733096087</v>
      </c>
      <c r="R190" s="10" t="s">
        <v>42</v>
      </c>
      <c r="S190" s="14">
        <v>4790</v>
      </c>
      <c r="T190" s="8" t="s">
        <v>43</v>
      </c>
      <c r="U190" s="6" t="s">
        <v>565</v>
      </c>
      <c r="V190" s="7">
        <f>'[1]V, inciso p) (OP)'!AM115</f>
        <v>42705</v>
      </c>
      <c r="W190" s="7">
        <f>'[1]V, inciso p) (OP)'!AN115</f>
        <v>42735</v>
      </c>
      <c r="X190" s="6" t="s">
        <v>668</v>
      </c>
      <c r="Y190" s="6" t="s">
        <v>88</v>
      </c>
      <c r="Z190" s="6" t="s">
        <v>790</v>
      </c>
      <c r="AA190" s="6" t="s">
        <v>40</v>
      </c>
      <c r="AB190" s="6" t="s">
        <v>40</v>
      </c>
    </row>
    <row r="191" spans="1:28" ht="81">
      <c r="A191" s="6">
        <v>2016</v>
      </c>
      <c r="B191" s="6" t="s">
        <v>30</v>
      </c>
      <c r="C191" s="8" t="str">
        <f>'[1]V, inciso p) (OP)'!D116</f>
        <v>DOPI-FED-PR-PAV-LP-190-2016</v>
      </c>
      <c r="D191" s="13">
        <f>'[1]V, inciso p) (OP)'!AD116</f>
        <v>42704</v>
      </c>
      <c r="E191" s="8" t="str">
        <f>'[1]V, inciso p) (OP)'!AL116</f>
        <v>Pavimentación con concreto hidráulico de la Calle Rizo Ayala, incluye: red de agua potable y alcantarillado, alumbrado público y guarniciones, banquetas, renivelación de pozos y cajas, señalamiento horizontal y vertical, municipio de Zapopan, Jalisco.</v>
      </c>
      <c r="F191" s="8" t="s">
        <v>648</v>
      </c>
      <c r="G191" s="9">
        <f>'[1]V, inciso p) (OP)'!AG116</f>
        <v>2963838.41</v>
      </c>
      <c r="H191" s="8" t="str">
        <f>'[1]V, inciso p) (OP)'!AS116</f>
        <v>Colonia La Martinica</v>
      </c>
      <c r="I191" s="6" t="str">
        <f>'[1]V, inciso p) (OP)'!T116</f>
        <v>Blanca Estela</v>
      </c>
      <c r="J191" s="6" t="str">
        <f>'[1]V, inciso p) (OP)'!U116</f>
        <v>Moreno</v>
      </c>
      <c r="K191" s="6" t="str">
        <f>'[1]V, inciso p) (OP)'!V116</f>
        <v>Lemus</v>
      </c>
      <c r="L191" s="8" t="str">
        <f>'[1]V, inciso p) (OP)'!W116</f>
        <v xml:space="preserve">Estudios, Proyectos y Construcciones de Guadalajara, S.A. de C.V. </v>
      </c>
      <c r="M191" s="6" t="str">
        <f>'[1]V, inciso p) (OP)'!X116</f>
        <v>EPC7107236R1</v>
      </c>
      <c r="N191" s="9">
        <f t="shared" si="4"/>
        <v>2963838.41</v>
      </c>
      <c r="O191" s="10" t="s">
        <v>40</v>
      </c>
      <c r="P191" s="10" t="s">
        <v>793</v>
      </c>
      <c r="Q191" s="11">
        <f>N191/1440</f>
        <v>2058.2211180555555</v>
      </c>
      <c r="R191" s="10" t="s">
        <v>42</v>
      </c>
      <c r="S191" s="14">
        <v>1840</v>
      </c>
      <c r="T191" s="8" t="s">
        <v>43</v>
      </c>
      <c r="U191" s="6" t="s">
        <v>565</v>
      </c>
      <c r="V191" s="7">
        <f>'[1]V, inciso p) (OP)'!AM116</f>
        <v>42705</v>
      </c>
      <c r="W191" s="7">
        <f>'[1]V, inciso p) (OP)'!AN116</f>
        <v>42735</v>
      </c>
      <c r="X191" s="6" t="s">
        <v>775</v>
      </c>
      <c r="Y191" s="6" t="s">
        <v>776</v>
      </c>
      <c r="Z191" s="6" t="s">
        <v>117</v>
      </c>
      <c r="AA191" s="6" t="s">
        <v>40</v>
      </c>
      <c r="AB191" s="6" t="s">
        <v>40</v>
      </c>
    </row>
    <row r="192" spans="1:28" ht="81">
      <c r="A192" s="6">
        <v>2016</v>
      </c>
      <c r="B192" s="6" t="s">
        <v>30</v>
      </c>
      <c r="C192" s="8" t="str">
        <f>'[1]V, inciso p) (OP)'!D117</f>
        <v>DOPI-FED-PR-PAV-LP-191-2016</v>
      </c>
      <c r="D192" s="13">
        <f>'[1]V, inciso p) (OP)'!AD117</f>
        <v>42704</v>
      </c>
      <c r="E192" s="8" t="str">
        <f>'[1]V, inciso p) (OP)'!AL117</f>
        <v>Reencarpetamiento de vialidad Calle Pípila con concreto hidráulico desde la Calle Felipe Ángeles a la Calle Rizo Ayala, incluye: guarniciones, banquetas, renivelación de pozos y cajas, señalamiento vertical y horizontal, Municipio de Zapopan, Jalisco</v>
      </c>
      <c r="F192" s="8" t="s">
        <v>648</v>
      </c>
      <c r="G192" s="9">
        <f>'[1]V, inciso p) (OP)'!AG117</f>
        <v>9700078.7599999998</v>
      </c>
      <c r="H192" s="8" t="str">
        <f>'[1]V, inciso p) (OP)'!AS117</f>
        <v>Colonia La Martinica</v>
      </c>
      <c r="I192" s="6" t="str">
        <f>'[1]V, inciso p) (OP)'!T117</f>
        <v>Sergio Cesar</v>
      </c>
      <c r="J192" s="6" t="str">
        <f>'[1]V, inciso p) (OP)'!U117</f>
        <v>Diaz</v>
      </c>
      <c r="K192" s="6" t="str">
        <f>'[1]V, inciso p) (OP)'!V117</f>
        <v>Quiroz</v>
      </c>
      <c r="L192" s="8" t="str">
        <f>'[1]V, inciso p) (OP)'!W117</f>
        <v>Grupo Unicreto S.A. de C.V.</v>
      </c>
      <c r="M192" s="6" t="str">
        <f>'[1]V, inciso p) (OP)'!X117</f>
        <v>GUN880613NY1</v>
      </c>
      <c r="N192" s="9">
        <f t="shared" si="4"/>
        <v>9700078.7599999998</v>
      </c>
      <c r="O192" s="10" t="s">
        <v>40</v>
      </c>
      <c r="P192" s="10" t="s">
        <v>794</v>
      </c>
      <c r="Q192" s="11">
        <f>N192/6183</f>
        <v>1568.8304641759664</v>
      </c>
      <c r="R192" s="10" t="s">
        <v>42</v>
      </c>
      <c r="S192" s="14">
        <v>1840</v>
      </c>
      <c r="T192" s="8" t="s">
        <v>43</v>
      </c>
      <c r="U192" s="6" t="s">
        <v>565</v>
      </c>
      <c r="V192" s="7">
        <f>'[1]V, inciso p) (OP)'!AM117</f>
        <v>42705</v>
      </c>
      <c r="W192" s="7">
        <f>'[1]V, inciso p) (OP)'!AN117</f>
        <v>42735</v>
      </c>
      <c r="X192" s="6" t="s">
        <v>775</v>
      </c>
      <c r="Y192" s="6" t="s">
        <v>776</v>
      </c>
      <c r="Z192" s="6" t="s">
        <v>117</v>
      </c>
      <c r="AA192" s="6" t="s">
        <v>40</v>
      </c>
      <c r="AB192" s="6" t="s">
        <v>40</v>
      </c>
    </row>
    <row r="193" spans="1:28" ht="94.5">
      <c r="A193" s="6">
        <v>2016</v>
      </c>
      <c r="B193" s="6" t="s">
        <v>30</v>
      </c>
      <c r="C193" s="8" t="str">
        <f>'[1]V, inciso p) (OP)'!D118</f>
        <v>DOPI-FED-PR-PAV-LP-192-2016</v>
      </c>
      <c r="D193" s="13">
        <f>'[1]V, inciso p) (OP)'!AD118</f>
        <v>42704</v>
      </c>
      <c r="E193" s="8" t="str">
        <f>'[1]V, inciso p) (OP)'!AL118</f>
        <v>Reencarpetamiento de vialidad con concreto hidráulico Calle González Gallo desde la Av. Prolongación Federalismo al andador Rosario Guadalupe, incluye: guarniciones, banquetas, renivelaciones de pozos y cajas, señalamiento vertical y horizontal, Municipio de Zapopan, Jalisco.</v>
      </c>
      <c r="F193" s="8" t="s">
        <v>648</v>
      </c>
      <c r="G193" s="9">
        <f>'[1]V, inciso p) (OP)'!AG118</f>
        <v>9006202.9700000007</v>
      </c>
      <c r="H193" s="8" t="str">
        <f>'[1]V, inciso p) (OP)'!AS118</f>
        <v>Colonia Parque del Auditorio</v>
      </c>
      <c r="I193" s="6" t="str">
        <f>'[1]V, inciso p) (OP)'!T118</f>
        <v>José</v>
      </c>
      <c r="J193" s="6" t="str">
        <f>'[1]V, inciso p) (OP)'!U118</f>
        <v>Plascencia</v>
      </c>
      <c r="K193" s="6" t="str">
        <f>'[1]V, inciso p) (OP)'!V118</f>
        <v>Casillas</v>
      </c>
      <c r="L193" s="8" t="str">
        <f>'[1]V, inciso p) (OP)'!W118</f>
        <v>PyP Constructora, S.A. de C.V.</v>
      </c>
      <c r="M193" s="6" t="str">
        <f>'[1]V, inciso p) (OP)'!X118</f>
        <v>PPC980828SY4</v>
      </c>
      <c r="N193" s="9">
        <f t="shared" si="4"/>
        <v>9006202.9700000007</v>
      </c>
      <c r="O193" s="10" t="s">
        <v>40</v>
      </c>
      <c r="P193" s="10" t="s">
        <v>795</v>
      </c>
      <c r="Q193" s="11">
        <f>N193/5521</f>
        <v>1631.2629904002899</v>
      </c>
      <c r="R193" s="10" t="s">
        <v>42</v>
      </c>
      <c r="S193" s="14">
        <v>2460</v>
      </c>
      <c r="T193" s="8" t="s">
        <v>43</v>
      </c>
      <c r="U193" s="6" t="s">
        <v>565</v>
      </c>
      <c r="V193" s="7">
        <f>'[1]V, inciso p) (OP)'!AM118</f>
        <v>42705</v>
      </c>
      <c r="W193" s="7">
        <f>'[1]V, inciso p) (OP)'!AN118</f>
        <v>42735</v>
      </c>
      <c r="X193" s="6" t="s">
        <v>775</v>
      </c>
      <c r="Y193" s="6" t="s">
        <v>776</v>
      </c>
      <c r="Z193" s="6" t="s">
        <v>117</v>
      </c>
      <c r="AA193" s="6" t="s">
        <v>40</v>
      </c>
      <c r="AB193" s="6" t="s">
        <v>40</v>
      </c>
    </row>
    <row r="194" spans="1:28" ht="81">
      <c r="A194" s="6">
        <v>2016</v>
      </c>
      <c r="B194" s="6" t="s">
        <v>30</v>
      </c>
      <c r="C194" s="8" t="str">
        <f>'[1]V, inciso p) (OP)'!D119</f>
        <v>DOPI-FED-PR-PAV-LP-193-2016</v>
      </c>
      <c r="D194" s="13">
        <f>'[1]V, inciso p) (OP)'!AD119</f>
        <v>42704</v>
      </c>
      <c r="E194" s="8" t="str">
        <f>'[1]V, inciso p) (OP)'!AL119</f>
        <v>Construcción de vialidad con concreto hidráulico en calle Ingeniero Alberto Mora López, desde la calle Elote a Carretera a Saltillo, incluye: guarniciones, banquetas, red de agua potable y alcantarillado y red de alumbrado público, zona las Mesas, municipio de Zapopan, Jalisco.</v>
      </c>
      <c r="F194" s="8" t="s">
        <v>648</v>
      </c>
      <c r="G194" s="9">
        <f>'[1]V, inciso p) (OP)'!AG119</f>
        <v>1879618.12</v>
      </c>
      <c r="H194" s="8" t="str">
        <f>'[1]V, inciso p) (OP)'!AS119</f>
        <v>Colonia Mesa Colorada Oriente</v>
      </c>
      <c r="I194" s="6" t="str">
        <f>'[1]V, inciso p) (OP)'!T119</f>
        <v>Erick</v>
      </c>
      <c r="J194" s="6" t="str">
        <f>'[1]V, inciso p) (OP)'!U119</f>
        <v>Villaseñor</v>
      </c>
      <c r="K194" s="6" t="str">
        <f>'[1]V, inciso p) (OP)'!V119</f>
        <v>Gutiérrez</v>
      </c>
      <c r="L194" s="8" t="str">
        <f>'[1]V, inciso p) (OP)'!W119</f>
        <v>Pixide Constructora, S.A. de C.V.</v>
      </c>
      <c r="M194" s="6" t="str">
        <f>'[1]V, inciso p) (OP)'!X119</f>
        <v>PCO140829425</v>
      </c>
      <c r="N194" s="9">
        <f t="shared" si="4"/>
        <v>1879618.12</v>
      </c>
      <c r="O194" s="10" t="s">
        <v>40</v>
      </c>
      <c r="P194" s="10" t="s">
        <v>796</v>
      </c>
      <c r="Q194" s="11">
        <f>N194/898</f>
        <v>2093.1159465478845</v>
      </c>
      <c r="R194" s="10" t="s">
        <v>42</v>
      </c>
      <c r="S194" s="14">
        <v>1450</v>
      </c>
      <c r="T194" s="8" t="s">
        <v>43</v>
      </c>
      <c r="U194" s="6" t="s">
        <v>565</v>
      </c>
      <c r="V194" s="7">
        <f>'[1]V, inciso p) (OP)'!AM119</f>
        <v>42705</v>
      </c>
      <c r="W194" s="7">
        <f>'[1]V, inciso p) (OP)'!AN119</f>
        <v>42735</v>
      </c>
      <c r="X194" s="6" t="s">
        <v>556</v>
      </c>
      <c r="Y194" s="6" t="s">
        <v>557</v>
      </c>
      <c r="Z194" s="6" t="s">
        <v>558</v>
      </c>
      <c r="AA194" s="6" t="s">
        <v>40</v>
      </c>
      <c r="AB194" s="6" t="s">
        <v>40</v>
      </c>
    </row>
    <row r="195" spans="1:28" ht="54">
      <c r="A195" s="6">
        <v>2016</v>
      </c>
      <c r="B195" s="6" t="s">
        <v>30</v>
      </c>
      <c r="C195" s="8" t="str">
        <f>'[1]V, inciso p) (OP)'!D120</f>
        <v>DOPI-FED-SM-RS-LP-194-2016</v>
      </c>
      <c r="D195" s="13">
        <f>'[1]V, inciso p) (OP)'!AD120</f>
        <v>42704</v>
      </c>
      <c r="E195" s="8" t="str">
        <f>'[1]V, inciso p) (OP)'!AL120</f>
        <v>Construcción de la celda V y primera fase del equipamiento de la planta de separación y alta compactación para el relleno sanitario Picachos del municipio de Zapopan, Jalisco.</v>
      </c>
      <c r="F195" s="8" t="s">
        <v>648</v>
      </c>
      <c r="G195" s="9">
        <f>'[1]V, inciso p) (OP)'!AG120</f>
        <v>53876349.590000004</v>
      </c>
      <c r="H195" s="8" t="str">
        <f>'[1]V, inciso p) (OP)'!AS120</f>
        <v>Relleno Sanitario de Picachos</v>
      </c>
      <c r="I195" s="6" t="str">
        <f>'[1]V, inciso p) (OP)'!T120</f>
        <v>Héctor</v>
      </c>
      <c r="J195" s="6" t="str">
        <f>'[1]V, inciso p) (OP)'!U120</f>
        <v>Gaytán</v>
      </c>
      <c r="K195" s="6" t="str">
        <f>'[1]V, inciso p) (OP)'!V120</f>
        <v>Galicia</v>
      </c>
      <c r="L195" s="8" t="str">
        <f>'[1]V, inciso p) (OP)'!W120</f>
        <v>Secoi Construcciones y Servicios, S.A. de C.V.</v>
      </c>
      <c r="M195" s="6" t="str">
        <f>'[1]V, inciso p) (OP)'!X120</f>
        <v>SCS1301173MA</v>
      </c>
      <c r="N195" s="9">
        <f t="shared" si="4"/>
        <v>53876349.590000004</v>
      </c>
      <c r="O195" s="10" t="s">
        <v>40</v>
      </c>
      <c r="P195" s="10" t="s">
        <v>797</v>
      </c>
      <c r="Q195" s="11">
        <f>N195/47361.07</f>
        <v>1137.5661400808724</v>
      </c>
      <c r="R195" s="10" t="s">
        <v>42</v>
      </c>
      <c r="S195" s="14">
        <v>1243756</v>
      </c>
      <c r="T195" s="8" t="s">
        <v>43</v>
      </c>
      <c r="U195" s="6" t="s">
        <v>565</v>
      </c>
      <c r="V195" s="7">
        <f>'[1]V, inciso p) (OP)'!AM120</f>
        <v>42705</v>
      </c>
      <c r="W195" s="7">
        <f>'[1]V, inciso p) (OP)'!AN120</f>
        <v>42735</v>
      </c>
      <c r="X195" s="6" t="s">
        <v>699</v>
      </c>
      <c r="Y195" s="6" t="s">
        <v>513</v>
      </c>
      <c r="Z195" s="6" t="s">
        <v>280</v>
      </c>
      <c r="AA195" s="6" t="s">
        <v>40</v>
      </c>
      <c r="AB195" s="6" t="s">
        <v>40</v>
      </c>
    </row>
    <row r="196" spans="1:28" ht="40.5">
      <c r="A196" s="6">
        <v>2016</v>
      </c>
      <c r="B196" s="6" t="s">
        <v>30</v>
      </c>
      <c r="C196" s="8" t="str">
        <f>'[1]V, inciso p) (OP)'!D121</f>
        <v>DOPI-EST-FC-IS-LP-195-2016</v>
      </c>
      <c r="D196" s="13">
        <f>'[1]V, inciso p) (OP)'!AD121</f>
        <v>42726</v>
      </c>
      <c r="E196" s="8" t="str">
        <f>'[1]V, inciso p) (OP)'!AL121</f>
        <v>Rehabilitación de Cruz Verde Federalismo, Municipio de Zapopan, Jalisco.</v>
      </c>
      <c r="F196" s="8" t="s">
        <v>669</v>
      </c>
      <c r="G196" s="9">
        <f>'[1]V, inciso p) (OP)'!AG121</f>
        <v>4495293.74</v>
      </c>
      <c r="H196" s="8" t="str">
        <f>'[1]V, inciso p) (OP)'!AS121</f>
        <v>Colonia Auditorio</v>
      </c>
      <c r="I196" s="6" t="str">
        <f>'[1]V, inciso p) (OP)'!T121</f>
        <v>Luis Armando</v>
      </c>
      <c r="J196" s="6" t="str">
        <f>'[1]V, inciso p) (OP)'!U121</f>
        <v>Linares</v>
      </c>
      <c r="K196" s="6" t="str">
        <f>'[1]V, inciso p) (OP)'!V121</f>
        <v>Cacho</v>
      </c>
      <c r="L196" s="8" t="str">
        <f>'[1]V, inciso p) (OP)'!W121</f>
        <v>Urbanizadora y Constructora Roal, S.A. de C.V.</v>
      </c>
      <c r="M196" s="6" t="str">
        <f>'[1]V, inciso p) (OP)'!X121</f>
        <v>URC160310857</v>
      </c>
      <c r="N196" s="9">
        <f t="shared" si="4"/>
        <v>4495293.74</v>
      </c>
      <c r="O196" s="10" t="s">
        <v>40</v>
      </c>
      <c r="P196" s="10" t="s">
        <v>798</v>
      </c>
      <c r="Q196" s="11">
        <f>N196/417.4</f>
        <v>10769.750215620508</v>
      </c>
      <c r="R196" s="10" t="s">
        <v>42</v>
      </c>
      <c r="S196" s="14">
        <v>242366</v>
      </c>
      <c r="T196" s="8" t="s">
        <v>43</v>
      </c>
      <c r="U196" s="6" t="s">
        <v>565</v>
      </c>
      <c r="V196" s="7">
        <f>'[1]V, inciso p) (OP)'!AM121</f>
        <v>42727</v>
      </c>
      <c r="W196" s="7">
        <f>'[1]V, inciso p) (OP)'!AN121</f>
        <v>42816</v>
      </c>
      <c r="X196" s="6" t="s">
        <v>733</v>
      </c>
      <c r="Y196" s="6" t="s">
        <v>734</v>
      </c>
      <c r="Z196" s="6" t="s">
        <v>735</v>
      </c>
      <c r="AA196" s="6" t="s">
        <v>40</v>
      </c>
      <c r="AB196" s="6" t="s">
        <v>40</v>
      </c>
    </row>
    <row r="197" spans="1:28" ht="40.5">
      <c r="A197" s="6">
        <v>2016</v>
      </c>
      <c r="B197" s="6" t="s">
        <v>30</v>
      </c>
      <c r="C197" s="8" t="str">
        <f>'[1]V, inciso p) (OP)'!D122</f>
        <v>DOPI-EST-CR-IM-LP-196-2016</v>
      </c>
      <c r="D197" s="13">
        <f>'[1]V, inciso p) (OP)'!AD122</f>
        <v>42726</v>
      </c>
      <c r="E197" s="8" t="str">
        <f>'[1]V, inciso p) (OP)'!AL122</f>
        <v>Construcción del Centro Cultural en Villa de Guadalupe.</v>
      </c>
      <c r="F197" s="8" t="s">
        <v>669</v>
      </c>
      <c r="G197" s="9">
        <f>'[1]V, inciso p) (OP)'!AG122</f>
        <v>14395555.26</v>
      </c>
      <c r="H197" s="8" t="str">
        <f>'[1]V, inciso p) (OP)'!AS122</f>
        <v>Colonia Villa de Guadalupe</v>
      </c>
      <c r="I197" s="6" t="str">
        <f>'[1]V, inciso p) (OP)'!T122</f>
        <v>José Antonio</v>
      </c>
      <c r="J197" s="6" t="str">
        <f>'[1]V, inciso p) (OP)'!U122</f>
        <v>Álvarez</v>
      </c>
      <c r="K197" s="6" t="str">
        <f>'[1]V, inciso p) (OP)'!V122</f>
        <v>García</v>
      </c>
      <c r="L197" s="8" t="str">
        <f>'[1]V, inciso p) (OP)'!W122</f>
        <v>Urcoma 1970, S.A. de C.V.</v>
      </c>
      <c r="M197" s="6" t="str">
        <f>'[1]V, inciso p) (OP)'!X122</f>
        <v>UMN160125869</v>
      </c>
      <c r="N197" s="9">
        <f t="shared" si="4"/>
        <v>14395555.26</v>
      </c>
      <c r="O197" s="10" t="s">
        <v>40</v>
      </c>
      <c r="P197" s="10" t="s">
        <v>799</v>
      </c>
      <c r="Q197" s="11">
        <f>N197/767.32</f>
        <v>18760.82372413074</v>
      </c>
      <c r="R197" s="10" t="s">
        <v>42</v>
      </c>
      <c r="S197" s="14">
        <v>84152</v>
      </c>
      <c r="T197" s="8" t="s">
        <v>43</v>
      </c>
      <c r="U197" s="6" t="s">
        <v>565</v>
      </c>
      <c r="V197" s="7">
        <f>'[1]V, inciso p) (OP)'!AM122</f>
        <v>42727</v>
      </c>
      <c r="W197" s="7">
        <f>'[1]V, inciso p) (OP)'!AN122</f>
        <v>42846</v>
      </c>
      <c r="X197" s="6" t="s">
        <v>733</v>
      </c>
      <c r="Y197" s="6" t="s">
        <v>734</v>
      </c>
      <c r="Z197" s="6" t="s">
        <v>735</v>
      </c>
      <c r="AA197" s="6" t="s">
        <v>40</v>
      </c>
      <c r="AB197" s="6" t="s">
        <v>40</v>
      </c>
    </row>
    <row r="198" spans="1:28" ht="40.5">
      <c r="A198" s="6">
        <v>2016</v>
      </c>
      <c r="B198" s="8" t="s">
        <v>800</v>
      </c>
      <c r="C198" s="8" t="str">
        <f>'[1]V, inciso p) (OP)'!D123</f>
        <v>DOPI‐MUN‐PP‐EP‐CI‐198‐2016</v>
      </c>
      <c r="D198" s="13">
        <f>'[1]V, inciso p) (OP)'!AD123</f>
        <v>42727</v>
      </c>
      <c r="E198" s="8" t="str">
        <f>'[1]V, inciso p) (OP)'!AL123</f>
        <v>Mejoramiento de la imagen urbana de la plaza pública de localidad de Tesistán municipio de Zapopan, Jalisco.</v>
      </c>
      <c r="F198" s="8" t="s">
        <v>67</v>
      </c>
      <c r="G198" s="9">
        <f>'[1]V, inciso p) (OP)'!AG123</f>
        <v>8110239.25</v>
      </c>
      <c r="H198" s="8" t="str">
        <f>'[1]V, inciso p) (OP)'!AS123</f>
        <v>Localidad de Tesistán</v>
      </c>
      <c r="I198" s="6" t="str">
        <f>'[1]V, inciso p) (OP)'!T123</f>
        <v>Amalia</v>
      </c>
      <c r="J198" s="6" t="str">
        <f>'[1]V, inciso p) (OP)'!U123</f>
        <v>Moreno</v>
      </c>
      <c r="K198" s="6" t="str">
        <f>'[1]V, inciso p) (OP)'!V123</f>
        <v>Maldonado</v>
      </c>
      <c r="L198" s="8" t="str">
        <f>'[1]V, inciso p) (OP)'!W123</f>
        <v>Grupo Constructor los Muros, S.A. de C.V.</v>
      </c>
      <c r="M198" s="6" t="str">
        <f>'[1]V, inciso p) (OP)'!X123</f>
        <v>GCM020226F28</v>
      </c>
      <c r="N198" s="9">
        <f t="shared" si="4"/>
        <v>8110239.25</v>
      </c>
      <c r="O198" s="10" t="s">
        <v>40</v>
      </c>
      <c r="P198" s="10" t="s">
        <v>801</v>
      </c>
      <c r="Q198" s="11">
        <f>N198/3642.95</f>
        <v>2226.2834378731523</v>
      </c>
      <c r="R198" s="10" t="s">
        <v>42</v>
      </c>
      <c r="S198" s="14">
        <v>39269</v>
      </c>
      <c r="T198" s="8" t="s">
        <v>43</v>
      </c>
      <c r="U198" s="6" t="s">
        <v>565</v>
      </c>
      <c r="V198" s="7">
        <f>'[1]V, inciso p) (OP)'!AM123</f>
        <v>42730</v>
      </c>
      <c r="W198" s="7">
        <f>'[1]V, inciso p) (OP)'!AN123</f>
        <v>42831</v>
      </c>
      <c r="X198" s="6" t="s">
        <v>544</v>
      </c>
      <c r="Y198" s="6" t="s">
        <v>545</v>
      </c>
      <c r="Z198" s="6" t="s">
        <v>212</v>
      </c>
      <c r="AA198" s="6" t="s">
        <v>40</v>
      </c>
      <c r="AB198" s="6" t="s">
        <v>40</v>
      </c>
    </row>
    <row r="199" spans="1:28" s="20" customFormat="1" ht="40.5">
      <c r="A199" s="10">
        <v>2016</v>
      </c>
      <c r="B199" s="10" t="s">
        <v>30</v>
      </c>
      <c r="C199" s="16" t="str">
        <f>'[1]V, inciso p) (OP)'!D124</f>
        <v>DOPI‐MUN‐PP‐IS‐LP‐199‐2016</v>
      </c>
      <c r="D199" s="13">
        <f>'[1]V, inciso p) (OP)'!AD124</f>
        <v>42754</v>
      </c>
      <c r="E199" s="16" t="str">
        <f>'[1]V, inciso p) (OP)'!AL124</f>
        <v>Construcción de la cruz verde Villa de Guadalupe, en la zona de las mesas, municipio de Zapopan, Jalisco.</v>
      </c>
      <c r="F199" s="16" t="s">
        <v>67</v>
      </c>
      <c r="G199" s="11">
        <f>'[1]V, inciso p) (OP)'!AG124</f>
        <v>28125202.050000001</v>
      </c>
      <c r="H199" s="16" t="str">
        <f>'[1]V, inciso p) (OP)'!AS124</f>
        <v>Zona de Las Mesas</v>
      </c>
      <c r="I199" s="10" t="str">
        <f>'[1]V, inciso p) (OP)'!T124</f>
        <v>Ernesto</v>
      </c>
      <c r="J199" s="10" t="str">
        <f>'[1]V, inciso p) (OP)'!U124</f>
        <v>Olivares</v>
      </c>
      <c r="K199" s="10" t="str">
        <f>'[1]V, inciso p) (OP)'!V124</f>
        <v>Álvarez</v>
      </c>
      <c r="L199" s="16" t="str">
        <f>'[1]V, inciso p) (OP)'!W124</f>
        <v>Servicios Metropolitanos de Jalisco, S.A. de C.V.</v>
      </c>
      <c r="M199" s="10" t="str">
        <f>'[1]V, inciso p) (OP)'!X124</f>
        <v>SMJ090317FS9</v>
      </c>
      <c r="N199" s="11">
        <f>G199</f>
        <v>28125202.050000001</v>
      </c>
      <c r="O199" s="10" t="s">
        <v>40</v>
      </c>
      <c r="P199" s="10" t="s">
        <v>802</v>
      </c>
      <c r="Q199" s="11">
        <f>N199/1200</f>
        <v>23437.668375000001</v>
      </c>
      <c r="R199" s="10" t="s">
        <v>42</v>
      </c>
      <c r="S199" s="14">
        <v>92780</v>
      </c>
      <c r="T199" s="16" t="s">
        <v>43</v>
      </c>
      <c r="U199" s="10" t="s">
        <v>565</v>
      </c>
      <c r="V199" s="13">
        <f>'[1]V, inciso p) (OP)'!AM124</f>
        <v>42755</v>
      </c>
      <c r="W199" s="13">
        <f>'[1]V, inciso p) (OP)'!AN124</f>
        <v>42874</v>
      </c>
      <c r="X199" s="10" t="s">
        <v>733</v>
      </c>
      <c r="Y199" s="10" t="s">
        <v>734</v>
      </c>
      <c r="Z199" s="10" t="s">
        <v>735</v>
      </c>
      <c r="AA199" s="10" t="s">
        <v>40</v>
      </c>
      <c r="AB199" s="10" t="s">
        <v>40</v>
      </c>
    </row>
    <row r="200" spans="1:28" s="20" customFormat="1" ht="40.5">
      <c r="A200" s="10">
        <v>2016</v>
      </c>
      <c r="B200" s="16" t="s">
        <v>800</v>
      </c>
      <c r="C200" s="16" t="str">
        <f>'[1]V, inciso p) (OP)'!D125</f>
        <v>DOPI-MUN-PP-ID-CI-200-2016</v>
      </c>
      <c r="D200" s="13">
        <f>'[1]V, inciso p) (OP)'!AD125</f>
        <v>42727</v>
      </c>
      <c r="E200" s="16" t="str">
        <f>'[1]V, inciso p) (OP)'!AL125</f>
        <v>Rehabilitación de las instalaciones y equipamiento deportivo de la Unidad Deportiva Lomas de Tabachines, municipio de Zapopan, Jalisco.</v>
      </c>
      <c r="F200" s="16" t="s">
        <v>67</v>
      </c>
      <c r="G200" s="11">
        <f>'[1]V, inciso p) (OP)'!AG125</f>
        <v>6502584.6699999999</v>
      </c>
      <c r="H200" s="16" t="str">
        <f>'[1]V, inciso p) (OP)'!AS125</f>
        <v>Colonia Lomas de Tabachines</v>
      </c>
      <c r="I200" s="10" t="str">
        <f>'[1]V, inciso p) (OP)'!T125</f>
        <v>Carlos Alberto</v>
      </c>
      <c r="J200" s="10" t="str">
        <f>'[1]V, inciso p) (OP)'!U125</f>
        <v>Villaseñor</v>
      </c>
      <c r="K200" s="10" t="str">
        <f>'[1]V, inciso p) (OP)'!V125</f>
        <v>Núñez</v>
      </c>
      <c r="L200" s="16" t="str">
        <f>'[1]V, inciso p) (OP)'!W125</f>
        <v>MTQ de México, S.A. de C.V.</v>
      </c>
      <c r="M200" s="10" t="str">
        <f>'[1]V, inciso p) (OP)'!X125</f>
        <v>MME011214IV5</v>
      </c>
      <c r="N200" s="11">
        <f t="shared" si="4"/>
        <v>6502584.6699999999</v>
      </c>
      <c r="O200" s="10" t="s">
        <v>40</v>
      </c>
      <c r="P200" s="10" t="s">
        <v>803</v>
      </c>
      <c r="Q200" s="11">
        <f>N200/9522.21</f>
        <v>682.88608106731533</v>
      </c>
      <c r="R200" s="10" t="s">
        <v>42</v>
      </c>
      <c r="S200" s="14">
        <v>26544</v>
      </c>
      <c r="T200" s="16" t="s">
        <v>43</v>
      </c>
      <c r="U200" s="10" t="s">
        <v>565</v>
      </c>
      <c r="V200" s="13">
        <f>'[1]V, inciso p) (OP)'!AM125</f>
        <v>42730</v>
      </c>
      <c r="W200" s="13">
        <f>'[1]V, inciso p) (OP)'!AN125</f>
        <v>42820</v>
      </c>
      <c r="X200" s="10" t="s">
        <v>681</v>
      </c>
      <c r="Y200" s="10" t="s">
        <v>682</v>
      </c>
      <c r="Z200" s="10" t="s">
        <v>683</v>
      </c>
      <c r="AA200" s="10" t="s">
        <v>40</v>
      </c>
      <c r="AB200" s="10" t="s">
        <v>40</v>
      </c>
    </row>
    <row r="201" spans="1:28" s="20" customFormat="1" ht="40.5">
      <c r="A201" s="10">
        <v>2016</v>
      </c>
      <c r="B201" s="16" t="s">
        <v>800</v>
      </c>
      <c r="C201" s="16" t="str">
        <f>'[1]V, inciso p) (OP)'!D126</f>
        <v>DOPI-MUN-RM-ID-CI-201-2016</v>
      </c>
      <c r="D201" s="13">
        <f>'[1]V, inciso p) (OP)'!AD126</f>
        <v>42727</v>
      </c>
      <c r="E201" s="16" t="str">
        <f>'[1]V, inciso p) (OP)'!AL126</f>
        <v>Rehabilitación de las instalaciones y equipamiento deportivo de la Unidad Deportiva Santa María del Pueblito, municipio de Zapopan, Jalisco.</v>
      </c>
      <c r="F201" s="16" t="s">
        <v>67</v>
      </c>
      <c r="G201" s="11">
        <f>'[1]V, inciso p) (OP)'!AG126</f>
        <v>7474586.25</v>
      </c>
      <c r="H201" s="16" t="str">
        <f>'[1]V, inciso p) (OP)'!AS126</f>
        <v>Colonia Santa Maria del Pueblito</v>
      </c>
      <c r="I201" s="10" t="str">
        <f>'[1]V, inciso p) (OP)'!T126</f>
        <v>Juan José</v>
      </c>
      <c r="J201" s="10" t="str">
        <f>'[1]V, inciso p) (OP)'!U126</f>
        <v>Gutiérrez</v>
      </c>
      <c r="K201" s="10" t="str">
        <f>'[1]V, inciso p) (OP)'!V126</f>
        <v>Contreras</v>
      </c>
      <c r="L201" s="16" t="str">
        <f>'[1]V, inciso p) (OP)'!W126</f>
        <v>Rencoist Construcciones, S.A. de C.V.</v>
      </c>
      <c r="M201" s="10" t="str">
        <f>'[1]V, inciso p) (OP)'!X126</f>
        <v>RCO130920JX9</v>
      </c>
      <c r="N201" s="11">
        <f t="shared" si="4"/>
        <v>7474586.25</v>
      </c>
      <c r="O201" s="10" t="s">
        <v>40</v>
      </c>
      <c r="P201" s="10" t="s">
        <v>804</v>
      </c>
      <c r="Q201" s="11">
        <f>N201/5960</f>
        <v>1254.1252097315437</v>
      </c>
      <c r="R201" s="10" t="s">
        <v>42</v>
      </c>
      <c r="S201" s="14">
        <v>19865</v>
      </c>
      <c r="T201" s="16" t="s">
        <v>43</v>
      </c>
      <c r="U201" s="10" t="s">
        <v>565</v>
      </c>
      <c r="V201" s="13">
        <f>'[1]V, inciso p) (OP)'!AM126</f>
        <v>42730</v>
      </c>
      <c r="W201" s="13">
        <f>'[1]V, inciso p) (OP)'!AN126</f>
        <v>42850</v>
      </c>
      <c r="X201" s="10" t="s">
        <v>701</v>
      </c>
      <c r="Y201" s="10" t="s">
        <v>524</v>
      </c>
      <c r="Z201" s="10" t="s">
        <v>254</v>
      </c>
      <c r="AA201" s="10" t="s">
        <v>40</v>
      </c>
      <c r="AB201" s="10" t="s">
        <v>40</v>
      </c>
    </row>
    <row r="202" spans="1:28" s="20" customFormat="1" ht="40.5">
      <c r="A202" s="10">
        <v>2016</v>
      </c>
      <c r="B202" s="10" t="s">
        <v>30</v>
      </c>
      <c r="C202" s="16" t="str">
        <f>'[1]V, inciso p) (OP)'!D127</f>
        <v>DOPI-EST-CM-PAV-LP-202-2016</v>
      </c>
      <c r="D202" s="13">
        <f>'[1]V, inciso p) (OP)'!AD127</f>
        <v>42754</v>
      </c>
      <c r="E202" s="16" t="str">
        <f>'[1]V, inciso p) (OP)'!AL127</f>
        <v>Renovación urbana en área habitacional y de zona comercial del Andador 20 de Noviembre en el Centro de Zapopan, Jalisco.</v>
      </c>
      <c r="F202" s="16" t="s">
        <v>805</v>
      </c>
      <c r="G202" s="11">
        <f>'[1]V, inciso p) (OP)'!AG127</f>
        <v>16710004.48</v>
      </c>
      <c r="H202" s="16" t="str">
        <f>'[1]V, inciso p) (OP)'!AS127</f>
        <v>Zapopan Centro</v>
      </c>
      <c r="I202" s="10" t="str">
        <f>'[1]V, inciso p) (OP)'!T127</f>
        <v>Ignacio Javier</v>
      </c>
      <c r="J202" s="10" t="str">
        <f>'[1]V, inciso p) (OP)'!U127</f>
        <v>Curiel</v>
      </c>
      <c r="K202" s="10" t="str">
        <f>'[1]V, inciso p) (OP)'!V127</f>
        <v>Dueñas</v>
      </c>
      <c r="L202" s="16" t="str">
        <f>'[1]V, inciso p) (OP)'!W127</f>
        <v>TC Construcción y Mantenimiento, S.A. de C.V.</v>
      </c>
      <c r="M202" s="10" t="str">
        <f>'[1]V, inciso p) (OP)'!X127</f>
        <v>TCM100915HA1</v>
      </c>
      <c r="N202" s="11">
        <f>G202</f>
        <v>16710004.48</v>
      </c>
      <c r="O202" s="10" t="s">
        <v>40</v>
      </c>
      <c r="P202" s="10" t="s">
        <v>806</v>
      </c>
      <c r="Q202" s="11">
        <f>N202/8833</f>
        <v>1891.7700079248275</v>
      </c>
      <c r="R202" s="10" t="s">
        <v>42</v>
      </c>
      <c r="S202" s="14">
        <v>643192</v>
      </c>
      <c r="T202" s="16" t="s">
        <v>43</v>
      </c>
      <c r="U202" s="10" t="s">
        <v>565</v>
      </c>
      <c r="V202" s="13">
        <f>'[1]V, inciso p) (OP)'!AM127</f>
        <v>42755</v>
      </c>
      <c r="W202" s="13">
        <f>'[1]V, inciso p) (OP)'!AN127</f>
        <v>42834</v>
      </c>
      <c r="X202" s="10" t="s">
        <v>686</v>
      </c>
      <c r="Y202" s="10" t="s">
        <v>807</v>
      </c>
      <c r="Z202" s="10" t="s">
        <v>808</v>
      </c>
      <c r="AA202" s="10" t="s">
        <v>40</v>
      </c>
      <c r="AB202" s="10" t="s">
        <v>40</v>
      </c>
    </row>
    <row r="203" spans="1:28" s="20" customFormat="1" ht="54">
      <c r="A203" s="10">
        <v>2016</v>
      </c>
      <c r="B203" s="10" t="s">
        <v>30</v>
      </c>
      <c r="C203" s="16" t="str">
        <f>'[1]V, inciso p) (OP)'!D128</f>
        <v>DOPI-EST-CM-PAV-LP-203-2016</v>
      </c>
      <c r="D203" s="13">
        <f>'[1]V, inciso p) (OP)'!AD128</f>
        <v>42754</v>
      </c>
      <c r="E203" s="16" t="str">
        <f>'[1]V, inciso p) (OP)'!AL128</f>
        <v>Renovación urbana de área habitacional y de zona comercial de laterales de Av. Aviación, del tramo de Juan Gil Preciado a Camino Antiguo a Tesistán, en Zapopan, Jalisco.</v>
      </c>
      <c r="F203" s="16" t="s">
        <v>805</v>
      </c>
      <c r="G203" s="11">
        <f>'[1]V, inciso p) (OP)'!AG128</f>
        <v>12580210.390000001</v>
      </c>
      <c r="H203" s="16" t="str">
        <f>'[1]V, inciso p) (OP)'!AS128</f>
        <v>Col. Nuevo México</v>
      </c>
      <c r="I203" s="10" t="str">
        <f>'[1]V, inciso p) (OP)'!T128</f>
        <v>Felipe Daniel</v>
      </c>
      <c r="J203" s="10" t="str">
        <f>'[1]V, inciso p) (OP)'!U128</f>
        <v>Nuñez</v>
      </c>
      <c r="K203" s="10" t="str">
        <f>'[1]V, inciso p) (OP)'!V128</f>
        <v>Hernández</v>
      </c>
      <c r="L203" s="16" t="str">
        <f>'[1]V, inciso p) (OP)'!W128</f>
        <v>Grupo Constructor Felca, S.A. de C.V.</v>
      </c>
      <c r="M203" s="10" t="str">
        <f>'[1]V, inciso p) (OP)'!X128</f>
        <v>GCF8504255B8</v>
      </c>
      <c r="N203" s="11">
        <f>G203</f>
        <v>12580210.390000001</v>
      </c>
      <c r="O203" s="10" t="s">
        <v>40</v>
      </c>
      <c r="P203" s="10" t="s">
        <v>809</v>
      </c>
      <c r="Q203" s="11">
        <f>N203/8401</f>
        <v>1497.4658243066303</v>
      </c>
      <c r="R203" s="10" t="s">
        <v>42</v>
      </c>
      <c r="S203" s="14">
        <v>174914</v>
      </c>
      <c r="T203" s="16" t="s">
        <v>43</v>
      </c>
      <c r="U203" s="10" t="s">
        <v>565</v>
      </c>
      <c r="V203" s="13">
        <f>'[1]V, inciso p) (OP)'!AM128</f>
        <v>42755</v>
      </c>
      <c r="W203" s="13">
        <f>'[1]V, inciso p) (OP)'!AN128</f>
        <v>42834</v>
      </c>
      <c r="X203" s="10" t="s">
        <v>605</v>
      </c>
      <c r="Y203" s="10" t="s">
        <v>442</v>
      </c>
      <c r="Z203" s="10" t="s">
        <v>101</v>
      </c>
      <c r="AA203" s="10" t="s">
        <v>40</v>
      </c>
      <c r="AB203" s="10" t="s">
        <v>40</v>
      </c>
    </row>
    <row r="204" spans="1:28" s="20" customFormat="1" ht="54">
      <c r="A204" s="10">
        <v>2016</v>
      </c>
      <c r="B204" s="10" t="s">
        <v>30</v>
      </c>
      <c r="C204" s="16" t="str">
        <f>'[1]V, inciso p) (OP)'!D129</f>
        <v>DOPI-EST-CM-PAV-LP-204-2016</v>
      </c>
      <c r="D204" s="13">
        <f>'[1]V, inciso p) (OP)'!AD129</f>
        <v>42754</v>
      </c>
      <c r="E204" s="16" t="str">
        <f>'[1]V, inciso p) (OP)'!AL129</f>
        <v>Renovación urbana de área habitacional y de zona comercial de Av. Aviación, del tramo del Ingreso de Base Aérea No. 2 a Camino Antiguo a Tesistán, en Zapopan, Jalisco.</v>
      </c>
      <c r="F204" s="16" t="s">
        <v>805</v>
      </c>
      <c r="G204" s="11">
        <f>'[1]V, inciso p) (OP)'!AG129</f>
        <v>44287096.670000002</v>
      </c>
      <c r="H204" s="16" t="str">
        <f>'[1]V, inciso p) (OP)'!AS129</f>
        <v>Col. Nuevo México</v>
      </c>
      <c r="I204" s="10" t="str">
        <f>'[1]V, inciso p) (OP)'!T129</f>
        <v>Andrés Eduardo</v>
      </c>
      <c r="J204" s="10" t="str">
        <f>'[1]V, inciso p) (OP)'!U129</f>
        <v>Aceves</v>
      </c>
      <c r="K204" s="10" t="str">
        <f>'[1]V, inciso p) (OP)'!V129</f>
        <v>Castañeda</v>
      </c>
      <c r="L204" s="16" t="str">
        <f>'[1]V, inciso p) (OP)'!W129</f>
        <v>Secri Constructora, S.A. de C.V.</v>
      </c>
      <c r="M204" s="10" t="str">
        <f>'[1]V, inciso p) (OP)'!X129</f>
        <v>SCO100609EVA</v>
      </c>
      <c r="N204" s="11">
        <f>G204</f>
        <v>44287096.670000002</v>
      </c>
      <c r="O204" s="10" t="s">
        <v>40</v>
      </c>
      <c r="P204" s="10" t="s">
        <v>810</v>
      </c>
      <c r="Q204" s="11">
        <f>N204/30276</f>
        <v>1462.7789889681596</v>
      </c>
      <c r="R204" s="10" t="s">
        <v>42</v>
      </c>
      <c r="S204" s="14">
        <v>174914</v>
      </c>
      <c r="T204" s="16" t="s">
        <v>43</v>
      </c>
      <c r="U204" s="10" t="s">
        <v>565</v>
      </c>
      <c r="V204" s="13">
        <f>'[1]V, inciso p) (OP)'!AM129</f>
        <v>42755</v>
      </c>
      <c r="W204" s="13">
        <f>'[1]V, inciso p) (OP)'!AN129</f>
        <v>42834</v>
      </c>
      <c r="X204" s="10" t="s">
        <v>605</v>
      </c>
      <c r="Y204" s="10" t="s">
        <v>442</v>
      </c>
      <c r="Z204" s="10" t="s">
        <v>101</v>
      </c>
      <c r="AA204" s="10" t="s">
        <v>40</v>
      </c>
      <c r="AB204" s="10" t="s">
        <v>40</v>
      </c>
    </row>
    <row r="205" spans="1:28" s="20" customFormat="1" ht="94.5">
      <c r="A205" s="10">
        <v>2016</v>
      </c>
      <c r="B205" s="10" t="s">
        <v>30</v>
      </c>
      <c r="C205" s="16" t="str">
        <f>'[1]V, inciso p) (OP)'!D130</f>
        <v>DOPI-EST-CM-PAV-LP-205-2016</v>
      </c>
      <c r="D205" s="13">
        <f>'[1]V, inciso p) (OP)'!AD130</f>
        <v>42754</v>
      </c>
      <c r="E205" s="16" t="str">
        <f>'[1]V, inciso p) (OP)'!AL130</f>
        <v>Renovación urbana de área habitacional de lateral Poniente de Periférico, de Prolongación Av. Central Guillermo González Camarena a Calle 5 de Mayo (incluye puente peatonal sobre Periférico), para la interconexión comercial a Calle 5 de Mayo, Andares, Av. Aviación, Zona Real y Av. Vallarta, en Zapopan, Jalisco.</v>
      </c>
      <c r="F205" s="16" t="s">
        <v>805</v>
      </c>
      <c r="G205" s="11">
        <f>'[1]V, inciso p) (OP)'!AG130</f>
        <v>18744083.59</v>
      </c>
      <c r="H205" s="16" t="str">
        <f>'[1]V, inciso p) (OP)'!AS130</f>
        <v>Col. San Juan de Ocotán</v>
      </c>
      <c r="I205" s="10" t="str">
        <f>'[1]V, inciso p) (OP)'!T130</f>
        <v>Mario</v>
      </c>
      <c r="J205" s="10" t="str">
        <f>'[1]V, inciso p) (OP)'!U130</f>
        <v>Beltrán</v>
      </c>
      <c r="K205" s="10" t="str">
        <f>'[1]V, inciso p) (OP)'!V130</f>
        <v>Rodríguez</v>
      </c>
      <c r="L205" s="16" t="str">
        <f>'[1]V, inciso p) (OP)'!W130</f>
        <v xml:space="preserve">Constructora y Desarrolladora Barba y Asociados, S. A. de C. V. </v>
      </c>
      <c r="M205" s="10" t="str">
        <f>'[1]V, inciso p) (OP)'!X130</f>
        <v>CDB0506068Z4</v>
      </c>
      <c r="N205" s="11">
        <f>G205</f>
        <v>18744083.59</v>
      </c>
      <c r="O205" s="10" t="s">
        <v>40</v>
      </c>
      <c r="P205" s="10" t="s">
        <v>811</v>
      </c>
      <c r="Q205" s="11">
        <f>N205/14220</f>
        <v>1318.1493382559775</v>
      </c>
      <c r="R205" s="10" t="s">
        <v>42</v>
      </c>
      <c r="S205" s="14">
        <v>145782</v>
      </c>
      <c r="T205" s="16" t="s">
        <v>43</v>
      </c>
      <c r="U205" s="10" t="s">
        <v>565</v>
      </c>
      <c r="V205" s="13">
        <f>'[1]V, inciso p) (OP)'!AM130</f>
        <v>42755</v>
      </c>
      <c r="W205" s="13">
        <f>'[1]V, inciso p) (OP)'!AN130</f>
        <v>42834</v>
      </c>
      <c r="X205" s="10" t="s">
        <v>530</v>
      </c>
      <c r="Y205" s="10" t="s">
        <v>343</v>
      </c>
      <c r="Z205" s="10" t="s">
        <v>344</v>
      </c>
      <c r="AA205" s="10" t="s">
        <v>40</v>
      </c>
      <c r="AB205" s="10" t="s">
        <v>40</v>
      </c>
    </row>
    <row r="206" spans="1:28" ht="40.5">
      <c r="A206" s="6">
        <v>2016</v>
      </c>
      <c r="B206" s="8" t="s">
        <v>800</v>
      </c>
      <c r="C206" s="8" t="str">
        <f>'[1]V, inciso p) (OP)'!D131</f>
        <v>DOPI-MUN-RM-ID-CI-206-2016</v>
      </c>
      <c r="D206" s="13">
        <f>'[1]V, inciso p) (OP)'!AD131</f>
        <v>42727</v>
      </c>
      <c r="E206" s="8" t="str">
        <f>'[1]V, inciso p) (OP)'!AL131</f>
        <v>Rehabilitación de las instalaciones y equipamiento deportivo de la Unidad Deportiva Miguel de la Madrid, municipio de Zapopan, Jalisco.</v>
      </c>
      <c r="F206" s="8" t="s">
        <v>67</v>
      </c>
      <c r="G206" s="9">
        <f>'[1]V, inciso p) (OP)'!AG131</f>
        <v>7998190.21</v>
      </c>
      <c r="H206" s="8" t="str">
        <f>'[1]V, inciso p) (OP)'!AS131</f>
        <v>Colonia Miguel de la Madrid</v>
      </c>
      <c r="I206" s="6" t="str">
        <f>'[1]V, inciso p) (OP)'!T131</f>
        <v>Apolinar</v>
      </c>
      <c r="J206" s="6" t="str">
        <f>'[1]V, inciso p) (OP)'!U131</f>
        <v>Gómez</v>
      </c>
      <c r="K206" s="6" t="str">
        <f>'[1]V, inciso p) (OP)'!V131</f>
        <v>Alonso</v>
      </c>
      <c r="L206" s="8" t="str">
        <f>'[1]V, inciso p) (OP)'!W131</f>
        <v>Edificaciones y Transformaciones Técnicas, S.A. de C.V.</v>
      </c>
      <c r="M206" s="6" t="str">
        <f>'[1]V, inciso p) (OP)'!X131</f>
        <v>ETT9302049B2</v>
      </c>
      <c r="N206" s="9">
        <f t="shared" si="4"/>
        <v>7998190.21</v>
      </c>
      <c r="O206" s="10" t="s">
        <v>40</v>
      </c>
      <c r="P206" s="10" t="s">
        <v>812</v>
      </c>
      <c r="Q206" s="11">
        <f>N206/10786</f>
        <v>741.53441590951229</v>
      </c>
      <c r="R206" s="10" t="s">
        <v>42</v>
      </c>
      <c r="S206" s="14">
        <v>21536</v>
      </c>
      <c r="T206" s="8" t="s">
        <v>43</v>
      </c>
      <c r="U206" s="6" t="s">
        <v>565</v>
      </c>
      <c r="V206" s="7">
        <f>'[1]V, inciso p) (OP)'!AM131</f>
        <v>42730</v>
      </c>
      <c r="W206" s="7">
        <f>'[1]V, inciso p) (OP)'!AN131</f>
        <v>42850</v>
      </c>
      <c r="X206" s="6" t="s">
        <v>775</v>
      </c>
      <c r="Y206" s="6" t="s">
        <v>776</v>
      </c>
      <c r="Z206" s="6" t="s">
        <v>117</v>
      </c>
      <c r="AA206" s="6" t="s">
        <v>40</v>
      </c>
      <c r="AB206" s="6" t="s">
        <v>40</v>
      </c>
    </row>
    <row r="207" spans="1:28" ht="40.5">
      <c r="A207" s="6">
        <v>2016</v>
      </c>
      <c r="B207" s="8" t="s">
        <v>800</v>
      </c>
      <c r="C207" s="8" t="str">
        <f>'[1]V, inciso p) (OP)'!D132</f>
        <v>DOPI-MUN-RM-ID-CI-207-2016</v>
      </c>
      <c r="D207" s="13">
        <f>'[1]V, inciso p) (OP)'!AD132</f>
        <v>42727</v>
      </c>
      <c r="E207" s="8" t="str">
        <f>'[1]V, inciso p) (OP)'!AL132</f>
        <v>Rehabilitación de las instalaciones y equipamiento deportivo de la Unidad Deportiva Villas de Guadalupe, municipio de Zapopan, Jalisco.</v>
      </c>
      <c r="F207" s="8" t="s">
        <v>67</v>
      </c>
      <c r="G207" s="9">
        <f>'[1]V, inciso p) (OP)'!AG132</f>
        <v>7900442.7599999998</v>
      </c>
      <c r="H207" s="8" t="str">
        <f>'[1]V, inciso p) (OP)'!AS132</f>
        <v>Colonia Villa de Guadalupe</v>
      </c>
      <c r="I207" s="6" t="str">
        <f>'[1]V, inciso p) (OP)'!T132</f>
        <v xml:space="preserve">Leobardo </v>
      </c>
      <c r="J207" s="6" t="str">
        <f>'[1]V, inciso p) (OP)'!U132</f>
        <v>Preciado</v>
      </c>
      <c r="K207" s="6" t="str">
        <f>'[1]V, inciso p) (OP)'!V132</f>
        <v>Zepeda</v>
      </c>
      <c r="L207" s="8" t="str">
        <f>'[1]V, inciso p) (OP)'!W132</f>
        <v>Consorcio Constructor Adobes, S. A. de C. V.</v>
      </c>
      <c r="M207" s="6" t="str">
        <f>'[1]V, inciso p) (OP)'!X132</f>
        <v>CCA971126QC9</v>
      </c>
      <c r="N207" s="9">
        <f t="shared" si="4"/>
        <v>7900442.7599999998</v>
      </c>
      <c r="O207" s="10" t="s">
        <v>40</v>
      </c>
      <c r="P207" s="10" t="s">
        <v>813</v>
      </c>
      <c r="Q207" s="11">
        <f>N207/4585</f>
        <v>1723.1063816793892</v>
      </c>
      <c r="R207" s="10" t="s">
        <v>42</v>
      </c>
      <c r="S207" s="14">
        <v>12558</v>
      </c>
      <c r="T207" s="8" t="s">
        <v>43</v>
      </c>
      <c r="U207" s="6" t="s">
        <v>565</v>
      </c>
      <c r="V207" s="7">
        <f>'[1]V, inciso p) (OP)'!AM132</f>
        <v>42730</v>
      </c>
      <c r="W207" s="7">
        <f>'[1]V, inciso p) (OP)'!AN132</f>
        <v>42850</v>
      </c>
      <c r="X207" s="6" t="s">
        <v>671</v>
      </c>
      <c r="Y207" s="6" t="s">
        <v>334</v>
      </c>
      <c r="Z207" s="6" t="s">
        <v>133</v>
      </c>
      <c r="AA207" s="6" t="s">
        <v>40</v>
      </c>
      <c r="AB207" s="6" t="s">
        <v>40</v>
      </c>
    </row>
    <row r="208" spans="1:28" ht="40.5">
      <c r="A208" s="6">
        <v>2016</v>
      </c>
      <c r="B208" s="8" t="s">
        <v>800</v>
      </c>
      <c r="C208" s="8" t="str">
        <f>'[1]V, inciso p) (OP)'!D133</f>
        <v>DOPI-MUN-RM-ID-CI-208-2016</v>
      </c>
      <c r="D208" s="13">
        <f>'[1]V, inciso p) (OP)'!AD133</f>
        <v>42727</v>
      </c>
      <c r="E208" s="8" t="str">
        <f>'[1]V, inciso p) (OP)'!AL133</f>
        <v>Rehabilitación de las instalaciones y equipamiento deportivo de la Unidad Deportiva Santa Margarita, municipio de Zapopan, Jalisco.</v>
      </c>
      <c r="F208" s="8" t="s">
        <v>67</v>
      </c>
      <c r="G208" s="9">
        <f>'[1]V, inciso p) (OP)'!AG133</f>
        <v>7996437.3600000003</v>
      </c>
      <c r="H208" s="8" t="str">
        <f>'[1]V, inciso p) (OP)'!AS133</f>
        <v>Colonia Santa Margarita</v>
      </c>
      <c r="I208" s="6" t="str">
        <f>'[1]V, inciso p) (OP)'!T133</f>
        <v>David</v>
      </c>
      <c r="J208" s="6" t="str">
        <f>'[1]V, inciso p) (OP)'!U133</f>
        <v>Hernández</v>
      </c>
      <c r="K208" s="6" t="str">
        <f>'[1]V, inciso p) (OP)'!V133</f>
        <v>Flores</v>
      </c>
      <c r="L208" s="8" t="str">
        <f>'[1]V, inciso p) (OP)'!W133</f>
        <v>Constructora San Sebastián, S.A. de C.V.</v>
      </c>
      <c r="M208" s="6" t="str">
        <f>'[1]V, inciso p) (OP)'!X133</f>
        <v>CSS8303089S9</v>
      </c>
      <c r="N208" s="9">
        <f t="shared" si="4"/>
        <v>7996437.3600000003</v>
      </c>
      <c r="O208" s="10" t="s">
        <v>40</v>
      </c>
      <c r="P208" s="10" t="s">
        <v>814</v>
      </c>
      <c r="Q208" s="11">
        <f>N208/12433</f>
        <v>643.16233893670073</v>
      </c>
      <c r="R208" s="10" t="s">
        <v>42</v>
      </c>
      <c r="S208" s="14">
        <v>38995</v>
      </c>
      <c r="T208" s="8" t="s">
        <v>43</v>
      </c>
      <c r="U208" s="6" t="s">
        <v>565</v>
      </c>
      <c r="V208" s="7">
        <f>'[1]V, inciso p) (OP)'!AM133</f>
        <v>42730</v>
      </c>
      <c r="W208" s="7">
        <f>'[1]V, inciso p) (OP)'!AN133</f>
        <v>42850</v>
      </c>
      <c r="X208" s="6" t="s">
        <v>671</v>
      </c>
      <c r="Y208" s="6" t="s">
        <v>334</v>
      </c>
      <c r="Z208" s="6" t="s">
        <v>133</v>
      </c>
      <c r="AA208" s="6" t="s">
        <v>40</v>
      </c>
      <c r="AB208" s="6" t="s">
        <v>40</v>
      </c>
    </row>
    <row r="209" spans="1:28" ht="54">
      <c r="A209" s="6">
        <v>2016</v>
      </c>
      <c r="B209" s="8" t="s">
        <v>800</v>
      </c>
      <c r="C209" s="8" t="str">
        <f>'[1]V, inciso p) (OP)'!D134</f>
        <v>DOPI-MUN-RM-PAV-CI-209-2016</v>
      </c>
      <c r="D209" s="13">
        <f>'[1]V, inciso p) (OP)'!AD134</f>
        <v>42727</v>
      </c>
      <c r="E209" s="8" t="str">
        <f>'[1]V, inciso p) (OP)'!AL134</f>
        <v>Construcción de pavimento de concreto hidráulico MR-45 y jardinería, en la Glorieta Venustiano Carranza en la colonia Constitución, municipio de Zapopan, Jalisco</v>
      </c>
      <c r="F209" s="8" t="s">
        <v>184</v>
      </c>
      <c r="G209" s="9">
        <f>'[1]V, inciso p) (OP)'!AG134</f>
        <v>5570941.0800000001</v>
      </c>
      <c r="H209" s="8" t="str">
        <f>'[1]V, inciso p) (OP)'!AS134</f>
        <v>Colonia Constitución</v>
      </c>
      <c r="I209" s="6" t="str">
        <f>'[1]V, inciso p) (OP)'!T134</f>
        <v>Jorge Alfredo</v>
      </c>
      <c r="J209" s="6" t="str">
        <f>'[1]V, inciso p) (OP)'!U134</f>
        <v>Ochoa</v>
      </c>
      <c r="K209" s="6" t="str">
        <f>'[1]V, inciso p) (OP)'!V134</f>
        <v>González</v>
      </c>
      <c r="L209" s="8" t="str">
        <f>'[1]V, inciso p) (OP)'!W134</f>
        <v>Aedificant, S.A. de C.V.</v>
      </c>
      <c r="M209" s="6" t="str">
        <f>'[1]V, inciso p) (OP)'!X134</f>
        <v>AED890925181</v>
      </c>
      <c r="N209" s="9">
        <f t="shared" si="4"/>
        <v>5570941.0800000001</v>
      </c>
      <c r="O209" s="10" t="s">
        <v>40</v>
      </c>
      <c r="P209" s="10" t="s">
        <v>815</v>
      </c>
      <c r="Q209" s="11">
        <f>N209/3911.58</f>
        <v>1424.2176000490851</v>
      </c>
      <c r="R209" s="10" t="s">
        <v>42</v>
      </c>
      <c r="S209" s="14">
        <v>98745</v>
      </c>
      <c r="T209" s="8" t="s">
        <v>43</v>
      </c>
      <c r="U209" s="6" t="s">
        <v>565</v>
      </c>
      <c r="V209" s="7">
        <f>'[1]V, inciso p) (OP)'!AM134</f>
        <v>42730</v>
      </c>
      <c r="W209" s="7">
        <f>'[1]V, inciso p) (OP)'!AN134</f>
        <v>42762</v>
      </c>
      <c r="X209" s="6" t="s">
        <v>650</v>
      </c>
      <c r="Y209" s="6" t="s">
        <v>651</v>
      </c>
      <c r="Z209" s="6" t="s">
        <v>652</v>
      </c>
      <c r="AA209" s="6" t="s">
        <v>40</v>
      </c>
      <c r="AB209" s="6" t="s">
        <v>40</v>
      </c>
    </row>
    <row r="210" spans="1:28" ht="94.5">
      <c r="A210" s="6">
        <v>2016</v>
      </c>
      <c r="B210" s="8" t="s">
        <v>800</v>
      </c>
      <c r="C210" s="8" t="str">
        <f>'[1]V, inciso p) (OP)'!D135</f>
        <v>DOPI-MUN-RM-PAV-CI-210-2016</v>
      </c>
      <c r="D210" s="13">
        <f>'[1]V, inciso p) (OP)'!AD135</f>
        <v>42727</v>
      </c>
      <c r="E210" s="8" t="str">
        <f>'[1]V, inciso p) (OP)'!AL135</f>
        <v>Construcción de pavimento de concreto hidráulico, red de agua potable, alcantarillado sanitario, alumbrado público, banquetas, señalamiento vertical y horizontal, de la Prol. Laureles de Av. Del Rodeo a Periférico Norte Manuel Gómez Morín, municipio de Zapopan, Jalisco.</v>
      </c>
      <c r="F210" s="8" t="s">
        <v>184</v>
      </c>
      <c r="G210" s="9">
        <f>'[1]V, inciso p) (OP)'!AG135</f>
        <v>7995338.8700000001</v>
      </c>
      <c r="H210" s="8" t="str">
        <f>'[1]V, inciso p) (OP)'!AS135</f>
        <v>Colonia Belenes Norte</v>
      </c>
      <c r="I210" s="6" t="str">
        <f>'[1]V, inciso p) (OP)'!T135</f>
        <v>Elvia Alejandra</v>
      </c>
      <c r="J210" s="6" t="str">
        <f>'[1]V, inciso p) (OP)'!U135</f>
        <v>Torres</v>
      </c>
      <c r="K210" s="6" t="str">
        <f>'[1]V, inciso p) (OP)'!V135</f>
        <v>Villa</v>
      </c>
      <c r="L210" s="8" t="str">
        <f>'[1]V, inciso p) (OP)'!W135</f>
        <v>Procourza, S.A. de C.V.</v>
      </c>
      <c r="M210" s="6" t="str">
        <f>'[1]V, inciso p) (OP)'!X135</f>
        <v>PRO0205208F2</v>
      </c>
      <c r="N210" s="9">
        <f t="shared" si="4"/>
        <v>7995338.8700000001</v>
      </c>
      <c r="O210" s="10" t="s">
        <v>40</v>
      </c>
      <c r="P210" s="10" t="s">
        <v>816</v>
      </c>
      <c r="Q210" s="11">
        <f>N210/6300</f>
        <v>1269.1014079365079</v>
      </c>
      <c r="R210" s="10" t="s">
        <v>42</v>
      </c>
      <c r="S210" s="14">
        <v>31566</v>
      </c>
      <c r="T210" s="8" t="s">
        <v>43</v>
      </c>
      <c r="U210" s="6" t="s">
        <v>565</v>
      </c>
      <c r="V210" s="7">
        <f>'[1]V, inciso p) (OP)'!AM135</f>
        <v>42730</v>
      </c>
      <c r="W210" s="7">
        <f>'[1]V, inciso p) (OP)'!AN135</f>
        <v>42820</v>
      </c>
      <c r="X210" s="6" t="s">
        <v>817</v>
      </c>
      <c r="Y210" s="6" t="s">
        <v>818</v>
      </c>
      <c r="Z210" s="6" t="s">
        <v>405</v>
      </c>
      <c r="AA210" s="6" t="s">
        <v>40</v>
      </c>
      <c r="AB210" s="6" t="s">
        <v>40</v>
      </c>
    </row>
    <row r="211" spans="1:28" ht="67.5">
      <c r="A211" s="6">
        <v>2016</v>
      </c>
      <c r="B211" s="8" t="s">
        <v>800</v>
      </c>
      <c r="C211" s="8" t="str">
        <f>'[1]V, inciso p) (OP)'!D136</f>
        <v>DOPI-MUN-RM-AP-CI-211-2016</v>
      </c>
      <c r="D211" s="13">
        <f>'[1]V, inciso p) (OP)'!AD136</f>
        <v>42727</v>
      </c>
      <c r="E211" s="8" t="str">
        <f>'[1]V, inciso p) (OP)'!AL136</f>
        <v>Construcción de línea de agua potable, drenaje sanitario, preparación para instalaciones de Telmex y CFE, pozos de absorción, en la Glorieta Venustiano Carranza en la colonia Constitución, municipio de Zapopan, Jalisco</v>
      </c>
      <c r="F211" s="8" t="s">
        <v>184</v>
      </c>
      <c r="G211" s="9">
        <f>'[1]V, inciso p) (OP)'!AG136</f>
        <v>2591650.5499999998</v>
      </c>
      <c r="H211" s="8" t="str">
        <f>'[1]V, inciso p) (OP)'!AS136</f>
        <v>Colonia Constitución</v>
      </c>
      <c r="I211" s="6" t="str">
        <f>'[1]V, inciso p) (OP)'!T136</f>
        <v>Rosalba Edilia</v>
      </c>
      <c r="J211" s="6" t="str">
        <f>'[1]V, inciso p) (OP)'!U136</f>
        <v>Sandoval</v>
      </c>
      <c r="K211" s="6" t="str">
        <f>'[1]V, inciso p) (OP)'!V136</f>
        <v>Huizar</v>
      </c>
      <c r="L211" s="8" t="str">
        <f>'[1]V, inciso p) (OP)'!W136</f>
        <v>Infraestructura San Miguel, S.A. de C.V.</v>
      </c>
      <c r="M211" s="6" t="str">
        <f>'[1]V, inciso p) (OP)'!X136</f>
        <v>ISM0112209Y5</v>
      </c>
      <c r="N211" s="9">
        <f t="shared" si="4"/>
        <v>2591650.5499999998</v>
      </c>
      <c r="O211" s="10" t="s">
        <v>40</v>
      </c>
      <c r="P211" s="10" t="s">
        <v>819</v>
      </c>
      <c r="Q211" s="11">
        <f>N211/671.12</f>
        <v>3861.6798039098817</v>
      </c>
      <c r="R211" s="10" t="s">
        <v>42</v>
      </c>
      <c r="S211" s="14">
        <v>2569</v>
      </c>
      <c r="T211" s="8" t="s">
        <v>43</v>
      </c>
      <c r="U211" s="6" t="s">
        <v>565</v>
      </c>
      <c r="V211" s="7">
        <f>'[1]V, inciso p) (OP)'!AM136</f>
        <v>42730</v>
      </c>
      <c r="W211" s="7">
        <f>'[1]V, inciso p) (OP)'!AN136</f>
        <v>42760</v>
      </c>
      <c r="X211" s="6" t="s">
        <v>650</v>
      </c>
      <c r="Y211" s="6" t="s">
        <v>651</v>
      </c>
      <c r="Z211" s="6" t="s">
        <v>652</v>
      </c>
      <c r="AA211" s="6" t="s">
        <v>40</v>
      </c>
      <c r="AB211" s="6" t="s">
        <v>40</v>
      </c>
    </row>
    <row r="212" spans="1:28" ht="54">
      <c r="A212" s="6">
        <v>2016</v>
      </c>
      <c r="B212" s="6" t="s">
        <v>64</v>
      </c>
      <c r="C212" s="8" t="str">
        <f>'[1]V, inciso o) (OP)'!C93</f>
        <v>DOPI-MUN-RM-AP-AD-212-2016</v>
      </c>
      <c r="D212" s="13">
        <f>'[1]V, inciso o) (OP)'!V93</f>
        <v>42653</v>
      </c>
      <c r="E212" s="8" t="str">
        <f>'[1]V, inciso o) (OP)'!AA93</f>
        <v>Construcción de linea de agua potable, drenaje sanitario y linea de alejamiento en la calle La grana y calle Rastro, en la colonia San Isidro, municipio de Zapopan, Jalisco.</v>
      </c>
      <c r="F212" s="8" t="s">
        <v>184</v>
      </c>
      <c r="G212" s="9">
        <f>'[1]V, inciso o) (OP)'!Y93</f>
        <v>1498750.44</v>
      </c>
      <c r="H212" s="8" t="s">
        <v>820</v>
      </c>
      <c r="I212" s="6" t="str">
        <f>'[1]V, inciso o) (OP)'!M93</f>
        <v xml:space="preserve">HECTOR DAVID </v>
      </c>
      <c r="J212" s="6" t="str">
        <f>'[1]V, inciso o) (OP)'!N93</f>
        <v>ROBLES</v>
      </c>
      <c r="K212" s="6" t="str">
        <f>'[1]V, inciso o) (OP)'!O93</f>
        <v>ROBLES</v>
      </c>
      <c r="L212" s="8" t="str">
        <f>'[1]V, inciso o) (OP)'!P93</f>
        <v>ESTRUCTURAS Y DISEÑOS DEL SOL, S.A. DE C.V.</v>
      </c>
      <c r="M212" s="6" t="str">
        <f>'[1]V, inciso o) (OP)'!Q93</f>
        <v>EDS001103AJ2</v>
      </c>
      <c r="N212" s="9">
        <f>'[1]V, inciso o) (OP)'!Y93</f>
        <v>1498750.44</v>
      </c>
      <c r="O212" s="10" t="s">
        <v>40</v>
      </c>
      <c r="P212" s="10" t="s">
        <v>821</v>
      </c>
      <c r="Q212" s="11">
        <f>N212/132</f>
        <v>11354.17</v>
      </c>
      <c r="R212" s="10" t="s">
        <v>42</v>
      </c>
      <c r="S212" s="14">
        <v>865</v>
      </c>
      <c r="T212" s="8" t="s">
        <v>43</v>
      </c>
      <c r="U212" s="6" t="s">
        <v>44</v>
      </c>
      <c r="V212" s="7">
        <f>'[1]V, inciso o) (OP)'!AD93</f>
        <v>42654</v>
      </c>
      <c r="W212" s="7">
        <f>'[1]V, inciso o) (OP)'!AE93</f>
        <v>42698</v>
      </c>
      <c r="X212" s="6" t="s">
        <v>733</v>
      </c>
      <c r="Y212" s="6" t="s">
        <v>822</v>
      </c>
      <c r="Z212" s="6" t="s">
        <v>735</v>
      </c>
      <c r="AA212" s="6" t="s">
        <v>40</v>
      </c>
      <c r="AB212" s="6" t="s">
        <v>40</v>
      </c>
    </row>
    <row r="213" spans="1:28" ht="54">
      <c r="A213" s="6">
        <v>2016</v>
      </c>
      <c r="B213" s="6" t="s">
        <v>64</v>
      </c>
      <c r="C213" s="8" t="str">
        <f>'[1]V, inciso o) (OP)'!C94</f>
        <v>DOPI-MUN-RM-IM-AD-213-2016</v>
      </c>
      <c r="D213" s="13">
        <f>'[1]V, inciso o) (OP)'!V94</f>
        <v>42647</v>
      </c>
      <c r="E213" s="8" t="str">
        <f>'[1]V, inciso o) (OP)'!AA94</f>
        <v>Suministro e instalación de piso de danza flotado de duela de Maple en el escenario del auditorio del Centro Cultural Constitución, ,municipio de Zapopan, Jalisco.</v>
      </c>
      <c r="F213" s="8" t="s">
        <v>184</v>
      </c>
      <c r="G213" s="9">
        <f>'[1]V, inciso o) (OP)'!Y94</f>
        <v>932552.22</v>
      </c>
      <c r="H213" s="8" t="s">
        <v>707</v>
      </c>
      <c r="I213" s="6" t="str">
        <f>'[1]V, inciso o) (OP)'!M94</f>
        <v>NORMA FABIOLA</v>
      </c>
      <c r="J213" s="6" t="str">
        <f>'[1]V, inciso o) (OP)'!N94</f>
        <v>RODRIGUEZ</v>
      </c>
      <c r="K213" s="6" t="str">
        <f>'[1]V, inciso o) (OP)'!O94</f>
        <v>CASTILLO</v>
      </c>
      <c r="L213" s="8" t="str">
        <f>'[1]V, inciso o) (OP)'!P94</f>
        <v>PARED URBANA, S.A. DE C.V.</v>
      </c>
      <c r="M213" s="6" t="str">
        <f>'[1]V, inciso o) (OP)'!Q94</f>
        <v>PUR071001L23</v>
      </c>
      <c r="N213" s="9">
        <f>'[1]V, inciso o) (OP)'!Y94</f>
        <v>932552.22</v>
      </c>
      <c r="O213" s="10" t="s">
        <v>40</v>
      </c>
      <c r="P213" s="10" t="s">
        <v>823</v>
      </c>
      <c r="Q213" s="11">
        <f>N213/426</f>
        <v>2189.0897183098591</v>
      </c>
      <c r="R213" s="10" t="s">
        <v>42</v>
      </c>
      <c r="S213" s="14">
        <v>350</v>
      </c>
      <c r="T213" s="8" t="s">
        <v>43</v>
      </c>
      <c r="U213" s="6" t="s">
        <v>44</v>
      </c>
      <c r="V213" s="7">
        <f>'[1]V, inciso o) (OP)'!AD94</f>
        <v>42648</v>
      </c>
      <c r="W213" s="7">
        <f>'[1]V, inciso o) (OP)'!AE94</f>
        <v>42677</v>
      </c>
      <c r="X213" s="6" t="s">
        <v>650</v>
      </c>
      <c r="Y213" s="6" t="s">
        <v>651</v>
      </c>
      <c r="Z213" s="6" t="s">
        <v>652</v>
      </c>
      <c r="AA213" s="6" t="s">
        <v>40</v>
      </c>
      <c r="AB213" s="6" t="s">
        <v>40</v>
      </c>
    </row>
    <row r="214" spans="1:28" ht="54">
      <c r="A214" s="6">
        <v>2016</v>
      </c>
      <c r="B214" s="8" t="s">
        <v>824</v>
      </c>
      <c r="C214" s="8" t="str">
        <f>'[1]V, inciso p) (OP)'!D137</f>
        <v>DOPI-FED-HAB-PAV-CI-214-2016</v>
      </c>
      <c r="D214" s="13">
        <f>'[1]V, inciso p) (OP)'!AD137</f>
        <v>42717</v>
      </c>
      <c r="E214" s="8" t="str">
        <f>'[1]V, inciso p) (OP)'!AL137</f>
        <v>Pavimentación de concreto hidráulico en la calle Casiano Torres Poniente, municipio de Zapopan, Jalisco.</v>
      </c>
      <c r="F214" s="8" t="s">
        <v>825</v>
      </c>
      <c r="G214" s="9">
        <f>'[1]V, inciso p) (OP)'!AG137</f>
        <v>6282745.2800000003</v>
      </c>
      <c r="H214" s="8" t="str">
        <f>'[1]V, inciso p) (OP)'!AS137</f>
        <v>Colonia Vista Hermosa</v>
      </c>
      <c r="I214" s="6" t="str">
        <f>'[1]V, inciso p) (OP)'!T137</f>
        <v>Miguel Ángel</v>
      </c>
      <c r="J214" s="6" t="str">
        <f>'[1]V, inciso p) (OP)'!U137</f>
        <v>Romero</v>
      </c>
      <c r="K214" s="6" t="str">
        <f>'[1]V, inciso p) (OP)'!V137</f>
        <v>Lugo</v>
      </c>
      <c r="L214" s="8" t="str">
        <f>'[1]V, inciso p) (OP)'!W137</f>
        <v>Obras y Comercialización de la Construcción, S.A. de C.V.</v>
      </c>
      <c r="M214" s="6" t="str">
        <f>'[1]V, inciso p) (OP)'!X137</f>
        <v>OCC940714PB0</v>
      </c>
      <c r="N214" s="9">
        <f>'[1]V, inciso p) (OP)'!AG137</f>
        <v>6282745.2800000003</v>
      </c>
      <c r="O214" s="10" t="s">
        <v>40</v>
      </c>
      <c r="P214" s="10" t="s">
        <v>826</v>
      </c>
      <c r="Q214" s="11">
        <f>N214/3200</f>
        <v>1963.3579</v>
      </c>
      <c r="R214" s="10" t="s">
        <v>42</v>
      </c>
      <c r="S214" s="14">
        <v>1255</v>
      </c>
      <c r="T214" s="8" t="s">
        <v>43</v>
      </c>
      <c r="U214" s="6" t="s">
        <v>565</v>
      </c>
      <c r="V214" s="7">
        <f>'[1]V, inciso p) (OP)'!AM137</f>
        <v>42718</v>
      </c>
      <c r="W214" s="7">
        <f>'[1]V, inciso p) (OP)'!AN137</f>
        <v>42735</v>
      </c>
      <c r="X214" s="6" t="s">
        <v>556</v>
      </c>
      <c r="Y214" s="6" t="s">
        <v>557</v>
      </c>
      <c r="Z214" s="6" t="s">
        <v>558</v>
      </c>
      <c r="AA214" s="6" t="s">
        <v>40</v>
      </c>
      <c r="AB214" s="6" t="s">
        <v>40</v>
      </c>
    </row>
    <row r="215" spans="1:28" ht="40.5">
      <c r="A215" s="6">
        <v>2016</v>
      </c>
      <c r="B215" s="6" t="s">
        <v>64</v>
      </c>
      <c r="C215" s="8" t="str">
        <f>'[1]V, inciso o) (OP)'!C95</f>
        <v>DOPI-MUN-RM-PROY-AD-215-2016</v>
      </c>
      <c r="D215" s="13">
        <f>'[1]V, inciso o) (OP)'!V95</f>
        <v>42657</v>
      </c>
      <c r="E215" s="8" t="str">
        <f>'[1]V, inciso o) (OP)'!AA95</f>
        <v>Estudios básicos topográficos para diferentes obras 2016, segunda etapa, del municipio de Zapopan, Jalisco.</v>
      </c>
      <c r="F215" s="8" t="s">
        <v>184</v>
      </c>
      <c r="G215" s="9">
        <f>'[1]V, inciso o) (OP)'!Y95</f>
        <v>1350125.87</v>
      </c>
      <c r="H215" s="8" t="s">
        <v>225</v>
      </c>
      <c r="I215" s="6" t="str">
        <f>'[1]V, inciso o) (OP)'!M95</f>
        <v>LUIS ERNESTO</v>
      </c>
      <c r="J215" s="6" t="str">
        <f>'[1]V, inciso o) (OP)'!N95</f>
        <v>GONZALEZ</v>
      </c>
      <c r="K215" s="6" t="str">
        <f>'[1]V, inciso o) (OP)'!O95</f>
        <v>LOZANO</v>
      </c>
      <c r="L215" s="8" t="str">
        <f>'[1]V, inciso o) (OP)'!P95</f>
        <v>TOSCANA INGENIERIA, S. A.  DE C.V.</v>
      </c>
      <c r="M215" s="6" t="str">
        <f>'[1]V, inciso o) (OP)'!Q95</f>
        <v>TIN04100824A</v>
      </c>
      <c r="N215" s="9">
        <f>'[1]V, inciso o) (OP)'!Y95</f>
        <v>1350125.87</v>
      </c>
      <c r="O215" s="10" t="s">
        <v>40</v>
      </c>
      <c r="P215" s="10" t="s">
        <v>827</v>
      </c>
      <c r="Q215" s="11">
        <f>N215/796102</f>
        <v>1.6959207111651524</v>
      </c>
      <c r="R215" s="10" t="s">
        <v>42</v>
      </c>
      <c r="S215" s="14" t="s">
        <v>232</v>
      </c>
      <c r="T215" s="8" t="s">
        <v>231</v>
      </c>
      <c r="U215" s="6" t="s">
        <v>44</v>
      </c>
      <c r="V215" s="7">
        <f>'[1]V, inciso o) (OP)'!AD95</f>
        <v>42660</v>
      </c>
      <c r="W215" s="7">
        <f>'[1]V, inciso o) (OP)'!AE95</f>
        <v>42735</v>
      </c>
      <c r="X215" s="6" t="s">
        <v>570</v>
      </c>
      <c r="Y215" s="6" t="s">
        <v>828</v>
      </c>
      <c r="Z215" s="6" t="s">
        <v>286</v>
      </c>
      <c r="AA215" s="6" t="s">
        <v>40</v>
      </c>
      <c r="AB215" s="6" t="s">
        <v>40</v>
      </c>
    </row>
    <row r="216" spans="1:28" ht="40.5">
      <c r="A216" s="6">
        <v>2016</v>
      </c>
      <c r="B216" s="6" t="s">
        <v>64</v>
      </c>
      <c r="C216" s="8" t="str">
        <f>'[1]V, inciso o) (OP)'!C96</f>
        <v>DOPI-MUN-RM-PAV-AD-216-2016</v>
      </c>
      <c r="D216" s="13">
        <f>'[1]V, inciso o) (OP)'!V96</f>
        <v>42674</v>
      </c>
      <c r="E216" s="8" t="str">
        <f>'[1]V, inciso o) (OP)'!AA96</f>
        <v>Programa emergente de bacheo de vialidades en Zapopan Norte, tramo 3, municipio de Zapopan, Jalisco.</v>
      </c>
      <c r="F216" s="8" t="s">
        <v>184</v>
      </c>
      <c r="G216" s="9">
        <f>'[1]V, inciso o) (OP)'!Y96</f>
        <v>1492596.99</v>
      </c>
      <c r="H216" s="8" t="s">
        <v>225</v>
      </c>
      <c r="I216" s="6" t="str">
        <f>'[1]V, inciso o) (OP)'!M96</f>
        <v>ESPERANZA</v>
      </c>
      <c r="J216" s="6" t="str">
        <f>'[1]V, inciso o) (OP)'!N96</f>
        <v>CORONA</v>
      </c>
      <c r="K216" s="6" t="str">
        <f>'[1]V, inciso o) (OP)'!O96</f>
        <v>JUAREZ</v>
      </c>
      <c r="L216" s="8" t="str">
        <f>'[1]V, inciso o) (OP)'!P96</f>
        <v>GREEN PATCHER MEXICO, S. DE R.L. DE C.V.</v>
      </c>
      <c r="M216" s="6" t="str">
        <f>'[1]V, inciso o) (OP)'!Q96</f>
        <v>ISA071206P64</v>
      </c>
      <c r="N216" s="9">
        <f>'[1]V, inciso o) (OP)'!Y96</f>
        <v>1492596.99</v>
      </c>
      <c r="O216" s="10" t="s">
        <v>40</v>
      </c>
      <c r="P216" s="10" t="s">
        <v>829</v>
      </c>
      <c r="Q216" s="11">
        <f>N216/8510</f>
        <v>175.39330082256168</v>
      </c>
      <c r="R216" s="10" t="s">
        <v>42</v>
      </c>
      <c r="S216" s="14">
        <v>215000</v>
      </c>
      <c r="T216" s="8" t="s">
        <v>43</v>
      </c>
      <c r="U216" s="6" t="s">
        <v>44</v>
      </c>
      <c r="V216" s="7">
        <f>'[1]V, inciso o) (OP)'!AD96</f>
        <v>42675</v>
      </c>
      <c r="W216" s="7">
        <f>'[1]V, inciso o) (OP)'!AE96</f>
        <v>42734</v>
      </c>
      <c r="X216" s="6" t="s">
        <v>754</v>
      </c>
      <c r="Y216" s="6" t="s">
        <v>755</v>
      </c>
      <c r="Z216" s="6" t="s">
        <v>756</v>
      </c>
      <c r="AA216" s="6" t="s">
        <v>40</v>
      </c>
      <c r="AB216" s="6" t="s">
        <v>40</v>
      </c>
    </row>
    <row r="217" spans="1:28" ht="40.5">
      <c r="A217" s="6">
        <v>2016</v>
      </c>
      <c r="B217" s="6" t="s">
        <v>64</v>
      </c>
      <c r="C217" s="8" t="str">
        <f>'[1]V, inciso o) (OP)'!C97</f>
        <v>DOPI-MUN-RM-IM-AD-217-2016</v>
      </c>
      <c r="D217" s="13">
        <f>'[1]V, inciso o) (OP)'!V97</f>
        <v>42657</v>
      </c>
      <c r="E217" s="8" t="str">
        <f>'[1]V, inciso o) (OP)'!AA97</f>
        <v>Construcción de modulo de sanitarios, en el Panteón de Santa  Ana Tepetitlan, municipio de Zapopan, Jalisco.</v>
      </c>
      <c r="F217" s="8" t="s">
        <v>184</v>
      </c>
      <c r="G217" s="9">
        <f>'[1]V, inciso o) (OP)'!Y97</f>
        <v>950216.14</v>
      </c>
      <c r="H217" s="8" t="s">
        <v>436</v>
      </c>
      <c r="I217" s="6" t="str">
        <f>'[1]V, inciso o) (OP)'!M97</f>
        <v xml:space="preserve">RAFAEL </v>
      </c>
      <c r="J217" s="6" t="str">
        <f>'[1]V, inciso o) (OP)'!N97</f>
        <v>OROZCO</v>
      </c>
      <c r="K217" s="6" t="str">
        <f>'[1]V, inciso o) (OP)'!O97</f>
        <v>MARTINEZ</v>
      </c>
      <c r="L217" s="8" t="str">
        <f>'[1]V, inciso o) (OP)'!P97</f>
        <v>CEELE CONSTRUCCIONES, S.A. DE C.V.</v>
      </c>
      <c r="M217" s="6" t="str">
        <f>'[1]V, inciso o) (OP)'!Q97</f>
        <v>CCO020123366</v>
      </c>
      <c r="N217" s="9">
        <f>'[1]V, inciso o) (OP)'!Y97</f>
        <v>950216.14</v>
      </c>
      <c r="O217" s="10" t="s">
        <v>40</v>
      </c>
      <c r="P217" s="10" t="s">
        <v>830</v>
      </c>
      <c r="Q217" s="11">
        <f>N217/115</f>
        <v>8262.7490434782612</v>
      </c>
      <c r="R217" s="10" t="s">
        <v>42</v>
      </c>
      <c r="S217" s="14">
        <v>24800</v>
      </c>
      <c r="T217" s="8" t="s">
        <v>43</v>
      </c>
      <c r="U217" s="6" t="s">
        <v>44</v>
      </c>
      <c r="V217" s="7">
        <f>'[1]V, inciso o) (OP)'!AD97</f>
        <v>42660</v>
      </c>
      <c r="W217" s="7">
        <f>'[1]V, inciso o) (OP)'!AE97</f>
        <v>42714</v>
      </c>
      <c r="X217" s="6" t="s">
        <v>536</v>
      </c>
      <c r="Y217" s="6" t="s">
        <v>383</v>
      </c>
      <c r="Z217" s="6" t="s">
        <v>300</v>
      </c>
      <c r="AA217" s="6" t="s">
        <v>40</v>
      </c>
      <c r="AB217" s="6" t="s">
        <v>40</v>
      </c>
    </row>
    <row r="218" spans="1:28" ht="40.5">
      <c r="A218" s="6">
        <v>2016</v>
      </c>
      <c r="B218" s="6" t="s">
        <v>64</v>
      </c>
      <c r="C218" s="8" t="str">
        <f>'[1]V, inciso o) (OP)'!C98</f>
        <v>DOPI-MUN-RM-PAV-AD-218-2016</v>
      </c>
      <c r="D218" s="13">
        <f>'[1]V, inciso o) (OP)'!V98</f>
        <v>42664</v>
      </c>
      <c r="E218" s="8" t="str">
        <f>'[1]V, inciso o) (OP)'!AA98</f>
        <v>Construcción de pavimento de concreto hidráulico en la calle La Grana  y calle Rastro, en la colonia San Isidro, municipio de Zapopan, Jalisco.</v>
      </c>
      <c r="F218" s="8" t="s">
        <v>184</v>
      </c>
      <c r="G218" s="9">
        <f>'[1]V, inciso o) (OP)'!Y98</f>
        <v>1494567.16</v>
      </c>
      <c r="H218" s="8" t="s">
        <v>820</v>
      </c>
      <c r="I218" s="6" t="str">
        <f>'[1]V, inciso o) (OP)'!M98</f>
        <v>SALVADOR</v>
      </c>
      <c r="J218" s="6" t="str">
        <f>'[1]V, inciso o) (OP)'!N98</f>
        <v>CASTRO</v>
      </c>
      <c r="K218" s="6" t="str">
        <f>'[1]V, inciso o) (OP)'!O98</f>
        <v>GUZMAN</v>
      </c>
      <c r="L218" s="8" t="str">
        <f>'[1]V, inciso o) (OP)'!P98</f>
        <v>GRUPO CONSTRUCTOR GLEOSS, S.A. DE C.V.</v>
      </c>
      <c r="M218" s="6" t="str">
        <f>'[1]V, inciso o) (OP)'!Q98</f>
        <v>GCG041213LZ9</v>
      </c>
      <c r="N218" s="9">
        <f>'[1]V, inciso o) (OP)'!Y98</f>
        <v>1494567.16</v>
      </c>
      <c r="O218" s="10" t="s">
        <v>40</v>
      </c>
      <c r="P218" s="10" t="s">
        <v>831</v>
      </c>
      <c r="Q218" s="11">
        <f>N218/1010</f>
        <v>1479.7694653465346</v>
      </c>
      <c r="R218" s="10" t="s">
        <v>42</v>
      </c>
      <c r="S218" s="14">
        <v>655</v>
      </c>
      <c r="T218" s="8" t="s">
        <v>43</v>
      </c>
      <c r="U218" s="6" t="s">
        <v>44</v>
      </c>
      <c r="V218" s="7">
        <f>'[1]V, inciso o) (OP)'!AD98</f>
        <v>42667</v>
      </c>
      <c r="W218" s="7">
        <f>'[1]V, inciso o) (OP)'!AE98</f>
        <v>42726</v>
      </c>
      <c r="X218" s="6" t="s">
        <v>733</v>
      </c>
      <c r="Y218" s="6" t="s">
        <v>822</v>
      </c>
      <c r="Z218" s="6" t="s">
        <v>735</v>
      </c>
      <c r="AA218" s="6" t="s">
        <v>40</v>
      </c>
      <c r="AB218" s="6" t="s">
        <v>40</v>
      </c>
    </row>
    <row r="219" spans="1:28" ht="54">
      <c r="A219" s="6">
        <v>2016</v>
      </c>
      <c r="B219" s="6" t="s">
        <v>64</v>
      </c>
      <c r="C219" s="8" t="str">
        <f>'[1]V, inciso o) (OP)'!C99</f>
        <v>DOPI-MUN-RM-DP-AD-219-2016</v>
      </c>
      <c r="D219" s="13">
        <f>'[1]V, inciso o) (OP)'!V99</f>
        <v>42653</v>
      </c>
      <c r="E219" s="8" t="str">
        <f>'[1]V, inciso o) (OP)'!AA99</f>
        <v>Solución Pluvial en Tesistán (colector pluvial de 36" y bocas de tormenta) en la calle Jalisco, Hidalgo, Puebla, en la localidad de Tesistán, municipio de Zapopan, Jalisco. Frente 2.</v>
      </c>
      <c r="F219" s="8" t="s">
        <v>184</v>
      </c>
      <c r="G219" s="9">
        <f>'[1]V, inciso o) (OP)'!Y99</f>
        <v>1421736.05</v>
      </c>
      <c r="H219" s="8" t="s">
        <v>786</v>
      </c>
      <c r="I219" s="6" t="str">
        <f>'[1]V, inciso o) (OP)'!M99</f>
        <v xml:space="preserve">RODOLFO </v>
      </c>
      <c r="J219" s="6" t="str">
        <f>'[1]V, inciso o) (OP)'!N99</f>
        <v xml:space="preserve">VELAZQUEZ </v>
      </c>
      <c r="K219" s="6" t="str">
        <f>'[1]V, inciso o) (OP)'!O99</f>
        <v>ORDOÑEZ</v>
      </c>
      <c r="L219" s="8" t="str">
        <f>'[1]V, inciso o) (OP)'!P99</f>
        <v>VELAZQUEZ INGENIERIA ECOLOGICA, S.A. DE C.V.</v>
      </c>
      <c r="M219" s="6" t="str">
        <f>'[1]V, inciso o) (OP)'!Q99</f>
        <v>VIE110125RL4</v>
      </c>
      <c r="N219" s="9">
        <f>'[1]V, inciso o) (OP)'!Y99</f>
        <v>1421736.05</v>
      </c>
      <c r="O219" s="10" t="s">
        <v>40</v>
      </c>
      <c r="P219" s="10" t="s">
        <v>832</v>
      </c>
      <c r="Q219" s="11">
        <f>N219/5752</f>
        <v>247.1724704450626</v>
      </c>
      <c r="R219" s="10" t="s">
        <v>42</v>
      </c>
      <c r="S219" s="14">
        <v>2460</v>
      </c>
      <c r="T219" s="8" t="s">
        <v>43</v>
      </c>
      <c r="U219" s="6" t="s">
        <v>44</v>
      </c>
      <c r="V219" s="7">
        <f>'[1]V, inciso o) (OP)'!AD99</f>
        <v>42654</v>
      </c>
      <c r="W219" s="7">
        <f>'[1]V, inciso o) (OP)'!AE99</f>
        <v>42704</v>
      </c>
      <c r="X219" s="6" t="s">
        <v>544</v>
      </c>
      <c r="Y219" s="6" t="s">
        <v>545</v>
      </c>
      <c r="Z219" s="6" t="s">
        <v>212</v>
      </c>
      <c r="AA219" s="6" t="s">
        <v>40</v>
      </c>
      <c r="AB219" s="6" t="s">
        <v>40</v>
      </c>
    </row>
    <row r="220" spans="1:28" ht="162">
      <c r="A220" s="6">
        <v>2016</v>
      </c>
      <c r="B220" s="6" t="s">
        <v>64</v>
      </c>
      <c r="C220" s="8" t="str">
        <f>'[1]V, inciso o) (OP)'!C100</f>
        <v>DOPI-MUN-RM-IM-AD-220-2016</v>
      </c>
      <c r="D220" s="13">
        <f>'[1]V, inciso o) (OP)'!V100</f>
        <v>42647</v>
      </c>
      <c r="E220" s="8" t="str">
        <f>'[1]V, inciso o) (OP)'!AA100</f>
        <v>Suministro y colocación de estructuras de protección de rayos ultravioleta, pozos de filtración, cancelería y albañilería en el CRI ubicado en Av. Laureles, colonia Unidad Fovissste; Pintura y aplanados en el aula del CDI No. 3, ubicado en Av, Laureles, colonia Unidad Fovissste; Suministro y colocación de lona, colocación de ladrillo de azotea e impermeabilización en el área de consultorios y albañilería en el CEMAM, ubicado en la calle cerrada Santa Laura, colonia Santa Margarita Primera Sección, muncipio de Zapopan, Jalisco</v>
      </c>
      <c r="F220" s="8" t="s">
        <v>184</v>
      </c>
      <c r="G220" s="9">
        <f>'[1]V, inciso o) (OP)'!Y100</f>
        <v>1495360.54</v>
      </c>
      <c r="H220" s="8" t="s">
        <v>833</v>
      </c>
      <c r="I220" s="6" t="str">
        <f>'[1]V, inciso o) (OP)'!M100</f>
        <v>JOSE ANTONIO</v>
      </c>
      <c r="J220" s="6" t="str">
        <f>'[1]V, inciso o) (OP)'!N100</f>
        <v>ALVAREZ</v>
      </c>
      <c r="K220" s="6" t="str">
        <f>'[1]V, inciso o) (OP)'!O100</f>
        <v>ZULOAGA</v>
      </c>
      <c r="L220" s="8" t="str">
        <f>'[1]V, inciso o) (OP)'!P100</f>
        <v>GRUPO DESARROLLADOR ALZU, S.A. DE C.V.</v>
      </c>
      <c r="M220" s="6" t="str">
        <f>'[1]V, inciso o) (OP)'!Q100</f>
        <v>GDA150928286</v>
      </c>
      <c r="N220" s="9">
        <f>'[1]V, inciso o) (OP)'!Y100</f>
        <v>1495360.54</v>
      </c>
      <c r="O220" s="10" t="s">
        <v>40</v>
      </c>
      <c r="P220" s="10" t="s">
        <v>834</v>
      </c>
      <c r="Q220" s="11">
        <f>N220/1035</f>
        <v>1444.7927922705314</v>
      </c>
      <c r="R220" s="10" t="s">
        <v>42</v>
      </c>
      <c r="S220" s="14">
        <v>1560</v>
      </c>
      <c r="T220" s="8" t="s">
        <v>43</v>
      </c>
      <c r="U220" s="6" t="s">
        <v>44</v>
      </c>
      <c r="V220" s="7">
        <f>'[1]V, inciso o) (OP)'!AD100</f>
        <v>42648</v>
      </c>
      <c r="W220" s="7">
        <f>'[1]V, inciso o) (OP)'!AE100</f>
        <v>42704</v>
      </c>
      <c r="X220" s="6" t="s">
        <v>835</v>
      </c>
      <c r="Y220" s="6" t="s">
        <v>62</v>
      </c>
      <c r="Z220" s="6" t="s">
        <v>836</v>
      </c>
      <c r="AA220" s="6" t="s">
        <v>40</v>
      </c>
      <c r="AB220" s="6" t="s">
        <v>40</v>
      </c>
    </row>
    <row r="221" spans="1:28" ht="76.150000000000006" customHeight="1">
      <c r="A221" s="6">
        <v>2016</v>
      </c>
      <c r="B221" s="6" t="s">
        <v>64</v>
      </c>
      <c r="C221" s="8" t="str">
        <f>'[1]V, inciso o) (OP)'!C101</f>
        <v>DOPI-MUN-RM-PAV-AD-221-2016</v>
      </c>
      <c r="D221" s="13">
        <f>'[1]V, inciso o) (OP)'!V101</f>
        <v>42685</v>
      </c>
      <c r="E221" s="8" t="str">
        <f>'[1]V, inciso o) (OP)'!AA101</f>
        <v>Pavimentación con concreto asfáltico en el paso inferior de Periférico Norte Manuel Gomez Morín en su cruce con la Av. Santa Margarita, municipio de Zapopan, Jalisco.</v>
      </c>
      <c r="F221" s="8" t="s">
        <v>184</v>
      </c>
      <c r="G221" s="9">
        <f>'[1]V, inciso o) (OP)'!Y101</f>
        <v>1358863.01</v>
      </c>
      <c r="H221" s="8" t="s">
        <v>837</v>
      </c>
      <c r="I221" s="6" t="str">
        <f>'[1]V, inciso o) (OP)'!M101</f>
        <v>JESUS DAVID</v>
      </c>
      <c r="J221" s="6" t="str">
        <f>'[1]V, inciso o) (OP)'!N101</f>
        <v xml:space="preserve">GARZA </v>
      </c>
      <c r="K221" s="6" t="str">
        <f>'[1]V, inciso o) (OP)'!O101</f>
        <v>GARCIA</v>
      </c>
      <c r="L221" s="8" t="str">
        <f>'[1]V, inciso o) (OP)'!P101</f>
        <v>CONSTRUCCIONES  ELECTRIFICACIONES Y ARRENDAMIENTO DE MAQUINARIA S.A. DE C.V.</v>
      </c>
      <c r="M221" s="6" t="str">
        <f>'[1]V, inciso o) (OP)'!Q101</f>
        <v>CEA010615GT0</v>
      </c>
      <c r="N221" s="9">
        <f>'[1]V, inciso o) (OP)'!Y101</f>
        <v>1358863.01</v>
      </c>
      <c r="O221" s="10" t="s">
        <v>40</v>
      </c>
      <c r="P221" s="10" t="s">
        <v>838</v>
      </c>
      <c r="Q221" s="11">
        <f>N221/3033</f>
        <v>448.02605011539731</v>
      </c>
      <c r="R221" s="10" t="s">
        <v>42</v>
      </c>
      <c r="S221" s="14">
        <v>368954</v>
      </c>
      <c r="T221" s="8" t="s">
        <v>43</v>
      </c>
      <c r="U221" s="6" t="s">
        <v>44</v>
      </c>
      <c r="V221" s="7">
        <f>'[1]V, inciso o) (OP)'!AD101</f>
        <v>42688</v>
      </c>
      <c r="W221" s="7">
        <f>'[1]V, inciso o) (OP)'!AE101</f>
        <v>42726</v>
      </c>
      <c r="X221" s="6" t="s">
        <v>839</v>
      </c>
      <c r="Y221" s="6" t="s">
        <v>840</v>
      </c>
      <c r="Z221" s="6" t="s">
        <v>841</v>
      </c>
      <c r="AA221" s="6" t="s">
        <v>40</v>
      </c>
      <c r="AB221" s="6" t="s">
        <v>40</v>
      </c>
    </row>
    <row r="222" spans="1:28" ht="54">
      <c r="A222" s="6">
        <v>2016</v>
      </c>
      <c r="B222" s="6" t="s">
        <v>64</v>
      </c>
      <c r="C222" s="8" t="str">
        <f>'[1]V, inciso o) (OP)'!C102</f>
        <v>DOPI-MUN-RM-PAV-AD-222-2016</v>
      </c>
      <c r="D222" s="13">
        <f>'[1]V, inciso o) (OP)'!V102</f>
        <v>42650</v>
      </c>
      <c r="E222" s="8" t="str">
        <f>'[1]V, inciso o) (OP)'!AA102</f>
        <v>Construccion y rehabilitación de guarniciones, banquetas, obra complementaria en camellones en diferentes zonas del municipio de Zapopan, Jalisco, frente 1.</v>
      </c>
      <c r="F222" s="8" t="s">
        <v>67</v>
      </c>
      <c r="G222" s="9">
        <f>'[1]V, inciso o) (OP)'!Y102</f>
        <v>1447543.87</v>
      </c>
      <c r="H222" s="8" t="s">
        <v>225</v>
      </c>
      <c r="I222" s="6" t="str">
        <f>'[1]V, inciso o) (OP)'!M102</f>
        <v>ESTEBAN</v>
      </c>
      <c r="J222" s="6" t="str">
        <f>'[1]V, inciso o) (OP)'!N102</f>
        <v>PEREZ</v>
      </c>
      <c r="K222" s="6" t="str">
        <f>'[1]V, inciso o) (OP)'!O102</f>
        <v>MUÑOZ</v>
      </c>
      <c r="L222" s="8" t="str">
        <f>'[1]V, inciso o) (OP)'!P102</f>
        <v>GRUPO PG CONSTRUCTORES Y SUPERVISORES, S.A. DE C.V.</v>
      </c>
      <c r="M222" s="6" t="str">
        <f>'[1]V, inciso o) (OP)'!Q102</f>
        <v>GPC110927671</v>
      </c>
      <c r="N222" s="9">
        <f>'[1]V, inciso o) (OP)'!Y102</f>
        <v>1447543.87</v>
      </c>
      <c r="O222" s="10" t="s">
        <v>40</v>
      </c>
      <c r="P222" s="10" t="s">
        <v>685</v>
      </c>
      <c r="Q222" s="11">
        <f>N222/2130</f>
        <v>679.59806103286394</v>
      </c>
      <c r="R222" s="10" t="s">
        <v>42</v>
      </c>
      <c r="S222" s="14">
        <v>153800</v>
      </c>
      <c r="T222" s="8" t="s">
        <v>43</v>
      </c>
      <c r="U222" s="6" t="s">
        <v>44</v>
      </c>
      <c r="V222" s="7">
        <f>'[1]V, inciso o) (OP)'!AD102</f>
        <v>42651</v>
      </c>
      <c r="W222" s="7">
        <f>'[1]V, inciso o) (OP)'!AE102</f>
        <v>42714</v>
      </c>
      <c r="X222" s="6" t="s">
        <v>556</v>
      </c>
      <c r="Y222" s="6" t="s">
        <v>557</v>
      </c>
      <c r="Z222" s="6" t="s">
        <v>558</v>
      </c>
      <c r="AA222" s="6" t="s">
        <v>40</v>
      </c>
      <c r="AB222" s="6" t="s">
        <v>40</v>
      </c>
    </row>
    <row r="223" spans="1:28" ht="40.5">
      <c r="A223" s="6">
        <v>2016</v>
      </c>
      <c r="B223" s="6" t="s">
        <v>64</v>
      </c>
      <c r="C223" s="8" t="str">
        <f>'[1]V, inciso o) (OP)'!C103</f>
        <v>DOPI-MUN-RM-BAN-AD-223-2016</v>
      </c>
      <c r="D223" s="13">
        <f>'[1]V, inciso o) (OP)'!V103</f>
        <v>42674</v>
      </c>
      <c r="E223" s="8" t="str">
        <f>'[1]V, inciso o) (OP)'!AA103</f>
        <v>Construcción de banquetas y guarniciones en la calle La Grana y calle Rastro, en la colonia San Isidro, municipio de Zapopan, Jalisco.</v>
      </c>
      <c r="F223" s="8" t="s">
        <v>184</v>
      </c>
      <c r="G223" s="9">
        <f>'[1]V, inciso o) (OP)'!Y103</f>
        <v>650250.36</v>
      </c>
      <c r="H223" s="8" t="s">
        <v>820</v>
      </c>
      <c r="I223" s="6" t="str">
        <f>'[1]V, inciso o) (OP)'!M103</f>
        <v>ANGELICA</v>
      </c>
      <c r="J223" s="6" t="str">
        <f>'[1]V, inciso o) (OP)'!N103</f>
        <v>VALDERRAMA</v>
      </c>
      <c r="K223" s="6" t="str">
        <f>'[1]V, inciso o) (OP)'!O103</f>
        <v>CASTRO</v>
      </c>
      <c r="L223" s="8" t="str">
        <f>'[1]V, inciso o) (OP)'!P103</f>
        <v>GRUPO V Y CG, S.A. DE C.V.</v>
      </c>
      <c r="M223" s="6" t="str">
        <f>'[1]V, inciso o) (OP)'!Q103</f>
        <v>GVC1101316W5</v>
      </c>
      <c r="N223" s="9">
        <f>'[1]V, inciso o) (OP)'!Y103</f>
        <v>650250.36</v>
      </c>
      <c r="O223" s="10" t="s">
        <v>40</v>
      </c>
      <c r="P223" s="10" t="s">
        <v>842</v>
      </c>
      <c r="Q223" s="11">
        <f>N223/822</f>
        <v>791.05883211678827</v>
      </c>
      <c r="R223" s="10" t="s">
        <v>42</v>
      </c>
      <c r="S223" s="14">
        <v>564</v>
      </c>
      <c r="T223" s="8" t="s">
        <v>43</v>
      </c>
      <c r="U223" s="6" t="s">
        <v>44</v>
      </c>
      <c r="V223" s="7">
        <f>'[1]V, inciso o) (OP)'!AD103</f>
        <v>42675</v>
      </c>
      <c r="W223" s="7">
        <f>'[1]V, inciso o) (OP)'!AE103</f>
        <v>42719</v>
      </c>
      <c r="X223" s="6" t="s">
        <v>733</v>
      </c>
      <c r="Y223" s="6" t="s">
        <v>172</v>
      </c>
      <c r="Z223" s="6" t="s">
        <v>843</v>
      </c>
      <c r="AA223" s="6" t="s">
        <v>40</v>
      </c>
      <c r="AB223" s="6" t="s">
        <v>40</v>
      </c>
    </row>
    <row r="224" spans="1:28" ht="67.900000000000006" customHeight="1">
      <c r="A224" s="6">
        <v>2016</v>
      </c>
      <c r="B224" s="8" t="s">
        <v>800</v>
      </c>
      <c r="C224" s="8" t="str">
        <f>'[1]V, inciso p) (OP)'!D138</f>
        <v>DOPI-MUN-RM-IM-CI-225-2016</v>
      </c>
      <c r="D224" s="13">
        <f>'[1]V, inciso p) (OP)'!AD138</f>
        <v>42727</v>
      </c>
      <c r="E224" s="8" t="str">
        <f>'[1]V, inciso p) (OP)'!AL138</f>
        <v>Rehabilitación de la Unidad Administrativa Las Águilas (cubierta, pintura, instalaciones eléctricas, instalaciones hidráulicas, nave central, impermeabilización, accesibilidad, baños, puertas de acceso principal) Frente 2</v>
      </c>
      <c r="F224" s="8" t="s">
        <v>184</v>
      </c>
      <c r="G224" s="9">
        <f>'[1]V, inciso p) (OP)'!AG138</f>
        <v>2484449.75</v>
      </c>
      <c r="H224" s="8" t="s">
        <v>194</v>
      </c>
      <c r="I224" s="6" t="str">
        <f>'[1]V, inciso p) (OP)'!T138</f>
        <v>Edgardo</v>
      </c>
      <c r="J224" s="6" t="str">
        <f>'[1]V, inciso p) (OP)'!U138</f>
        <v>Zúñiga</v>
      </c>
      <c r="K224" s="6" t="str">
        <f>'[1]V, inciso p) (OP)'!V138</f>
        <v>Beristaín</v>
      </c>
      <c r="L224" s="8" t="str">
        <f>'[1]V, inciso p) (OP)'!W138</f>
        <v>Proyección Integral Zure, S.A. de C.V.</v>
      </c>
      <c r="M224" s="6" t="str">
        <f>'[1]V, inciso p) (OP)'!X138</f>
        <v>PIZ070717DX6</v>
      </c>
      <c r="N224" s="9">
        <f>'[1]V, inciso p) (OP)'!AG138</f>
        <v>2484449.75</v>
      </c>
      <c r="O224" s="10" t="s">
        <v>40</v>
      </c>
      <c r="P224" s="10" t="s">
        <v>844</v>
      </c>
      <c r="Q224" s="11">
        <f>N224/2982.85</f>
        <v>832.9113934659805</v>
      </c>
      <c r="R224" s="10" t="s">
        <v>42</v>
      </c>
      <c r="S224" s="14">
        <v>985622</v>
      </c>
      <c r="T224" s="8" t="s">
        <v>43</v>
      </c>
      <c r="U224" s="6" t="s">
        <v>565</v>
      </c>
      <c r="V224" s="7">
        <f>'[1]V, inciso p) (OP)'!AM138</f>
        <v>42730</v>
      </c>
      <c r="W224" s="7">
        <f>'[1]V, inciso p) (OP)'!AN138</f>
        <v>42820</v>
      </c>
      <c r="X224" s="6" t="s">
        <v>733</v>
      </c>
      <c r="Y224" s="6" t="s">
        <v>172</v>
      </c>
      <c r="Z224" s="6" t="s">
        <v>843</v>
      </c>
      <c r="AA224" s="6" t="s">
        <v>40</v>
      </c>
      <c r="AB224" s="6" t="s">
        <v>40</v>
      </c>
    </row>
    <row r="225" spans="1:28" ht="40.5">
      <c r="A225" s="6">
        <v>2016</v>
      </c>
      <c r="B225" s="8" t="s">
        <v>800</v>
      </c>
      <c r="C225" s="8" t="str">
        <f>'[1]V, inciso p) (OP)'!D139</f>
        <v>DOPI-MUN-RM-MOV-CI-226-2016</v>
      </c>
      <c r="D225" s="13">
        <f>'[1]V, inciso p) (OP)'!AD139</f>
        <v>42727</v>
      </c>
      <c r="E225" s="8" t="str">
        <f>'[1]V, inciso p) (OP)'!AL139</f>
        <v>Rehabilitación de ciclovía Santa Margarita e iluminación, municipio de Zapopan, Jalisco.</v>
      </c>
      <c r="F225" s="8" t="s">
        <v>184</v>
      </c>
      <c r="G225" s="9">
        <f>'[1]V, inciso p) (OP)'!AG139</f>
        <v>3949999.31</v>
      </c>
      <c r="H225" s="8" t="s">
        <v>845</v>
      </c>
      <c r="I225" s="6" t="str">
        <f>'[1]V, inciso p) (OP)'!T139</f>
        <v>Bernardo</v>
      </c>
      <c r="J225" s="6" t="str">
        <f>'[1]V, inciso p) (OP)'!U139</f>
        <v>Saenz</v>
      </c>
      <c r="K225" s="6" t="str">
        <f>'[1]V, inciso p) (OP)'!V139</f>
        <v>Barba</v>
      </c>
      <c r="L225" s="8" t="str">
        <f>'[1]V, inciso p) (OP)'!W139</f>
        <v>Grupo Edificador Mayab, S.A. de C.V.</v>
      </c>
      <c r="M225" s="6" t="str">
        <f>'[1]V, inciso p) (OP)'!X139</f>
        <v>GEM070112PX8</v>
      </c>
      <c r="N225" s="9">
        <f>'[1]V, inciso p) (OP)'!AG139</f>
        <v>3949999.31</v>
      </c>
      <c r="O225" s="10" t="s">
        <v>40</v>
      </c>
      <c r="P225" s="10" t="s">
        <v>846</v>
      </c>
      <c r="Q225" s="11">
        <f>N225/6380</f>
        <v>619.12214890282132</v>
      </c>
      <c r="R225" s="10" t="s">
        <v>42</v>
      </c>
      <c r="S225" s="14">
        <v>25633</v>
      </c>
      <c r="T225" s="8" t="s">
        <v>43</v>
      </c>
      <c r="U225" s="6" t="s">
        <v>565</v>
      </c>
      <c r="V225" s="7">
        <f>'[1]V, inciso p) (OP)'!AM139</f>
        <v>42730</v>
      </c>
      <c r="W225" s="7">
        <f>'[1]V, inciso p) (OP)'!AN139</f>
        <v>42820</v>
      </c>
      <c r="X225" s="6" t="s">
        <v>572</v>
      </c>
      <c r="Y225" s="6" t="s">
        <v>573</v>
      </c>
      <c r="Z225" s="6" t="s">
        <v>574</v>
      </c>
      <c r="AA225" s="6" t="s">
        <v>40</v>
      </c>
      <c r="AB225" s="6" t="s">
        <v>40</v>
      </c>
    </row>
    <row r="226" spans="1:28" ht="73.150000000000006" customHeight="1">
      <c r="A226" s="6">
        <v>2016</v>
      </c>
      <c r="B226" s="6" t="s">
        <v>64</v>
      </c>
      <c r="C226" s="8" t="str">
        <f>'[1]V, inciso o) (OP)'!C104</f>
        <v>DOPI-MUN-RM-PROY-AD-227-2016</v>
      </c>
      <c r="D226" s="13">
        <f>'[1]V, inciso o) (OP)'!V104</f>
        <v>42706</v>
      </c>
      <c r="E226" s="8" t="str">
        <f>'[1]V, inciso o) (OP)'!AA104</f>
        <v>Estudios y proyecto ejecutivo para estructuras de regulación hidráulica; Diagnóstico, diseño y proyectos hidráulicos 2016, tercera etapa, de diferentes redes de agua potable y alcantarillado, municipio de Zapopan, Jalisco.</v>
      </c>
      <c r="F226" s="8" t="s">
        <v>184</v>
      </c>
      <c r="G226" s="9">
        <f>'[1]V, inciso o) (OP)'!Y104</f>
        <v>1199639.3999999999</v>
      </c>
      <c r="H226" s="8" t="s">
        <v>583</v>
      </c>
      <c r="I226" s="6" t="str">
        <f>'[1]V, inciso o) (OP)'!M104</f>
        <v>VICTOR MARTIN</v>
      </c>
      <c r="J226" s="6" t="str">
        <f>'[1]V, inciso o) (OP)'!N104</f>
        <v>LOPEZ</v>
      </c>
      <c r="K226" s="6" t="str">
        <f>'[1]V, inciso o) (OP)'!O104</f>
        <v>SANTOS</v>
      </c>
      <c r="L226" s="8" t="str">
        <f>'[1]V, inciso o) (OP)'!P104</f>
        <v>CONSTRUCCIONES CITUS, S.A. DE C.V.</v>
      </c>
      <c r="M226" s="6" t="str">
        <f>'[1]V, inciso o) (OP)'!Q104</f>
        <v>CCI020411HS5</v>
      </c>
      <c r="N226" s="9">
        <f>'[1]V, inciso o) (OP)'!Y104</f>
        <v>1199639.3999999999</v>
      </c>
      <c r="O226" s="10" t="s">
        <v>40</v>
      </c>
      <c r="P226" s="10" t="s">
        <v>847</v>
      </c>
      <c r="Q226" s="11">
        <f>N226</f>
        <v>1199639.3999999999</v>
      </c>
      <c r="R226" s="10" t="s">
        <v>232</v>
      </c>
      <c r="S226" s="14" t="s">
        <v>232</v>
      </c>
      <c r="T226" s="8" t="s">
        <v>43</v>
      </c>
      <c r="U226" s="6" t="s">
        <v>565</v>
      </c>
      <c r="V226" s="7">
        <f>'[1]V, inciso o) (OP)'!AD104</f>
        <v>42709</v>
      </c>
      <c r="W226" s="7">
        <f>'[1]V, inciso o) (OP)'!AE104</f>
        <v>42859</v>
      </c>
      <c r="X226" s="6" t="s">
        <v>848</v>
      </c>
      <c r="Y226" s="6" t="s">
        <v>244</v>
      </c>
      <c r="Z226" s="6" t="s">
        <v>245</v>
      </c>
      <c r="AA226" s="6" t="s">
        <v>40</v>
      </c>
      <c r="AB226" s="6" t="s">
        <v>40</v>
      </c>
    </row>
    <row r="227" spans="1:28" ht="40.5">
      <c r="A227" s="6">
        <v>2016</v>
      </c>
      <c r="B227" s="8" t="str">
        <f>'[1]V, inciso p) (OP)'!B140</f>
        <v>Licitación por Invitación Restringida</v>
      </c>
      <c r="C227" s="8" t="str">
        <f>'[1]V, inciso p) (OP)'!D140</f>
        <v>DOPI-MUN-R33-AP-CI-228-2016</v>
      </c>
      <c r="D227" s="13">
        <f>'[1]V, inciso p) (OP)'!AD140</f>
        <v>42727</v>
      </c>
      <c r="E227" s="8" t="str">
        <f>'[1]V, inciso p) (OP)'!AL140</f>
        <v xml:space="preserve">Perforación y equipamiento de pozo en la localidad de Los Patios, en el municipio de Zapopan, Jalisco. </v>
      </c>
      <c r="F227" s="8" t="s">
        <v>739</v>
      </c>
      <c r="G227" s="9">
        <f>'[1]V, inciso p) (OP)'!AG140</f>
        <v>6196741.5800000001</v>
      </c>
      <c r="H227" s="8" t="str">
        <f>'[1]V, inciso p) (OP)'!AS140</f>
        <v>Localidad Los Patios</v>
      </c>
      <c r="I227" s="6" t="str">
        <f>'[1]V, inciso p) (OP)'!T140</f>
        <v>Karla Mariana</v>
      </c>
      <c r="J227" s="6" t="str">
        <f>'[1]V, inciso p) (OP)'!U140</f>
        <v>Méndez</v>
      </c>
      <c r="K227" s="6" t="str">
        <f>'[1]V, inciso p) (OP)'!V140</f>
        <v>Rodríguez</v>
      </c>
      <c r="L227" s="8" t="str">
        <f>'[1]V, inciso p) (OP)'!W140</f>
        <v>Grupo la Fuente, S.A. de C.V.</v>
      </c>
      <c r="M227" s="6" t="str">
        <f>'[1]V, inciso p) (OP)'!X140</f>
        <v>GFU021009BC1</v>
      </c>
      <c r="N227" s="9">
        <f>'[1]V, inciso p) (OP)'!AG140</f>
        <v>6196741.5800000001</v>
      </c>
      <c r="O227" s="10" t="s">
        <v>40</v>
      </c>
      <c r="P227" s="10" t="s">
        <v>51</v>
      </c>
      <c r="Q227" s="11">
        <f>N227</f>
        <v>6196741.5800000001</v>
      </c>
      <c r="R227" s="10" t="s">
        <v>42</v>
      </c>
      <c r="S227" s="14">
        <v>39</v>
      </c>
      <c r="T227" s="8" t="s">
        <v>43</v>
      </c>
      <c r="U227" s="6" t="s">
        <v>565</v>
      </c>
      <c r="V227" s="7">
        <f>'[1]V, inciso p) (OP)'!AM140</f>
        <v>42730</v>
      </c>
      <c r="W227" s="7">
        <f>'[1]V, inciso p) (OP)'!AN140</f>
        <v>42850</v>
      </c>
      <c r="X227" s="6" t="s">
        <v>723</v>
      </c>
      <c r="Y227" s="6" t="s">
        <v>724</v>
      </c>
      <c r="Z227" s="6" t="s">
        <v>145</v>
      </c>
      <c r="AA227" s="6" t="s">
        <v>40</v>
      </c>
      <c r="AB227" s="6" t="s">
        <v>40</v>
      </c>
    </row>
    <row r="228" spans="1:28" ht="54">
      <c r="A228" s="6">
        <v>2016</v>
      </c>
      <c r="B228" s="8" t="str">
        <f>'[1]V, inciso p) (OP)'!B141</f>
        <v>Licitación por Invitación Restringida</v>
      </c>
      <c r="C228" s="8" t="str">
        <f>'[1]V, inciso p) (OP)'!D141</f>
        <v>DOPI-MUN-R33-AP-CI-229-2016</v>
      </c>
      <c r="D228" s="13">
        <f>'[1]V, inciso p) (OP)'!AD141</f>
        <v>42727</v>
      </c>
      <c r="E228" s="8" t="str">
        <f>'[1]V, inciso p) (OP)'!AL141</f>
        <v>Construcción de línea de conducción de agua potable de 3" de tubería galvanizada, en la localidad San José, en el municipio de Zapopan, Jalisco.</v>
      </c>
      <c r="F228" s="8" t="s">
        <v>739</v>
      </c>
      <c r="G228" s="9">
        <f>'[1]V, inciso p) (OP)'!AG141</f>
        <v>3453426.13</v>
      </c>
      <c r="H228" s="8" t="str">
        <f>'[1]V, inciso p) (OP)'!AS141</f>
        <v>Localidad San José</v>
      </c>
      <c r="I228" s="6" t="str">
        <f>'[1]V, inciso p) (OP)'!T141</f>
        <v>José Antonio</v>
      </c>
      <c r="J228" s="6" t="str">
        <f>'[1]V, inciso p) (OP)'!U141</f>
        <v>Álvarez</v>
      </c>
      <c r="K228" s="6" t="str">
        <f>'[1]V, inciso p) (OP)'!V141</f>
        <v>García</v>
      </c>
      <c r="L228" s="8" t="str">
        <f>'[1]V, inciso p) (OP)'!W141</f>
        <v>Urcoma 1970, S.A. de C.V.</v>
      </c>
      <c r="M228" s="6" t="str">
        <f>'[1]V, inciso p) (OP)'!X141</f>
        <v>UMN160125869</v>
      </c>
      <c r="N228" s="9">
        <f>'[1]V, inciso p) (OP)'!AG141</f>
        <v>3453426.13</v>
      </c>
      <c r="O228" s="10" t="s">
        <v>40</v>
      </c>
      <c r="P228" s="10" t="s">
        <v>849</v>
      </c>
      <c r="Q228" s="11">
        <f>N228/3200</f>
        <v>1079.1956656249999</v>
      </c>
      <c r="R228" s="10" t="s">
        <v>42</v>
      </c>
      <c r="S228" s="14">
        <v>71</v>
      </c>
      <c r="T228" s="8" t="s">
        <v>43</v>
      </c>
      <c r="U228" s="6" t="s">
        <v>565</v>
      </c>
      <c r="V228" s="7">
        <f>'[1]V, inciso p) (OP)'!AM141</f>
        <v>42730</v>
      </c>
      <c r="W228" s="7">
        <f>'[1]V, inciso p) (OP)'!AN141</f>
        <v>42850</v>
      </c>
      <c r="X228" s="6" t="s">
        <v>723</v>
      </c>
      <c r="Y228" s="6" t="s">
        <v>724</v>
      </c>
      <c r="Z228" s="6" t="s">
        <v>145</v>
      </c>
      <c r="AA228" s="6" t="s">
        <v>40</v>
      </c>
      <c r="AB228" s="6" t="s">
        <v>40</v>
      </c>
    </row>
    <row r="229" spans="1:28" ht="54">
      <c r="A229" s="6">
        <v>2016</v>
      </c>
      <c r="B229" s="8" t="str">
        <f>'[1]V, inciso p) (OP)'!B142</f>
        <v>Licitación por Invitación Restringida</v>
      </c>
      <c r="C229" s="8" t="str">
        <f>'[1]V, inciso p) (OP)'!D142</f>
        <v>DOPI-MUN-R33-AP-CI-230-2016</v>
      </c>
      <c r="D229" s="13">
        <f>'[1]V, inciso p) (OP)'!AD142</f>
        <v>42727</v>
      </c>
      <c r="E229" s="8" t="str">
        <f>'[1]V, inciso p) (OP)'!AL142</f>
        <v>Construcción de línea de agua potable en la Carretera a San Esteban de Carretera a Saltillo a calle Norte, en la localidad de San Isidro, en el municipio de Zapopan, Jalisco.</v>
      </c>
      <c r="F229" s="8" t="s">
        <v>739</v>
      </c>
      <c r="G229" s="9">
        <f>'[1]V, inciso p) (OP)'!AG142</f>
        <v>1996402.43</v>
      </c>
      <c r="H229" s="8" t="str">
        <f>'[1]V, inciso p) (OP)'!AS142</f>
        <v>Localidad San Isidro</v>
      </c>
      <c r="I229" s="6" t="str">
        <f>'[1]V, inciso p) (OP)'!T142</f>
        <v>Ernesto</v>
      </c>
      <c r="J229" s="6" t="str">
        <f>'[1]V, inciso p) (OP)'!U142</f>
        <v>Zamora</v>
      </c>
      <c r="K229" s="6" t="str">
        <f>'[1]V, inciso p) (OP)'!V142</f>
        <v>Corona</v>
      </c>
      <c r="L229" s="8" t="str">
        <f>'[1]V, inciso p) (OP)'!W142</f>
        <v>Keops Ingenieria y Construccion, S.A. de C.V.</v>
      </c>
      <c r="M229" s="6" t="str">
        <f>'[1]V, inciso p) (OP)'!X142</f>
        <v>KIC040617JIA</v>
      </c>
      <c r="N229" s="9">
        <f>'[1]V, inciso p) (OP)'!AG142</f>
        <v>1996402.43</v>
      </c>
      <c r="O229" s="10" t="s">
        <v>40</v>
      </c>
      <c r="P229" s="10" t="s">
        <v>850</v>
      </c>
      <c r="Q229" s="11">
        <f>N229/733</f>
        <v>2723.604952251023</v>
      </c>
      <c r="R229" s="10" t="s">
        <v>42</v>
      </c>
      <c r="S229" s="14">
        <v>1446</v>
      </c>
      <c r="T229" s="8" t="s">
        <v>43</v>
      </c>
      <c r="U229" s="6" t="s">
        <v>565</v>
      </c>
      <c r="V229" s="7">
        <f>'[1]V, inciso p) (OP)'!AM142</f>
        <v>42730</v>
      </c>
      <c r="W229" s="7">
        <f>'[1]V, inciso p) (OP)'!AN142</f>
        <v>42820</v>
      </c>
      <c r="X229" s="6" t="s">
        <v>699</v>
      </c>
      <c r="Y229" s="6" t="s">
        <v>513</v>
      </c>
      <c r="Z229" s="6" t="s">
        <v>280</v>
      </c>
      <c r="AA229" s="6" t="s">
        <v>40</v>
      </c>
      <c r="AB229" s="6" t="s">
        <v>40</v>
      </c>
    </row>
    <row r="230" spans="1:28" ht="40.5">
      <c r="A230" s="6">
        <v>2016</v>
      </c>
      <c r="B230" s="8" t="str">
        <f>'[1]V, inciso p) (OP)'!B143</f>
        <v>Licitación por Invitación Restringida</v>
      </c>
      <c r="C230" s="8" t="str">
        <f>'[1]V, inciso p) (OP)'!D143</f>
        <v>DOPI-MUN-R33-AP-CI-231-2016</v>
      </c>
      <c r="D230" s="13">
        <f>'[1]V, inciso p) (OP)'!AD143</f>
        <v>42727</v>
      </c>
      <c r="E230" s="8" t="str">
        <f>'[1]V, inciso p) (OP)'!AL143</f>
        <v>Construcción de la primera etapa de línea de agua potable en la colonia Colinas del Rio, en el municipio de Zapopan, Jalisco.</v>
      </c>
      <c r="F230" s="8" t="s">
        <v>739</v>
      </c>
      <c r="G230" s="9">
        <f>'[1]V, inciso p) (OP)'!AG143</f>
        <v>3589467.88</v>
      </c>
      <c r="H230" s="8" t="str">
        <f>'[1]V, inciso p) (OP)'!AS143</f>
        <v>Colonia Colinas del Rio</v>
      </c>
      <c r="I230" s="6" t="str">
        <f>'[1]V, inciso p) (OP)'!T143</f>
        <v>Adalberto</v>
      </c>
      <c r="J230" s="6" t="str">
        <f>'[1]V, inciso p) (OP)'!U143</f>
        <v>Medina</v>
      </c>
      <c r="K230" s="6" t="str">
        <f>'[1]V, inciso p) (OP)'!V143</f>
        <v>Morales</v>
      </c>
      <c r="L230" s="8" t="str">
        <f>'[1]V, inciso p) (OP)'!W143</f>
        <v>Urdem, S.A. de C.V.</v>
      </c>
      <c r="M230" s="6" t="str">
        <f>'[1]V, inciso p) (OP)'!X143</f>
        <v>URD130830U21</v>
      </c>
      <c r="N230" s="9">
        <f>'[1]V, inciso p) (OP)'!AG143</f>
        <v>3589467.88</v>
      </c>
      <c r="O230" s="10" t="s">
        <v>40</v>
      </c>
      <c r="P230" s="10" t="s">
        <v>851</v>
      </c>
      <c r="Q230" s="11">
        <f>N230/2918</f>
        <v>1230.1123646333103</v>
      </c>
      <c r="R230" s="10" t="s">
        <v>42</v>
      </c>
      <c r="S230" s="14">
        <v>125</v>
      </c>
      <c r="T230" s="8" t="s">
        <v>43</v>
      </c>
      <c r="U230" s="6" t="s">
        <v>565</v>
      </c>
      <c r="V230" s="7">
        <f>'[1]V, inciso p) (OP)'!AM143</f>
        <v>42730</v>
      </c>
      <c r="W230" s="7">
        <f>'[1]V, inciso p) (OP)'!AN143</f>
        <v>42850</v>
      </c>
      <c r="X230" s="6" t="s">
        <v>699</v>
      </c>
      <c r="Y230" s="6" t="s">
        <v>513</v>
      </c>
      <c r="Z230" s="6" t="s">
        <v>280</v>
      </c>
      <c r="AA230" s="6" t="s">
        <v>40</v>
      </c>
      <c r="AB230" s="6" t="s">
        <v>40</v>
      </c>
    </row>
    <row r="231" spans="1:28" ht="67.5">
      <c r="A231" s="6">
        <v>2016</v>
      </c>
      <c r="B231" s="8" t="str">
        <f>'[1]V, inciso p) (OP)'!B144</f>
        <v>Licitación por Invitación Restringida</v>
      </c>
      <c r="C231" s="8" t="str">
        <f>'[1]V, inciso p) (OP)'!D144</f>
        <v>DOPI-MUN-R33-PAV-CI-232-2016</v>
      </c>
      <c r="D231" s="13">
        <f>'[1]V, inciso p) (OP)'!AD144</f>
        <v>42727</v>
      </c>
      <c r="E231" s="8" t="str">
        <f>'[1]V, inciso p) (OP)'!AL144</f>
        <v>Pavimentación con concreto hidráulico, línea de agua potable, drenaje sanitario y alumbrado público, en la calle Abel Salgado, de Carretera a Saltillo a calle Ojo de Agua, en la colonia Agua Fría, municipio de Zapopan Jalisco, frente 1.</v>
      </c>
      <c r="F231" s="8" t="s">
        <v>739</v>
      </c>
      <c r="G231" s="9">
        <f>'[1]V, inciso p) (OP)'!AG144</f>
        <v>3867999.72</v>
      </c>
      <c r="H231" s="8" t="str">
        <f>'[1]V, inciso p) (OP)'!AS144</f>
        <v>Colonia Agua Fria</v>
      </c>
      <c r="I231" s="6" t="str">
        <f>'[1]V, inciso p) (OP)'!T144</f>
        <v>Edwin</v>
      </c>
      <c r="J231" s="6" t="str">
        <f>'[1]V, inciso p) (OP)'!U144</f>
        <v>Aguiar</v>
      </c>
      <c r="K231" s="6" t="str">
        <f>'[1]V, inciso p) (OP)'!V144</f>
        <v>Escatel</v>
      </c>
      <c r="L231" s="8" t="str">
        <f>'[1]V, inciso p) (OP)'!W144</f>
        <v>Manjarrez Urbanizaciones, S.A. de C.V.</v>
      </c>
      <c r="M231" s="6" t="str">
        <f>'[1]V, inciso p) (OP)'!X144</f>
        <v>MUR090325P33</v>
      </c>
      <c r="N231" s="9">
        <f>'[1]V, inciso p) (OP)'!AG144</f>
        <v>3867999.72</v>
      </c>
      <c r="O231" s="10" t="s">
        <v>40</v>
      </c>
      <c r="P231" s="10" t="s">
        <v>852</v>
      </c>
      <c r="Q231" s="11">
        <f>N231/1921.33</f>
        <v>2013.1886349559943</v>
      </c>
      <c r="R231" s="10" t="s">
        <v>42</v>
      </c>
      <c r="S231" s="14">
        <v>104</v>
      </c>
      <c r="T231" s="8" t="s">
        <v>43</v>
      </c>
      <c r="U231" s="6" t="s">
        <v>565</v>
      </c>
      <c r="V231" s="7">
        <f>'[1]V, inciso p) (OP)'!AM144</f>
        <v>42730</v>
      </c>
      <c r="W231" s="7">
        <f>'[1]V, inciso p) (OP)'!AN144</f>
        <v>42880</v>
      </c>
      <c r="X231" s="6" t="s">
        <v>699</v>
      </c>
      <c r="Y231" s="6" t="s">
        <v>513</v>
      </c>
      <c r="Z231" s="6" t="s">
        <v>280</v>
      </c>
      <c r="AA231" s="6" t="s">
        <v>40</v>
      </c>
      <c r="AB231" s="6" t="s">
        <v>40</v>
      </c>
    </row>
    <row r="232" spans="1:28" ht="67.5">
      <c r="A232" s="6">
        <v>2016</v>
      </c>
      <c r="B232" s="8" t="str">
        <f>'[1]V, inciso p) (OP)'!B145</f>
        <v>Licitación por Invitación Restringida</v>
      </c>
      <c r="C232" s="8" t="str">
        <f>'[1]V, inciso p) (OP)'!D145</f>
        <v>DOPI-MUN-R33-PAV-CI-233-2016</v>
      </c>
      <c r="D232" s="13">
        <f>'[1]V, inciso p) (OP)'!AD145</f>
        <v>42727</v>
      </c>
      <c r="E232" s="8" t="str">
        <f>'[1]V, inciso p) (OP)'!AL145</f>
        <v>Pavimentación con concreto hidráulico, línea de agua potable, drenaje sanitario y alumbrado público,  en la calle Abel Salgado, de Carretera a Saltillo a calle Ojo de Agua, en la colonia Agua Fría, municipio de Zapopan Jalisco, frente 2.</v>
      </c>
      <c r="F232" s="8" t="s">
        <v>739</v>
      </c>
      <c r="G232" s="9">
        <f>'[1]V, inciso p) (OP)'!AG145</f>
        <v>3638106.52</v>
      </c>
      <c r="H232" s="8" t="str">
        <f>'[1]V, inciso p) (OP)'!AS145</f>
        <v>Colonia Agua Fria</v>
      </c>
      <c r="I232" s="6" t="str">
        <f>'[1]V, inciso p) (OP)'!T145</f>
        <v>Clarissa Gabriela</v>
      </c>
      <c r="J232" s="6" t="str">
        <f>'[1]V, inciso p) (OP)'!U145</f>
        <v>Valdez</v>
      </c>
      <c r="K232" s="6" t="str">
        <f>'[1]V, inciso p) (OP)'!V145</f>
        <v>Manjarrez</v>
      </c>
      <c r="L232" s="8" t="str">
        <f>'[1]V, inciso p) (OP)'!W145</f>
        <v>Tekton Grupo Empresarial, S.A. de C.V.</v>
      </c>
      <c r="M232" s="6" t="str">
        <f>'[1]V, inciso p) (OP)'!X145</f>
        <v>TGE101215JI6</v>
      </c>
      <c r="N232" s="9">
        <f>'[1]V, inciso p) (OP)'!AG145</f>
        <v>3638106.52</v>
      </c>
      <c r="O232" s="10" t="s">
        <v>40</v>
      </c>
      <c r="P232" s="10" t="s">
        <v>853</v>
      </c>
      <c r="Q232" s="11">
        <f>N232/1754.05</f>
        <v>2074.1179099797614</v>
      </c>
      <c r="R232" s="10" t="s">
        <v>42</v>
      </c>
      <c r="S232" s="14">
        <v>104</v>
      </c>
      <c r="T232" s="8" t="s">
        <v>43</v>
      </c>
      <c r="U232" s="6" t="s">
        <v>565</v>
      </c>
      <c r="V232" s="7">
        <f>'[1]V, inciso p) (OP)'!AM145</f>
        <v>42730</v>
      </c>
      <c r="W232" s="7">
        <f>'[1]V, inciso p) (OP)'!AN145</f>
        <v>42880</v>
      </c>
      <c r="X232" s="6" t="s">
        <v>699</v>
      </c>
      <c r="Y232" s="6" t="s">
        <v>513</v>
      </c>
      <c r="Z232" s="6" t="s">
        <v>280</v>
      </c>
      <c r="AA232" s="6" t="s">
        <v>40</v>
      </c>
      <c r="AB232" s="6" t="s">
        <v>40</v>
      </c>
    </row>
    <row r="233" spans="1:28" ht="40.5">
      <c r="A233" s="6">
        <v>2016</v>
      </c>
      <c r="B233" s="6" t="s">
        <v>64</v>
      </c>
      <c r="C233" s="8" t="str">
        <f>'[1]V, inciso o) (OP)'!C105</f>
        <v>DOPI-MUN-RM-MOV-AD-234-2016</v>
      </c>
      <c r="D233" s="13">
        <f>'[1]V, inciso o) (OP)'!V105</f>
        <v>42674</v>
      </c>
      <c r="E233" s="8" t="str">
        <f>'[1]V, inciso o) (OP)'!AA105</f>
        <v>Señalización vertical y horizontal en diferentes obras del municipio de Zapopan, Jalisco, frente 2.</v>
      </c>
      <c r="F233" s="8" t="s">
        <v>184</v>
      </c>
      <c r="G233" s="9">
        <f>'[1]V, inciso o) (OP)'!Y105</f>
        <v>1342102.7</v>
      </c>
      <c r="H233" s="8" t="s">
        <v>225</v>
      </c>
      <c r="I233" s="6" t="str">
        <f>'[1]V, inciso o) (OP)'!M105</f>
        <v xml:space="preserve">HUGO RAFAEL </v>
      </c>
      <c r="J233" s="6" t="str">
        <f>'[1]V, inciso o) (OP)'!N105</f>
        <v>CABRERA</v>
      </c>
      <c r="K233" s="6" t="str">
        <f>'[1]V, inciso o) (OP)'!O105</f>
        <v>ORTINEZ</v>
      </c>
      <c r="L233" s="8" t="str">
        <f>'[1]V, inciso o) (OP)'!P105</f>
        <v>HUGO RAFAEL CABRERA ORTINEZ</v>
      </c>
      <c r="M233" s="6" t="str">
        <f>'[1]V, inciso o) (OP)'!Q105</f>
        <v>CAOH671024T38</v>
      </c>
      <c r="N233" s="9">
        <f>'[1]V, inciso o) (OP)'!Y105</f>
        <v>1342102.7</v>
      </c>
      <c r="O233" s="10" t="s">
        <v>40</v>
      </c>
      <c r="P233" s="10" t="s">
        <v>854</v>
      </c>
      <c r="Q233" s="11">
        <f>N233</f>
        <v>1342102.7</v>
      </c>
      <c r="R233" s="10" t="s">
        <v>42</v>
      </c>
      <c r="S233" s="14">
        <v>265840</v>
      </c>
      <c r="T233" s="8" t="s">
        <v>43</v>
      </c>
      <c r="U233" s="6" t="s">
        <v>44</v>
      </c>
      <c r="V233" s="7">
        <f>'[1]V, inciso o) (OP)'!AD105</f>
        <v>42675</v>
      </c>
      <c r="W233" s="7">
        <f>'[1]V, inciso o) (OP)'!AE105</f>
        <v>42735</v>
      </c>
      <c r="X233" s="6" t="s">
        <v>591</v>
      </c>
      <c r="Y233" s="6" t="s">
        <v>46</v>
      </c>
      <c r="Z233" s="6" t="s">
        <v>47</v>
      </c>
      <c r="AA233" s="6" t="s">
        <v>40</v>
      </c>
      <c r="AB233" s="6" t="s">
        <v>40</v>
      </c>
    </row>
    <row r="234" spans="1:28" ht="40.5">
      <c r="A234" s="6">
        <v>2016</v>
      </c>
      <c r="B234" s="6" t="s">
        <v>64</v>
      </c>
      <c r="C234" s="8" t="str">
        <f>'[1]V, inciso o) (OP)'!C106</f>
        <v>DOPI-MUN-RM-IM-AD-235-2016</v>
      </c>
      <c r="D234" s="13">
        <f>'[1]V, inciso o) (OP)'!V106</f>
        <v>42664</v>
      </c>
      <c r="E234" s="8" t="str">
        <f>'[1]V, inciso o) (OP)'!AA106</f>
        <v>Construcción de caseta de vigilancia en el parque Metropolitano, municipio de Zapopan, Jalisco</v>
      </c>
      <c r="F234" s="8" t="s">
        <v>184</v>
      </c>
      <c r="G234" s="9">
        <f>'[1]V, inciso o) (OP)'!Y106</f>
        <v>915870.14</v>
      </c>
      <c r="H234" s="8" t="s">
        <v>855</v>
      </c>
      <c r="I234" s="6" t="str">
        <f>'[1]V, inciso o) (OP)'!M106</f>
        <v>HIRAM</v>
      </c>
      <c r="J234" s="6" t="str">
        <f>'[1]V, inciso o) (OP)'!N106</f>
        <v>SANCHEZ</v>
      </c>
      <c r="K234" s="6" t="str">
        <f>'[1]V, inciso o) (OP)'!O106</f>
        <v>LUGO</v>
      </c>
      <c r="L234" s="8" t="str">
        <f>'[1]V, inciso o) (OP)'!P106</f>
        <v>CONSTRUSANLU URBANIZADORA, S.A. DE C.V.</v>
      </c>
      <c r="M234" s="6" t="str">
        <f>'[1]V, inciso o) (OP)'!Q106</f>
        <v>CUR130430U59</v>
      </c>
      <c r="N234" s="9">
        <f>'[1]V, inciso o) (OP)'!Y106</f>
        <v>915870.14</v>
      </c>
      <c r="O234" s="10" t="s">
        <v>40</v>
      </c>
      <c r="P234" s="10" t="s">
        <v>856</v>
      </c>
      <c r="Q234" s="11">
        <f>N234/96</f>
        <v>9540.3139583333341</v>
      </c>
      <c r="R234" s="10" t="s">
        <v>42</v>
      </c>
      <c r="S234" s="14">
        <v>25830</v>
      </c>
      <c r="T234" s="8" t="s">
        <v>43</v>
      </c>
      <c r="U234" s="6" t="s">
        <v>44</v>
      </c>
      <c r="V234" s="7">
        <f>'[1]V, inciso o) (OP)'!AD106</f>
        <v>42667</v>
      </c>
      <c r="W234" s="7">
        <f>'[1]V, inciso o) (OP)'!AE106</f>
        <v>42704</v>
      </c>
      <c r="X234" s="6" t="s">
        <v>701</v>
      </c>
      <c r="Y234" s="6" t="s">
        <v>524</v>
      </c>
      <c r="Z234" s="6" t="s">
        <v>254</v>
      </c>
      <c r="AA234" s="6" t="s">
        <v>40</v>
      </c>
      <c r="AB234" s="6" t="s">
        <v>40</v>
      </c>
    </row>
    <row r="235" spans="1:28" ht="40.5">
      <c r="A235" s="6">
        <v>2016</v>
      </c>
      <c r="B235" s="6" t="s">
        <v>64</v>
      </c>
      <c r="C235" s="8" t="str">
        <f>'[1]V, inciso o) (OP)'!C107</f>
        <v>DOPI-MUN-RM-PROY-AD-236-2016</v>
      </c>
      <c r="D235" s="13">
        <f>'[1]V, inciso o) (OP)'!V107</f>
        <v>42664</v>
      </c>
      <c r="E235" s="8" t="str">
        <f>'[1]V, inciso o) (OP)'!AA107</f>
        <v>Estudios de impacto ambiental, diagnostico de impacto vial y estudio de impacto urbano, frente 1, municipio de Zapopan, Jalisco</v>
      </c>
      <c r="F235" s="8" t="s">
        <v>184</v>
      </c>
      <c r="G235" s="9">
        <f>'[1]V, inciso o) (OP)'!Y107</f>
        <v>556069.19999999995</v>
      </c>
      <c r="H235" s="8" t="s">
        <v>225</v>
      </c>
      <c r="I235" s="6" t="str">
        <f>'[1]V, inciso o) (OP)'!M107</f>
        <v>JUAN RAMON</v>
      </c>
      <c r="J235" s="6" t="str">
        <f>'[1]V, inciso o) (OP)'!N107</f>
        <v>RAMIREZ</v>
      </c>
      <c r="K235" s="6" t="str">
        <f>'[1]V, inciso o) (OP)'!O107</f>
        <v>ALATORRE</v>
      </c>
      <c r="L235" s="8" t="str">
        <f>'[1]V, inciso o) (OP)'!P107</f>
        <v>QUERCUS GEOSOLUCIONES, S.A. DE C.V.</v>
      </c>
      <c r="M235" s="6" t="str">
        <f>'[1]V, inciso o) (OP)'!Q107</f>
        <v>QGE080213988</v>
      </c>
      <c r="N235" s="9">
        <f>'[1]V, inciso o) (OP)'!Y107</f>
        <v>556069.19999999995</v>
      </c>
      <c r="O235" s="10" t="s">
        <v>40</v>
      </c>
      <c r="P235" s="10" t="s">
        <v>847</v>
      </c>
      <c r="Q235" s="11">
        <f>N235</f>
        <v>556069.19999999995</v>
      </c>
      <c r="R235" s="10" t="s">
        <v>42</v>
      </c>
      <c r="S235" s="14" t="s">
        <v>232</v>
      </c>
      <c r="T235" s="8" t="s">
        <v>231</v>
      </c>
      <c r="U235" s="6" t="s">
        <v>44</v>
      </c>
      <c r="V235" s="7">
        <f>'[1]V, inciso o) (OP)'!AD107</f>
        <v>42667</v>
      </c>
      <c r="W235" s="7">
        <f>'[1]V, inciso o) (OP)'!AE107</f>
        <v>42735</v>
      </c>
      <c r="X235" s="6" t="s">
        <v>857</v>
      </c>
      <c r="Y235" s="6" t="s">
        <v>840</v>
      </c>
      <c r="Z235" s="6" t="s">
        <v>235</v>
      </c>
      <c r="AA235" s="6" t="s">
        <v>40</v>
      </c>
      <c r="AB235" s="6" t="s">
        <v>40</v>
      </c>
    </row>
    <row r="236" spans="1:28" ht="54">
      <c r="A236" s="6">
        <v>2016</v>
      </c>
      <c r="B236" s="6" t="s">
        <v>64</v>
      </c>
      <c r="C236" s="8" t="str">
        <f>'[1]V, inciso o) (OP)'!C108</f>
        <v>DOPI-MUN-RM-PAV-AD-237-2016</v>
      </c>
      <c r="D236" s="13">
        <f>'[1]V, inciso o) (OP)'!V108</f>
        <v>42664</v>
      </c>
      <c r="E236" s="8" t="str">
        <f>'[1]V, inciso o) (OP)'!AA108</f>
        <v>Construcción de pavimento de concreto hidráulico, banquetas, adecuaciones de la red sanitaria e hidráulica en la Av. D, colonia El Tigre II, municipio de Zapopan, Jalisco, tramo 1.</v>
      </c>
      <c r="F236" s="8" t="s">
        <v>184</v>
      </c>
      <c r="G236" s="9">
        <f>'[1]V, inciso o) (OP)'!Y108</f>
        <v>1480216.87</v>
      </c>
      <c r="H236" s="8" t="s">
        <v>858</v>
      </c>
      <c r="I236" s="6" t="str">
        <f>'[1]V, inciso o) (OP)'!M108</f>
        <v>JOSE SERGIO</v>
      </c>
      <c r="J236" s="6" t="str">
        <f>'[1]V, inciso o) (OP)'!N108</f>
        <v>CARMONA</v>
      </c>
      <c r="K236" s="6" t="str">
        <f>'[1]V, inciso o) (OP)'!O108</f>
        <v>RUVALCABA</v>
      </c>
      <c r="L236" s="8" t="str">
        <f>'[1]V, inciso o) (OP)'!P108</f>
        <v>QUANTUM CONSTRUCTORES Y PROYECTOS, S.A. DE C.V.</v>
      </c>
      <c r="M236" s="6" t="str">
        <f>'[1]V, inciso o) (OP)'!Q108</f>
        <v>QCP1307172S6</v>
      </c>
      <c r="N236" s="9">
        <f>'[1]V, inciso o) (OP)'!Y108</f>
        <v>1480216.87</v>
      </c>
      <c r="O236" s="10" t="s">
        <v>40</v>
      </c>
      <c r="P236" s="10" t="s">
        <v>859</v>
      </c>
      <c r="Q236" s="11">
        <f>N236/796</f>
        <v>1859.5689321608043</v>
      </c>
      <c r="R236" s="10" t="s">
        <v>42</v>
      </c>
      <c r="S236" s="14">
        <v>365</v>
      </c>
      <c r="T236" s="8" t="s">
        <v>43</v>
      </c>
      <c r="U236" s="6" t="s">
        <v>44</v>
      </c>
      <c r="V236" s="7">
        <f>'[1]V, inciso o) (OP)'!AD108</f>
        <v>42667</v>
      </c>
      <c r="W236" s="7">
        <f>'[1]V, inciso o) (OP)'!AE108</f>
        <v>42719</v>
      </c>
      <c r="X236" s="6" t="s">
        <v>591</v>
      </c>
      <c r="Y236" s="6" t="s">
        <v>46</v>
      </c>
      <c r="Z236" s="6" t="s">
        <v>47</v>
      </c>
      <c r="AA236" s="6" t="s">
        <v>40</v>
      </c>
      <c r="AB236" s="6" t="s">
        <v>40</v>
      </c>
    </row>
    <row r="237" spans="1:28" ht="67.5">
      <c r="A237" s="6">
        <v>2016</v>
      </c>
      <c r="B237" s="8" t="str">
        <f>'[1]V, inciso p) (OP)'!B146</f>
        <v>Licitación por Invitación Restringida</v>
      </c>
      <c r="C237" s="8" t="str">
        <f>'[1]V, inciso p) (OP)'!D146</f>
        <v>DOPI-MUN-R33-PAV-CI-238-2016</v>
      </c>
      <c r="D237" s="13">
        <f>'[1]V, inciso p) (OP)'!AD146</f>
        <v>42727</v>
      </c>
      <c r="E237" s="8" t="str">
        <f>'[1]V, inciso p) (OP)'!AL146</f>
        <v>Pavimentación con empedrado zampeado en la calle Mármol, de calle Cantera al arroyo y calle Obsidiana, de calle Opalo a calle Coral, en la colonia Pedregal de Zapopan (Loma el Pedregal), en Zapopan, Jalisco</v>
      </c>
      <c r="F237" s="8" t="s">
        <v>739</v>
      </c>
      <c r="G237" s="9">
        <f>'[1]V, inciso p) (OP)'!AG146</f>
        <v>2216780.09</v>
      </c>
      <c r="H237" s="8" t="str">
        <f>'[1]V, inciso p) (OP)'!AS146</f>
        <v>Colonia Loma el Pedregal</v>
      </c>
      <c r="I237" s="6" t="str">
        <f>'[1]V, inciso p) (OP)'!T146</f>
        <v>Hugo Armando</v>
      </c>
      <c r="J237" s="6" t="str">
        <f>'[1]V, inciso p) (OP)'!U146</f>
        <v>Prieto</v>
      </c>
      <c r="K237" s="6" t="str">
        <f>'[1]V, inciso p) (OP)'!V146</f>
        <v>Jiménez</v>
      </c>
      <c r="L237" s="8" t="str">
        <f>'[1]V, inciso p) (OP)'!W146</f>
        <v>Constructora Rural del Pais, S.A. de C.V.</v>
      </c>
      <c r="M237" s="6" t="str">
        <f>'[1]V, inciso p) (OP)'!X146</f>
        <v>CRP870708I62</v>
      </c>
      <c r="N237" s="9">
        <f>'[1]V, inciso p) (OP)'!AG146</f>
        <v>2216780.09</v>
      </c>
      <c r="O237" s="10" t="s">
        <v>40</v>
      </c>
      <c r="P237" s="10" t="s">
        <v>860</v>
      </c>
      <c r="Q237" s="11">
        <f>N237/1502.75</f>
        <v>1475.148953585094</v>
      </c>
      <c r="R237" s="10" t="s">
        <v>42</v>
      </c>
      <c r="S237" s="14">
        <v>202</v>
      </c>
      <c r="T237" s="8" t="s">
        <v>43</v>
      </c>
      <c r="U237" s="6" t="s">
        <v>565</v>
      </c>
      <c r="V237" s="7">
        <f>'[1]V, inciso p) (OP)'!AM146</f>
        <v>42730</v>
      </c>
      <c r="W237" s="7">
        <f>'[1]V, inciso p) (OP)'!AN146</f>
        <v>42880</v>
      </c>
      <c r="X237" s="6" t="s">
        <v>591</v>
      </c>
      <c r="Y237" s="6" t="s">
        <v>861</v>
      </c>
      <c r="Z237" s="6" t="s">
        <v>47</v>
      </c>
      <c r="AA237" s="6" t="s">
        <v>40</v>
      </c>
      <c r="AB237" s="6" t="s">
        <v>40</v>
      </c>
    </row>
    <row r="238" spans="1:28" s="1" customFormat="1" ht="67.5">
      <c r="A238" s="6">
        <v>2016</v>
      </c>
      <c r="B238" s="10" t="s">
        <v>64</v>
      </c>
      <c r="C238" s="16" t="str">
        <f>'[1]V, inciso o) (OP)'!C109</f>
        <v>DOPI-MUN-RM-IE-AD-239-2016</v>
      </c>
      <c r="D238" s="13">
        <f>'[1]V, inciso o) (OP)'!V109</f>
        <v>42657</v>
      </c>
      <c r="E238" s="16" t="str">
        <f>'[1]V, inciso o) (OP)'!AA109</f>
        <v>Suministro y colocación de estructuras de protección de rayos ultravioleta en el Jardín de Niños Maria Trinidad Martínez Yañez, clave CT14DJN1601J, colonia Villas Perisur, municipio de Zapopan, Jalisco</v>
      </c>
      <c r="F238" s="8" t="s">
        <v>184</v>
      </c>
      <c r="G238" s="11">
        <f>'[1]V, inciso o) (OP)'!Y109</f>
        <v>315620.47999999998</v>
      </c>
      <c r="H238" s="16" t="s">
        <v>862</v>
      </c>
      <c r="I238" s="6" t="str">
        <f>'[1]V, inciso o) (OP)'!G109</f>
        <v xml:space="preserve">GUILLERMO ALBERTO </v>
      </c>
      <c r="J238" s="6" t="str">
        <f>'[1]V, inciso o) (OP)'!H109</f>
        <v>RODRIGUEZ</v>
      </c>
      <c r="K238" s="6" t="str">
        <f>'[1]V, inciso o) (OP)'!I109</f>
        <v>ALLENDE</v>
      </c>
      <c r="L238" s="8" t="str">
        <f>'[1]V, inciso o) (OP)'!J109</f>
        <v>GRUPO CONSTRUCTOR MR DE JALISCO S.A. DE C.V.</v>
      </c>
      <c r="M238" s="6" t="str">
        <f>'[1]V, inciso o) (OP)'!K109</f>
        <v>GCM121112J86</v>
      </c>
      <c r="N238" s="11">
        <f>G238</f>
        <v>315620.47999999998</v>
      </c>
      <c r="O238" s="10" t="s">
        <v>40</v>
      </c>
      <c r="P238" s="10" t="s">
        <v>863</v>
      </c>
      <c r="Q238" s="11">
        <f>N238/263</f>
        <v>1200.0778707224333</v>
      </c>
      <c r="R238" s="10" t="s">
        <v>42</v>
      </c>
      <c r="S238" s="14">
        <v>386</v>
      </c>
      <c r="T238" s="8" t="s">
        <v>43</v>
      </c>
      <c r="U238" s="6" t="s">
        <v>565</v>
      </c>
      <c r="V238" s="13">
        <f>'[1]V, inciso o) (OP)'!AD109</f>
        <v>42660</v>
      </c>
      <c r="W238" s="13">
        <f>'[1]V, inciso o) (OP)'!AE109</f>
        <v>42704</v>
      </c>
      <c r="X238" s="10" t="s">
        <v>671</v>
      </c>
      <c r="Y238" s="10" t="s">
        <v>132</v>
      </c>
      <c r="Z238" s="10" t="s">
        <v>864</v>
      </c>
      <c r="AA238" s="6" t="s">
        <v>40</v>
      </c>
      <c r="AB238" s="6" t="s">
        <v>40</v>
      </c>
    </row>
    <row r="239" spans="1:28" s="1" customFormat="1" ht="40.5">
      <c r="A239" s="6">
        <v>2016</v>
      </c>
      <c r="B239" s="10" t="s">
        <v>64</v>
      </c>
      <c r="C239" s="16" t="str">
        <f>'[1]V, inciso o) (OP)'!C110</f>
        <v>DOPI-MUN-RM-IU-AD-240-2016</v>
      </c>
      <c r="D239" s="13">
        <f>'[1]V, inciso o) (OP)'!V110</f>
        <v>42692</v>
      </c>
      <c r="E239" s="16" t="str">
        <f>'[1]V, inciso o) (OP)'!AA110</f>
        <v>Primera etapa de la renovación de imagen urbana en la localidad de Tesistan, municipio de Zapopan, Jalisco</v>
      </c>
      <c r="F239" s="16" t="s">
        <v>67</v>
      </c>
      <c r="G239" s="11">
        <f>'[1]V, inciso o) (OP)'!Y110</f>
        <v>1495635.47</v>
      </c>
      <c r="H239" s="16" t="s">
        <v>786</v>
      </c>
      <c r="I239" s="6" t="str">
        <f>'[1]V, inciso o) (OP)'!G110</f>
        <v xml:space="preserve">ALEJANDRO LUIS </v>
      </c>
      <c r="J239" s="6" t="str">
        <f>'[1]V, inciso o) (OP)'!H110</f>
        <v xml:space="preserve">VAIDOVITS </v>
      </c>
      <c r="K239" s="6" t="str">
        <f>'[1]V, inciso o) (OP)'!I110</f>
        <v xml:space="preserve"> SCHNURER</v>
      </c>
      <c r="L239" s="8" t="str">
        <f>'[1]V, inciso o) (OP)'!J110</f>
        <v>PROMACO DE MEXICO, S.A. DE C.V.</v>
      </c>
      <c r="M239" s="6" t="str">
        <f>'[1]V, inciso o) (OP)'!K110</f>
        <v>PME930817EV7</v>
      </c>
      <c r="N239" s="11">
        <f t="shared" ref="N239:N245" si="5">G239</f>
        <v>1495635.47</v>
      </c>
      <c r="O239" s="10" t="s">
        <v>40</v>
      </c>
      <c r="P239" s="10" t="s">
        <v>865</v>
      </c>
      <c r="Q239" s="11">
        <f>N239/3000</f>
        <v>498.54515666666668</v>
      </c>
      <c r="R239" s="10" t="s">
        <v>42</v>
      </c>
      <c r="S239" s="14">
        <v>62891</v>
      </c>
      <c r="T239" s="8" t="s">
        <v>43</v>
      </c>
      <c r="U239" s="6" t="s">
        <v>565</v>
      </c>
      <c r="V239" s="13">
        <f>'[1]V, inciso o) (OP)'!AD110</f>
        <v>42696</v>
      </c>
      <c r="W239" s="13">
        <f>'[1]V, inciso o) (OP)'!AE110</f>
        <v>42766</v>
      </c>
      <c r="X239" s="10" t="s">
        <v>544</v>
      </c>
      <c r="Y239" s="10" t="s">
        <v>545</v>
      </c>
      <c r="Z239" s="10" t="s">
        <v>212</v>
      </c>
      <c r="AA239" s="6" t="s">
        <v>40</v>
      </c>
      <c r="AB239" s="6" t="s">
        <v>40</v>
      </c>
    </row>
    <row r="240" spans="1:28" s="1" customFormat="1" ht="81">
      <c r="A240" s="6">
        <v>2016</v>
      </c>
      <c r="B240" s="10" t="s">
        <v>64</v>
      </c>
      <c r="C240" s="16" t="str">
        <f>'[1]V, inciso o) (OP)'!C111</f>
        <v>DOPI-MUN-RM-IM-AD-241-2016</v>
      </c>
      <c r="D240" s="13">
        <f>'[1]V, inciso o) (OP)'!V111</f>
        <v>42671</v>
      </c>
      <c r="E240" s="16" t="str">
        <f>'[1]V, inciso o) (OP)'!AA111</f>
        <v>Rehabiitación de instalación eléctrica e hidrosanitaria, estructura de protección de rayos ultravioleta y albañilería en el Centro de Desarrollo Infantil del Dif No. 1 Carmen Arce Zuno, ubicado en la colonia Constitución, municipio de Zapopan, Jalisco.</v>
      </c>
      <c r="F240" s="8" t="s">
        <v>184</v>
      </c>
      <c r="G240" s="11">
        <f>'[1]V, inciso o) (OP)'!Y111</f>
        <v>1276850.24</v>
      </c>
      <c r="H240" s="16" t="s">
        <v>866</v>
      </c>
      <c r="I240" s="6" t="str">
        <f>'[1]V, inciso o) (OP)'!G111</f>
        <v>OSCAR LUIS</v>
      </c>
      <c r="J240" s="6" t="str">
        <f>'[1]V, inciso o) (OP)'!H111</f>
        <v>CHAVEZ</v>
      </c>
      <c r="K240" s="6" t="str">
        <f>'[1]V, inciso o) (OP)'!I111</f>
        <v>GONZALEZ</v>
      </c>
      <c r="L240" s="8" t="str">
        <f>'[1]V, inciso o) (OP)'!J111</f>
        <v>EURO TRADE, S.A. DE C.V.</v>
      </c>
      <c r="M240" s="6" t="str">
        <f>'[1]V, inciso o) (OP)'!K111</f>
        <v>ETR070417NS8</v>
      </c>
      <c r="N240" s="11">
        <f t="shared" si="5"/>
        <v>1276850.24</v>
      </c>
      <c r="O240" s="10" t="s">
        <v>40</v>
      </c>
      <c r="P240" s="10" t="s">
        <v>867</v>
      </c>
      <c r="Q240" s="11">
        <f>N240/343</f>
        <v>3722.5954518950439</v>
      </c>
      <c r="R240" s="10" t="s">
        <v>42</v>
      </c>
      <c r="S240" s="14">
        <v>338</v>
      </c>
      <c r="T240" s="8" t="s">
        <v>43</v>
      </c>
      <c r="U240" s="6" t="s">
        <v>565</v>
      </c>
      <c r="V240" s="13">
        <f>'[1]V, inciso o) (OP)'!AD111</f>
        <v>42674</v>
      </c>
      <c r="W240" s="13">
        <f>'[1]V, inciso o) (OP)'!AE111</f>
        <v>42735</v>
      </c>
      <c r="X240" s="10" t="s">
        <v>835</v>
      </c>
      <c r="Y240" s="10" t="s">
        <v>519</v>
      </c>
      <c r="Z240" s="10" t="s">
        <v>63</v>
      </c>
      <c r="AA240" s="6" t="s">
        <v>40</v>
      </c>
      <c r="AB240" s="6" t="s">
        <v>40</v>
      </c>
    </row>
    <row r="241" spans="1:28" s="1" customFormat="1" ht="135">
      <c r="A241" s="6">
        <v>2016</v>
      </c>
      <c r="B241" s="10" t="s">
        <v>64</v>
      </c>
      <c r="C241" s="16" t="str">
        <f>'[1]V, inciso o) (OP)'!C112</f>
        <v>DOPI-MUN-RM-IM-AD-242-2016</v>
      </c>
      <c r="D241" s="13">
        <f>'[1]V, inciso o) (OP)'!V112</f>
        <v>42671</v>
      </c>
      <c r="E241" s="16" t="str">
        <f>'[1]V, inciso o) (OP)'!AA112</f>
        <v>Rehabilitación de carpintería, instalación eléctrica, hidráulica, sanitaria, estructuras de protección de rayos ultravioleta, pisos, juegos infantiles, herrería y albañilería en el Centro de Desarrollo Infantil del Dif No. 2 Pablo Casals, ubicado en la colonia Valle de Atemajac; Rehabilitación de instalación eléctrica, hidráulica y sanitaria, herrería, albañilería, pisos en el Centro de Desarrollo Infantil del Dif No. 9 Villa de Guadalupe, ubicado en la colonia Villa de Guadalupe, municipio de Zapopan, Jalisco.</v>
      </c>
      <c r="F241" s="8" t="s">
        <v>184</v>
      </c>
      <c r="G241" s="11">
        <f>'[1]V, inciso o) (OP)'!Y112</f>
        <v>1510250.48</v>
      </c>
      <c r="H241" s="16" t="s">
        <v>868</v>
      </c>
      <c r="I241" s="6" t="str">
        <f>'[1]V, inciso o) (OP)'!G112</f>
        <v>ORLANDO</v>
      </c>
      <c r="J241" s="6" t="str">
        <f>'[1]V, inciso o) (OP)'!H112</f>
        <v>HIJAR</v>
      </c>
      <c r="K241" s="6" t="str">
        <f>'[1]V, inciso o) (OP)'!I112</f>
        <v>CASILLAS</v>
      </c>
      <c r="L241" s="8" t="str">
        <f>'[1]V, inciso o) (OP)'!J112</f>
        <v>CONSTRUCTORA Y URBANIZADORA CEDA, S.A. DE C.V.</v>
      </c>
      <c r="M241" s="6" t="str">
        <f>'[1]V, inciso o) (OP)'!K112</f>
        <v>CUC121107NV2</v>
      </c>
      <c r="N241" s="11">
        <f t="shared" si="5"/>
        <v>1510250.48</v>
      </c>
      <c r="O241" s="10" t="s">
        <v>40</v>
      </c>
      <c r="P241" s="10" t="s">
        <v>869</v>
      </c>
      <c r="Q241" s="11">
        <f>N241/4053</f>
        <v>372.62533432025657</v>
      </c>
      <c r="R241" s="10" t="s">
        <v>42</v>
      </c>
      <c r="S241" s="14">
        <v>676</v>
      </c>
      <c r="T241" s="8" t="s">
        <v>43</v>
      </c>
      <c r="U241" s="6" t="s">
        <v>565</v>
      </c>
      <c r="V241" s="13">
        <f>'[1]V, inciso o) (OP)'!AD112</f>
        <v>42674</v>
      </c>
      <c r="W241" s="13">
        <f>'[1]V, inciso o) (OP)'!AE112</f>
        <v>42735</v>
      </c>
      <c r="X241" s="10" t="s">
        <v>835</v>
      </c>
      <c r="Y241" s="10" t="s">
        <v>519</v>
      </c>
      <c r="Z241" s="10" t="s">
        <v>63</v>
      </c>
      <c r="AA241" s="6" t="s">
        <v>40</v>
      </c>
      <c r="AB241" s="6" t="s">
        <v>40</v>
      </c>
    </row>
    <row r="242" spans="1:28" s="1" customFormat="1" ht="108">
      <c r="A242" s="6">
        <v>2016</v>
      </c>
      <c r="B242" s="10" t="s">
        <v>64</v>
      </c>
      <c r="C242" s="16" t="str">
        <f>'[1]V, inciso o) (OP)'!C113</f>
        <v>DOPI-MUN-RM-IM-AD-243-2016</v>
      </c>
      <c r="D242" s="13">
        <f>'[1]V, inciso o) (OP)'!V113</f>
        <v>42671</v>
      </c>
      <c r="E242" s="16" t="str">
        <f>'[1]V, inciso o) (OP)'!AA113</f>
        <v>Rehabilitación de carpintería, instalación eléctrica, hidráulica, sanitaria, estructuras de protección de rayos ultravioleta, pisos, construcción de aulas y albañilería en el Centro de Desarrollo Infantil del Dif No. 5 El Colli, ubicado en la colonia El Colli y en el Centro de Desarrollo Infantil del Dif No. 6 Tabachines, ubicado en la colonia Tabachines, municipio de Zapopan, Jalisco</v>
      </c>
      <c r="F242" s="8" t="s">
        <v>184</v>
      </c>
      <c r="G242" s="11">
        <f>'[1]V, inciso o) (OP)'!Y113</f>
        <v>1368256.1</v>
      </c>
      <c r="H242" s="16" t="s">
        <v>870</v>
      </c>
      <c r="I242" s="6" t="str">
        <f>'[1]V, inciso o) (OP)'!G113</f>
        <v xml:space="preserve">EDUARDO </v>
      </c>
      <c r="J242" s="6" t="str">
        <f>'[1]V, inciso o) (OP)'!H113</f>
        <v>PLASCENCIA</v>
      </c>
      <c r="K242" s="6" t="str">
        <f>'[1]V, inciso o) (OP)'!I113</f>
        <v>MACIAS</v>
      </c>
      <c r="L242" s="8" t="str">
        <f>'[1]V, inciso o) (OP)'!J113</f>
        <v>CONSTRUCTORA Y EDIFICADORA PLASMA, S.A. DE C.V.</v>
      </c>
      <c r="M242" s="6" t="str">
        <f>'[1]V, inciso o) (OP)'!K113</f>
        <v>CEP080129EK6</v>
      </c>
      <c r="N242" s="11">
        <f t="shared" si="5"/>
        <v>1368256.1</v>
      </c>
      <c r="O242" s="11">
        <v>1365596.04</v>
      </c>
      <c r="P242" s="10" t="s">
        <v>871</v>
      </c>
      <c r="Q242" s="11">
        <f>N242/1519</f>
        <v>900.76109282422658</v>
      </c>
      <c r="R242" s="10" t="s">
        <v>42</v>
      </c>
      <c r="S242" s="14">
        <v>687</v>
      </c>
      <c r="T242" s="8" t="s">
        <v>43</v>
      </c>
      <c r="U242" s="6" t="s">
        <v>565</v>
      </c>
      <c r="V242" s="13">
        <f>'[1]V, inciso o) (OP)'!AD113</f>
        <v>42674</v>
      </c>
      <c r="W242" s="13">
        <f>'[1]V, inciso o) (OP)'!AE113</f>
        <v>42735</v>
      </c>
      <c r="X242" s="10" t="s">
        <v>835</v>
      </c>
      <c r="Y242" s="10" t="s">
        <v>519</v>
      </c>
      <c r="Z242" s="10" t="s">
        <v>63</v>
      </c>
      <c r="AA242" s="6" t="s">
        <v>40</v>
      </c>
      <c r="AB242" s="6" t="s">
        <v>40</v>
      </c>
    </row>
    <row r="243" spans="1:28" s="1" customFormat="1" ht="94.5">
      <c r="A243" s="6">
        <v>2016</v>
      </c>
      <c r="B243" s="10" t="s">
        <v>64</v>
      </c>
      <c r="C243" s="16" t="str">
        <f>'[1]V, inciso o) (OP)'!C114</f>
        <v>DOPI-MUN-RM-IM-AD-244-2016</v>
      </c>
      <c r="D243" s="13">
        <f>'[1]V, inciso o) (OP)'!V114</f>
        <v>42671</v>
      </c>
      <c r="E243" s="16" t="str">
        <f>'[1]V, inciso o) (OP)'!AA114</f>
        <v>Construcción de muro perimetral y herrería en el Centro de Atención Infantil Comunitario del Dif No. 2 Santa Ana Tepetitlán, ubicado en la colonia Santa Ana Tepetitlán y en el Centro de Atención Infantil Comunitario del Dif No 1 La Higuera, ubicado en la colonia La Higuera, municipio de Zapopan, Jalisco.</v>
      </c>
      <c r="F243" s="8" t="s">
        <v>184</v>
      </c>
      <c r="G243" s="11">
        <f>'[1]V, inciso o) (OP)'!Y114</f>
        <v>1495678.36</v>
      </c>
      <c r="H243" s="16" t="s">
        <v>872</v>
      </c>
      <c r="I243" s="6" t="str">
        <f>'[1]V, inciso o) (OP)'!G114</f>
        <v xml:space="preserve">EDUARDO </v>
      </c>
      <c r="J243" s="6" t="str">
        <f>'[1]V, inciso o) (OP)'!H114</f>
        <v>MORA</v>
      </c>
      <c r="K243" s="6" t="str">
        <f>'[1]V, inciso o) (OP)'!I114</f>
        <v>BLACKALLER</v>
      </c>
      <c r="L243" s="8" t="str">
        <f>'[1]V, inciso o) (OP)'!J114</f>
        <v>GRUPO CONSTRUCTOR INNOBLACK, S.A. DE C.V.</v>
      </c>
      <c r="M243" s="6" t="str">
        <f>'[1]V, inciso o) (OP)'!K114</f>
        <v>GCI070523CW4</v>
      </c>
      <c r="N243" s="11">
        <f t="shared" si="5"/>
        <v>1495678.36</v>
      </c>
      <c r="O243" s="10" t="s">
        <v>40</v>
      </c>
      <c r="P243" s="10" t="s">
        <v>873</v>
      </c>
      <c r="Q243" s="11">
        <f>N243/148</f>
        <v>10105.934864864865</v>
      </c>
      <c r="R243" s="10" t="s">
        <v>42</v>
      </c>
      <c r="S243" s="14">
        <v>714</v>
      </c>
      <c r="T243" s="8" t="s">
        <v>43</v>
      </c>
      <c r="U243" s="6" t="s">
        <v>565</v>
      </c>
      <c r="V243" s="13">
        <f>'[1]V, inciso o) (OP)'!AD114</f>
        <v>42674</v>
      </c>
      <c r="W243" s="13">
        <f>'[1]V, inciso o) (OP)'!AE114</f>
        <v>42735</v>
      </c>
      <c r="X243" s="10" t="s">
        <v>835</v>
      </c>
      <c r="Y243" s="10" t="s">
        <v>519</v>
      </c>
      <c r="Z243" s="10" t="s">
        <v>63</v>
      </c>
      <c r="AA243" s="6" t="s">
        <v>40</v>
      </c>
      <c r="AB243" s="6" t="s">
        <v>40</v>
      </c>
    </row>
    <row r="244" spans="1:28" s="1" customFormat="1" ht="121.5">
      <c r="A244" s="6">
        <v>2016</v>
      </c>
      <c r="B244" s="10" t="s">
        <v>64</v>
      </c>
      <c r="C244" s="16" t="str">
        <f>'[1]V, inciso o) (OP)'!C115</f>
        <v>DOPI-MUN-RM-PAV-AD-245-2016</v>
      </c>
      <c r="D244" s="13">
        <f>'[1]V, inciso o) (OP)'!V115</f>
        <v>42692</v>
      </c>
      <c r="E244" s="16" t="str">
        <f>'[1]V, inciso o) (OP)'!AA115</f>
        <v>Reencarpetamiento de la vialidad, desbastado de la carpeta existente, nivelación de pozos de visita, cajas de válvulas, rejillas pluviales, bocas de tormenta y elementos estructurales que sobresalen de la rasante de la vialidad, calafateos, señaletica horizontal de la calle Jacarandas de Pablo Neruda a Paseo Loma Larga, en la colonia Colinas de San Javier, municipio de Zapopan, Jalisco.</v>
      </c>
      <c r="F244" s="8" t="s">
        <v>184</v>
      </c>
      <c r="G244" s="11">
        <f>'[1]V, inciso o) (OP)'!Y115</f>
        <v>1538300.1</v>
      </c>
      <c r="H244" s="16" t="s">
        <v>874</v>
      </c>
      <c r="I244" s="6" t="str">
        <f>'[1]V, inciso o) (OP)'!G115</f>
        <v>JOEL</v>
      </c>
      <c r="J244" s="6" t="str">
        <f>'[1]V, inciso o) (OP)'!H115</f>
        <v>ZULOAGA</v>
      </c>
      <c r="K244" s="6" t="str">
        <f>'[1]V, inciso o) (OP)'!I115</f>
        <v>ACEVES</v>
      </c>
      <c r="L244" s="8" t="str">
        <f>'[1]V, inciso o) (OP)'!J115</f>
        <v>TASUM SOLUCIONES EN CONSTRUCCION, S.A. DE C.V.</v>
      </c>
      <c r="M244" s="6" t="str">
        <f>'[1]V, inciso o) (OP)'!K115</f>
        <v>TSC100210E48</v>
      </c>
      <c r="N244" s="11">
        <f t="shared" si="5"/>
        <v>1538300.1</v>
      </c>
      <c r="O244" s="10" t="s">
        <v>40</v>
      </c>
      <c r="P244" s="10" t="s">
        <v>875</v>
      </c>
      <c r="Q244" s="11">
        <f>N244/3244</f>
        <v>474.19855117139338</v>
      </c>
      <c r="R244" s="10" t="s">
        <v>42</v>
      </c>
      <c r="S244" s="14">
        <v>6453</v>
      </c>
      <c r="T244" s="8" t="s">
        <v>43</v>
      </c>
      <c r="U244" s="6" t="s">
        <v>565</v>
      </c>
      <c r="V244" s="13">
        <f>'[1]V, inciso o) (OP)'!AD115</f>
        <v>42695</v>
      </c>
      <c r="W244" s="13">
        <f>'[1]V, inciso o) (OP)'!AE115</f>
        <v>42729</v>
      </c>
      <c r="X244" s="10" t="s">
        <v>530</v>
      </c>
      <c r="Y244" s="10" t="s">
        <v>343</v>
      </c>
      <c r="Z244" s="10" t="s">
        <v>344</v>
      </c>
      <c r="AA244" s="6" t="s">
        <v>40</v>
      </c>
      <c r="AB244" s="6" t="s">
        <v>40</v>
      </c>
    </row>
    <row r="245" spans="1:28" s="1" customFormat="1" ht="54">
      <c r="A245" s="6">
        <v>2016</v>
      </c>
      <c r="B245" s="10" t="s">
        <v>64</v>
      </c>
      <c r="C245" s="16" t="str">
        <f>'[1]V, inciso o) (OP)'!C116</f>
        <v>DOPI-MUN-RM-EM-AD-246-2016</v>
      </c>
      <c r="D245" s="13">
        <f>'[1]V, inciso o) (OP)'!V116</f>
        <v>42674</v>
      </c>
      <c r="E245" s="16" t="str">
        <f>'[1]V, inciso o) (OP)'!AA116</f>
        <v>Reconstrucción de habitación, baño y cubierta en vivienda ubicada en la calle López Mateos #61, en la colonia Santa Lucia, municipio de Zapopan, Jalisco</v>
      </c>
      <c r="F245" s="16" t="s">
        <v>67</v>
      </c>
      <c r="G245" s="11">
        <f>'[1]V, inciso o) (OP)'!Y116</f>
        <v>275935.40000000002</v>
      </c>
      <c r="H245" s="16" t="s">
        <v>876</v>
      </c>
      <c r="I245" s="6" t="str">
        <f>'[1]V, inciso o) (OP)'!G116</f>
        <v>CLAUDIA PATRICIA</v>
      </c>
      <c r="J245" s="6" t="str">
        <f>'[1]V, inciso o) (OP)'!H116</f>
        <v xml:space="preserve">SANCHEZ </v>
      </c>
      <c r="K245" s="6" t="str">
        <f>'[1]V, inciso o) (OP)'!I116</f>
        <v>VALLES</v>
      </c>
      <c r="L245" s="8" t="str">
        <f>'[1]V, inciso o) (OP)'!J116</f>
        <v>CONSTRUCTORA JMA, S.A. DE C.V.</v>
      </c>
      <c r="M245" s="6" t="str">
        <f>'[1]V, inciso o) (OP)'!K116</f>
        <v>CJM121221Q73</v>
      </c>
      <c r="N245" s="11">
        <f t="shared" si="5"/>
        <v>275935.40000000002</v>
      </c>
      <c r="O245" s="11">
        <v>273039.63</v>
      </c>
      <c r="P245" s="10" t="s">
        <v>877</v>
      </c>
      <c r="Q245" s="11">
        <f>N245/50</f>
        <v>5518.7080000000005</v>
      </c>
      <c r="R245" s="10" t="s">
        <v>42</v>
      </c>
      <c r="S245" s="14">
        <v>5</v>
      </c>
      <c r="T245" s="8" t="s">
        <v>43</v>
      </c>
      <c r="U245" s="6" t="s">
        <v>565</v>
      </c>
      <c r="V245" s="13">
        <f>'[1]V, inciso o) (OP)'!AD116</f>
        <v>42675</v>
      </c>
      <c r="W245" s="13">
        <f>'[1]V, inciso o) (OP)'!AE116</f>
        <v>42719</v>
      </c>
      <c r="X245" s="10" t="s">
        <v>544</v>
      </c>
      <c r="Y245" s="10" t="s">
        <v>545</v>
      </c>
      <c r="Z245" s="10" t="s">
        <v>212</v>
      </c>
      <c r="AA245" s="6" t="s">
        <v>40</v>
      </c>
      <c r="AB245" s="6" t="s">
        <v>40</v>
      </c>
    </row>
    <row r="246" spans="1:28" ht="40.5">
      <c r="A246" s="6">
        <v>2016</v>
      </c>
      <c r="B246" s="6" t="s">
        <v>64</v>
      </c>
      <c r="C246" s="8" t="str">
        <f>'[1]V, inciso o) (OP)'!C117</f>
        <v>DOPI-MUN-RM-ELE-AD-248-2016</v>
      </c>
      <c r="D246" s="13">
        <f>'[1]V, inciso o) (OP)'!V117</f>
        <v>42706</v>
      </c>
      <c r="E246" s="8" t="str">
        <f>'[1]V, inciso o) (OP)'!AA117</f>
        <v>Eléctrificación de pozo en el Ejido Copalita y pozo en la localidad de Cerca Morada, municipio de Zapopan, Jalisco</v>
      </c>
      <c r="F246" s="8" t="s">
        <v>184</v>
      </c>
      <c r="G246" s="9">
        <f>'[1]V, inciso o) (OP)'!Y117</f>
        <v>969037.98</v>
      </c>
      <c r="H246" s="8" t="s">
        <v>878</v>
      </c>
      <c r="I246" s="6" t="str">
        <f>'[1]V, inciso o) (OP)'!M117</f>
        <v>PIA LORENA</v>
      </c>
      <c r="J246" s="6" t="str">
        <f>'[1]V, inciso o) (OP)'!N117</f>
        <v>BUENROSTRO</v>
      </c>
      <c r="K246" s="6" t="str">
        <f>'[1]V, inciso o) (OP)'!O117</f>
        <v>AHUED</v>
      </c>
      <c r="L246" s="8" t="str">
        <f>'[1]V, inciso o) (OP)'!P117</f>
        <v>BIRMEK CONSTRUCCIONES, S.A. DE C.V.</v>
      </c>
      <c r="M246" s="6" t="str">
        <f>'[1]V, inciso o) (OP)'!Q117</f>
        <v>BCO070129512</v>
      </c>
      <c r="N246" s="9">
        <f>'[1]V, inciso o) (OP)'!Y117</f>
        <v>969037.98</v>
      </c>
      <c r="O246" s="10" t="s">
        <v>40</v>
      </c>
      <c r="P246" s="10" t="s">
        <v>51</v>
      </c>
      <c r="Q246" s="11">
        <f>N246</f>
        <v>969037.98</v>
      </c>
      <c r="R246" s="10" t="s">
        <v>42</v>
      </c>
      <c r="S246" s="14">
        <v>339</v>
      </c>
      <c r="T246" s="8" t="s">
        <v>43</v>
      </c>
      <c r="U246" s="6" t="s">
        <v>565</v>
      </c>
      <c r="V246" s="7">
        <f>'[1]V, inciso o) (OP)'!AD117</f>
        <v>42709</v>
      </c>
      <c r="W246" s="7">
        <f>'[1]V, inciso o) (OP)'!AE117</f>
        <v>42799</v>
      </c>
      <c r="X246" s="10" t="s">
        <v>544</v>
      </c>
      <c r="Y246" s="10" t="s">
        <v>545</v>
      </c>
      <c r="Z246" s="10" t="s">
        <v>212</v>
      </c>
      <c r="AA246" s="6" t="s">
        <v>40</v>
      </c>
      <c r="AB246" s="6" t="s">
        <v>40</v>
      </c>
    </row>
    <row r="247" spans="1:28" ht="54">
      <c r="A247" s="6">
        <v>2016</v>
      </c>
      <c r="B247" s="6" t="s">
        <v>64</v>
      </c>
      <c r="C247" s="8" t="str">
        <f>'[1]V, inciso o) (OP)'!C118</f>
        <v>DOPI-MUN-R33-IS-AD-249-2016</v>
      </c>
      <c r="D247" s="13">
        <f>'[1]V, inciso o) (OP)'!V118</f>
        <v>42699</v>
      </c>
      <c r="E247" s="8" t="str">
        <f>'[1]V, inciso o) (OP)'!AA118</f>
        <v>Construcción de línea de drenaje sanitario de 16" en calle Central, de calle del Bosque al Arroyo, en la colonia el Tizate, en el municipio de Zapopan, Jalisco.</v>
      </c>
      <c r="F247" s="8" t="s">
        <v>739</v>
      </c>
      <c r="G247" s="9">
        <f>'[1]V, inciso o) (OP)'!Y118</f>
        <v>1405850.23</v>
      </c>
      <c r="H247" s="8" t="s">
        <v>879</v>
      </c>
      <c r="I247" s="6" t="str">
        <f>'[1]V, inciso o) (OP)'!M118</f>
        <v>JOSE DE JESUS</v>
      </c>
      <c r="J247" s="6" t="str">
        <f>'[1]V, inciso o) (OP)'!N118</f>
        <v>PALAFOX</v>
      </c>
      <c r="K247" s="6" t="str">
        <f>'[1]V, inciso o) (OP)'!O118</f>
        <v>VILLEGAS</v>
      </c>
      <c r="L247" s="8" t="str">
        <f>'[1]V, inciso o) (OP)'!P118</f>
        <v>MEGAENLACE CONSTRUCCIONES S.A. DE C.V.</v>
      </c>
      <c r="M247" s="6" t="str">
        <f>'[1]V, inciso o) (OP)'!Q118</f>
        <v>MCO1510113H8</v>
      </c>
      <c r="N247" s="9">
        <f>'[1]V, inciso o) (OP)'!Y118</f>
        <v>1405850.23</v>
      </c>
      <c r="O247" s="10" t="s">
        <v>40</v>
      </c>
      <c r="P247" s="10" t="s">
        <v>880</v>
      </c>
      <c r="Q247" s="11">
        <f>N247/515.8</f>
        <v>2725.5723730127957</v>
      </c>
      <c r="R247" s="10" t="s">
        <v>42</v>
      </c>
      <c r="S247" s="14">
        <v>122</v>
      </c>
      <c r="T247" s="8" t="s">
        <v>43</v>
      </c>
      <c r="U247" s="6" t="s">
        <v>565</v>
      </c>
      <c r="V247" s="7">
        <f>'[1]V, inciso o) (OP)'!AD118</f>
        <v>42702</v>
      </c>
      <c r="W247" s="7">
        <f>'[1]V, inciso o) (OP)'!AE118</f>
        <v>42762</v>
      </c>
      <c r="X247" s="10" t="s">
        <v>536</v>
      </c>
      <c r="Y247" s="10" t="s">
        <v>383</v>
      </c>
      <c r="Z247" s="10" t="s">
        <v>300</v>
      </c>
      <c r="AA247" s="6" t="s">
        <v>40</v>
      </c>
      <c r="AB247" s="6" t="s">
        <v>40</v>
      </c>
    </row>
    <row r="248" spans="1:28" ht="40.5">
      <c r="A248" s="6">
        <v>2016</v>
      </c>
      <c r="B248" s="6" t="s">
        <v>64</v>
      </c>
      <c r="C248" s="8" t="str">
        <f>'[1]V, inciso o) (OP)'!C119</f>
        <v>DOPI-MUN-RM-PROY-AD-250-2016</v>
      </c>
      <c r="D248" s="13">
        <f>'[1]V, inciso o) (OP)'!V119</f>
        <v>42699</v>
      </c>
      <c r="E248" s="8" t="str">
        <f>'[1]V, inciso o) (OP)'!AA119</f>
        <v>Estudios básicos topográficos para diferentes obras 2016, tercera etapa, del municipio de Zapopan, Jalisco.</v>
      </c>
      <c r="F248" s="8" t="s">
        <v>184</v>
      </c>
      <c r="G248" s="9">
        <f>'[1]V, inciso o) (OP)'!Y119</f>
        <v>1365001</v>
      </c>
      <c r="H248" s="8" t="s">
        <v>583</v>
      </c>
      <c r="I248" s="6" t="str">
        <f>'[1]V, inciso o) (OP)'!M119</f>
        <v>GABRIEL</v>
      </c>
      <c r="J248" s="6" t="str">
        <f>'[1]V, inciso o) (OP)'!N119</f>
        <v xml:space="preserve">FRANCO </v>
      </c>
      <c r="K248" s="6" t="str">
        <f>'[1]V, inciso o) (OP)'!O119</f>
        <v>ALATORRE</v>
      </c>
      <c r="L248" s="8" t="str">
        <f>'[1]V, inciso o) (OP)'!P119</f>
        <v>CONSTRUCTORA DE OCCIDENTE MS, S.A. DE C.V.</v>
      </c>
      <c r="M248" s="6" t="str">
        <f>'[1]V, inciso o) (OP)'!Q119</f>
        <v>COM141015F48</v>
      </c>
      <c r="N248" s="9">
        <f>'[1]V, inciso o) (OP)'!Y119</f>
        <v>1365001</v>
      </c>
      <c r="O248" s="10" t="s">
        <v>40</v>
      </c>
      <c r="P248" s="10" t="s">
        <v>847</v>
      </c>
      <c r="Q248" s="11">
        <f>N248</f>
        <v>1365001</v>
      </c>
      <c r="R248" s="10" t="s">
        <v>232</v>
      </c>
      <c r="S248" s="14" t="s">
        <v>232</v>
      </c>
      <c r="T248" s="8" t="s">
        <v>43</v>
      </c>
      <c r="U248" s="6" t="s">
        <v>565</v>
      </c>
      <c r="V248" s="7">
        <f>'[1]V, inciso o) (OP)'!AD119</f>
        <v>42702</v>
      </c>
      <c r="W248" s="7">
        <f>'[1]V, inciso o) (OP)'!AE119</f>
        <v>42855</v>
      </c>
      <c r="X248" s="10" t="s">
        <v>570</v>
      </c>
      <c r="Y248" s="10" t="s">
        <v>828</v>
      </c>
      <c r="Z248" s="10" t="s">
        <v>286</v>
      </c>
      <c r="AA248" s="6" t="s">
        <v>40</v>
      </c>
      <c r="AB248" s="6" t="s">
        <v>40</v>
      </c>
    </row>
    <row r="249" spans="1:28" ht="54">
      <c r="A249" s="6">
        <v>2016</v>
      </c>
      <c r="B249" s="6" t="s">
        <v>64</v>
      </c>
      <c r="C249" s="8" t="str">
        <f>'[1]V, inciso o) (OP)'!C120</f>
        <v>DOPI-MUN-R33-IH-AD-251-2016</v>
      </c>
      <c r="D249" s="13">
        <f>'[1]V, inciso o) (OP)'!V120</f>
        <v>42699</v>
      </c>
      <c r="E249" s="8" t="str">
        <f>'[1]V, inciso o) (OP)'!AA120</f>
        <v>Construcción de línea de conducción de agua potable, en la localidad Los Patios, de pozo Los Patios A Conexión Existente, en el municipio de Zapopan, Jalisco.</v>
      </c>
      <c r="F249" s="8" t="s">
        <v>739</v>
      </c>
      <c r="G249" s="9">
        <f>'[1]V, inciso o) (OP)'!Y120</f>
        <v>1475636.47</v>
      </c>
      <c r="H249" s="8" t="s">
        <v>881</v>
      </c>
      <c r="I249" s="6" t="str">
        <f>'[1]V, inciso o) (OP)'!M120</f>
        <v>JOSE SERGIO</v>
      </c>
      <c r="J249" s="6" t="str">
        <f>'[1]V, inciso o) (OP)'!N120</f>
        <v>CARMONA</v>
      </c>
      <c r="K249" s="6" t="str">
        <f>'[1]V, inciso o) (OP)'!O120</f>
        <v>RUVALCABA</v>
      </c>
      <c r="L249" s="8" t="str">
        <f>'[1]V, inciso o) (OP)'!P120</f>
        <v>QUANTUM CONSTRUCTORES Y PROYECTOS, S.A. DE C.V.</v>
      </c>
      <c r="M249" s="6" t="str">
        <f>'[1]V, inciso o) (OP)'!Q120</f>
        <v>QCP1307172S6</v>
      </c>
      <c r="N249" s="9">
        <f>'[1]V, inciso o) (OP)'!Y120</f>
        <v>1475636.47</v>
      </c>
      <c r="O249" s="10" t="s">
        <v>40</v>
      </c>
      <c r="P249" s="10" t="s">
        <v>882</v>
      </c>
      <c r="Q249" s="11">
        <f>N249/3240</f>
        <v>455.44335493827157</v>
      </c>
      <c r="R249" s="10" t="s">
        <v>42</v>
      </c>
      <c r="S249" s="14">
        <v>39</v>
      </c>
      <c r="T249" s="8" t="s">
        <v>43</v>
      </c>
      <c r="U249" s="6" t="s">
        <v>565</v>
      </c>
      <c r="V249" s="7">
        <f>'[1]V, inciso o) (OP)'!AD120</f>
        <v>42702</v>
      </c>
      <c r="W249" s="7">
        <f>'[1]V, inciso o) (OP)'!AE120</f>
        <v>42852</v>
      </c>
      <c r="X249" s="10" t="s">
        <v>723</v>
      </c>
      <c r="Y249" s="10" t="s">
        <v>724</v>
      </c>
      <c r="Z249" s="10" t="s">
        <v>145</v>
      </c>
      <c r="AA249" s="6" t="s">
        <v>40</v>
      </c>
      <c r="AB249" s="6" t="s">
        <v>40</v>
      </c>
    </row>
    <row r="250" spans="1:28" ht="40.5">
      <c r="A250" s="6">
        <v>2016</v>
      </c>
      <c r="B250" s="6" t="s">
        <v>64</v>
      </c>
      <c r="C250" s="8" t="str">
        <f>'[1]V, inciso o) (OP)'!C121</f>
        <v>DOPI-MUN-R33-IH-AD-252-2016</v>
      </c>
      <c r="D250" s="13">
        <f>'[1]V, inciso o) (OP)'!V121</f>
        <v>42699</v>
      </c>
      <c r="E250" s="8" t="str">
        <f>'[1]V, inciso o) (OP)'!AA121</f>
        <v>Construcción de línea de agua potable y drenaje sanitario en la calle Panorama, tramo 1, municipio de Zapopan, Jalisco.</v>
      </c>
      <c r="F250" s="8" t="s">
        <v>739</v>
      </c>
      <c r="G250" s="9">
        <f>'[1]V, inciso o) (OP)'!Y121</f>
        <v>1298415.18</v>
      </c>
      <c r="H250" s="8" t="s">
        <v>124</v>
      </c>
      <c r="I250" s="6" t="str">
        <f>'[1]V, inciso o) (OP)'!M121</f>
        <v>JUAN PABLO</v>
      </c>
      <c r="J250" s="6" t="str">
        <f>'[1]V, inciso o) (OP)'!N121</f>
        <v>VERA</v>
      </c>
      <c r="K250" s="6" t="str">
        <f>'[1]V, inciso o) (OP)'!O121</f>
        <v>TAVARES</v>
      </c>
      <c r="L250" s="8" t="str">
        <f>'[1]V, inciso o) (OP)'!P121</f>
        <v>LIZETTE CONSTRUCCIONES, S.A. DE C.V.</v>
      </c>
      <c r="M250" s="6" t="str">
        <f>'[1]V, inciso o) (OP)'!Q121</f>
        <v>LCO080228DN2</v>
      </c>
      <c r="N250" s="9">
        <f>'[1]V, inciso o) (OP)'!Y121</f>
        <v>1298415.18</v>
      </c>
      <c r="O250" s="10" t="s">
        <v>40</v>
      </c>
      <c r="P250" s="10" t="s">
        <v>883</v>
      </c>
      <c r="Q250" s="11">
        <f>N250/362.52</f>
        <v>3581.6373717312149</v>
      </c>
      <c r="R250" s="10" t="s">
        <v>42</v>
      </c>
      <c r="S250" s="14">
        <v>98</v>
      </c>
      <c r="T250" s="8" t="s">
        <v>43</v>
      </c>
      <c r="U250" s="6" t="s">
        <v>565</v>
      </c>
      <c r="V250" s="7">
        <f>'[1]V, inciso o) (OP)'!AD121</f>
        <v>42702</v>
      </c>
      <c r="W250" s="7">
        <f>'[1]V, inciso o) (OP)'!AE121</f>
        <v>42792</v>
      </c>
      <c r="X250" s="10" t="s">
        <v>671</v>
      </c>
      <c r="Y250" s="10" t="s">
        <v>334</v>
      </c>
      <c r="Z250" s="10" t="s">
        <v>133</v>
      </c>
      <c r="AA250" s="6" t="s">
        <v>40</v>
      </c>
      <c r="AB250" s="6" t="s">
        <v>40</v>
      </c>
    </row>
    <row r="251" spans="1:28" ht="94.5">
      <c r="A251" s="6">
        <v>2016</v>
      </c>
      <c r="B251" s="6" t="s">
        <v>64</v>
      </c>
      <c r="C251" s="8" t="str">
        <f>'[1]V, inciso o) (OP)'!C122</f>
        <v>DOPI-MUN-R33-IH-AD-253-2016</v>
      </c>
      <c r="D251" s="13">
        <f>'[1]V, inciso o) (OP)'!V122</f>
        <v>42699</v>
      </c>
      <c r="E251" s="8" t="str">
        <f>'[1]V, inciso o) (OP)'!AA122</f>
        <v>Construcción de línea de agua potable en la calle 22 de Junio, Privada 12 de Octubre, Prolongación Vicente Guerrero, Privada Niño Artillero 1, Privada Niño Artillero 2; Rehabilitación de drenaje sanitario en la calle Niño Artillero, en la colonia Indígena de Mezquitán I Sección, municipio de Zapopan, Jalisco.</v>
      </c>
      <c r="F251" s="8" t="s">
        <v>739</v>
      </c>
      <c r="G251" s="9">
        <f>'[1]V, inciso o) (OP)'!Y122</f>
        <v>1140318.97</v>
      </c>
      <c r="H251" s="8" t="s">
        <v>884</v>
      </c>
      <c r="I251" s="6" t="str">
        <f>'[1]V, inciso o) (OP)'!M122</f>
        <v xml:space="preserve">RICARDO </v>
      </c>
      <c r="J251" s="6" t="str">
        <f>'[1]V, inciso o) (OP)'!N122</f>
        <v>RIZO</v>
      </c>
      <c r="K251" s="6" t="str">
        <f>'[1]V, inciso o) (OP)'!O122</f>
        <v>SOSA</v>
      </c>
      <c r="L251" s="8" t="str">
        <f>'[1]V, inciso o) (OP)'!P122</f>
        <v>NEOINGENIERIA, S.A. DE C.V.</v>
      </c>
      <c r="M251" s="6" t="str">
        <f>'[1]V, inciso o) (OP)'!Q122</f>
        <v>NEO080722M53</v>
      </c>
      <c r="N251" s="9">
        <f>'[1]V, inciso o) (OP)'!Y122</f>
        <v>1140318.97</v>
      </c>
      <c r="O251" s="10" t="s">
        <v>40</v>
      </c>
      <c r="P251" s="10" t="s">
        <v>885</v>
      </c>
      <c r="Q251" s="11">
        <f>N251/318.38</f>
        <v>3581.6287769332243</v>
      </c>
      <c r="R251" s="10" t="s">
        <v>42</v>
      </c>
      <c r="S251" s="14">
        <v>215</v>
      </c>
      <c r="T251" s="8" t="s">
        <v>43</v>
      </c>
      <c r="U251" s="6" t="s">
        <v>565</v>
      </c>
      <c r="V251" s="7">
        <f>'[1]V, inciso o) (OP)'!AD122</f>
        <v>42702</v>
      </c>
      <c r="W251" s="7">
        <f>'[1]V, inciso o) (OP)'!AE122</f>
        <v>42822</v>
      </c>
      <c r="X251" s="10" t="s">
        <v>556</v>
      </c>
      <c r="Y251" s="10" t="s">
        <v>557</v>
      </c>
      <c r="Z251" s="10" t="s">
        <v>558</v>
      </c>
      <c r="AA251" s="6" t="s">
        <v>40</v>
      </c>
      <c r="AB251" s="6" t="s">
        <v>40</v>
      </c>
    </row>
    <row r="252" spans="1:28" ht="54">
      <c r="A252" s="6">
        <v>2016</v>
      </c>
      <c r="B252" s="6" t="s">
        <v>64</v>
      </c>
      <c r="C252" s="8" t="str">
        <f>'[1]V, inciso o) (OP)'!C123</f>
        <v>DOPI-MUN-R33-IH-AD-254-2016</v>
      </c>
      <c r="D252" s="13">
        <f>'[1]V, inciso o) (OP)'!V123</f>
        <v>42699</v>
      </c>
      <c r="E252" s="8" t="str">
        <f>'[1]V, inciso o) (OP)'!AA123</f>
        <v>Construcción de línea agua potable en la calle Miguel Hidalgo, de calle Josefa Ortíz De Domínguez a Cerrada, en la colonia Indígena De Mezquitan I Sección, en el municipio de Zapopan, Jalisco.</v>
      </c>
      <c r="F252" s="8" t="s">
        <v>739</v>
      </c>
      <c r="G252" s="9">
        <f>'[1]V, inciso o) (OP)'!Y123</f>
        <v>1010226.87</v>
      </c>
      <c r="H252" s="8" t="s">
        <v>884</v>
      </c>
      <c r="I252" s="6" t="str">
        <f>'[1]V, inciso o) (OP)'!M123</f>
        <v>GABINO</v>
      </c>
      <c r="J252" s="6" t="str">
        <f>'[1]V, inciso o) (OP)'!N123</f>
        <v>MONTUFAR</v>
      </c>
      <c r="K252" s="6" t="str">
        <f>'[1]V, inciso o) (OP)'!O123</f>
        <v>NUÑEZ</v>
      </c>
      <c r="L252" s="8" t="str">
        <f>'[1]V, inciso o) (OP)'!P123</f>
        <v>DI.COB, S.A. DE C.V.</v>
      </c>
      <c r="M252" s="6" t="str">
        <f>'[1]V, inciso o) (OP)'!Q123</f>
        <v>DCO021029737</v>
      </c>
      <c r="N252" s="9">
        <f>'[1]V, inciso o) (OP)'!Y123</f>
        <v>1010226.87</v>
      </c>
      <c r="O252" s="10" t="s">
        <v>40</v>
      </c>
      <c r="P252" s="10" t="s">
        <v>886</v>
      </c>
      <c r="Q252" s="11">
        <f>N252/841.71</f>
        <v>1200.2077556403035</v>
      </c>
      <c r="R252" s="10" t="s">
        <v>42</v>
      </c>
      <c r="S252" s="14">
        <v>176</v>
      </c>
      <c r="T252" s="8" t="s">
        <v>43</v>
      </c>
      <c r="U252" s="6" t="s">
        <v>565</v>
      </c>
      <c r="V252" s="7">
        <f>'[1]V, inciso o) (OP)'!AD123</f>
        <v>42702</v>
      </c>
      <c r="W252" s="7">
        <f>'[1]V, inciso o) (OP)'!AE123</f>
        <v>42822</v>
      </c>
      <c r="X252" s="10" t="s">
        <v>556</v>
      </c>
      <c r="Y252" s="10" t="s">
        <v>557</v>
      </c>
      <c r="Z252" s="10" t="s">
        <v>558</v>
      </c>
      <c r="AA252" s="6" t="s">
        <v>40</v>
      </c>
      <c r="AB252" s="6" t="s">
        <v>40</v>
      </c>
    </row>
    <row r="253" spans="1:28" ht="67.5">
      <c r="A253" s="6">
        <v>2016</v>
      </c>
      <c r="B253" s="6" t="s">
        <v>64</v>
      </c>
      <c r="C253" s="8" t="str">
        <f>'[1]V, inciso o) (OP)'!C124</f>
        <v>DOPI-MUN-R33-PAV-AD-255-2016</v>
      </c>
      <c r="D253" s="13">
        <f>'[1]V, inciso o) (OP)'!V124</f>
        <v>42699</v>
      </c>
      <c r="E253" s="8" t="str">
        <f>'[1]V, inciso o) (OP)'!AA124</f>
        <v>Construcción de pavimento zamepado en la calle Laureles, de calle Paseo de los Manzanos a calle Palmeras, en la colonia Lomas de Tabachines  I sección, en el municipio de Zapopan, Jalisco. Frente 1</v>
      </c>
      <c r="F253" s="8" t="s">
        <v>739</v>
      </c>
      <c r="G253" s="9">
        <f>'[1]V, inciso o) (OP)'!Y124</f>
        <v>1494784.36</v>
      </c>
      <c r="H253" s="8" t="s">
        <v>136</v>
      </c>
      <c r="I253" s="6" t="str">
        <f>'[1]V, inciso o) (OP)'!M124</f>
        <v>JOSE GILBERTO</v>
      </c>
      <c r="J253" s="6" t="str">
        <f>'[1]V, inciso o) (OP)'!N124</f>
        <v>LUJAN</v>
      </c>
      <c r="K253" s="6" t="str">
        <f>'[1]V, inciso o) (OP)'!O124</f>
        <v>BARAJAS</v>
      </c>
      <c r="L253" s="8" t="str">
        <f>'[1]V, inciso o) (OP)'!P124</f>
        <v>GILCO INGENIERIA, S.A. DE C.V.</v>
      </c>
      <c r="M253" s="6" t="str">
        <f>'[1]V, inciso o) (OP)'!Q124</f>
        <v>GIN1202272F9</v>
      </c>
      <c r="N253" s="9">
        <f>'[1]V, inciso o) (OP)'!Y124</f>
        <v>1494784.36</v>
      </c>
      <c r="O253" s="10" t="s">
        <v>40</v>
      </c>
      <c r="P253" s="10" t="s">
        <v>887</v>
      </c>
      <c r="Q253" s="11">
        <f>N253/1013.31</f>
        <v>1475.1501120091582</v>
      </c>
      <c r="R253" s="10" t="s">
        <v>42</v>
      </c>
      <c r="S253" s="14">
        <v>356</v>
      </c>
      <c r="T253" s="8" t="s">
        <v>43</v>
      </c>
      <c r="U253" s="6" t="s">
        <v>565</v>
      </c>
      <c r="V253" s="7">
        <f>'[1]V, inciso o) (OP)'!AD124</f>
        <v>42702</v>
      </c>
      <c r="W253" s="7">
        <f>'[1]V, inciso o) (OP)'!AE124</f>
        <v>42822</v>
      </c>
      <c r="X253" s="10" t="s">
        <v>681</v>
      </c>
      <c r="Y253" s="10" t="s">
        <v>682</v>
      </c>
      <c r="Z253" s="10" t="s">
        <v>683</v>
      </c>
      <c r="AA253" s="6" t="s">
        <v>40</v>
      </c>
      <c r="AB253" s="6" t="s">
        <v>40</v>
      </c>
    </row>
    <row r="254" spans="1:28" ht="81">
      <c r="A254" s="6">
        <v>2016</v>
      </c>
      <c r="B254" s="6" t="s">
        <v>64</v>
      </c>
      <c r="C254" s="8" t="str">
        <f>'[1]V, inciso o) (OP)'!C125</f>
        <v>DOPI-MUN-R33-PAV-AD-256-2016</v>
      </c>
      <c r="D254" s="13">
        <f>'[1]V, inciso o) (OP)'!V125</f>
        <v>42699</v>
      </c>
      <c r="E254" s="8" t="str">
        <f>'[1]V, inciso o) (OP)'!AA125</f>
        <v>Pavimentación empedrado zampeado, línea de agua potable y drenaje sanitario,  en la calle Laurel, de calle Abelardo Rodríguez a calle Palmeras y calle Palmeras, de calle Laurel a Cerrada, en la colonia Emiliano Zapata, municipio de Zapopan Jalisco.</v>
      </c>
      <c r="F254" s="8" t="s">
        <v>739</v>
      </c>
      <c r="G254" s="9">
        <f>'[1]V, inciso o) (OP)'!Y125</f>
        <v>1208435.74</v>
      </c>
      <c r="H254" s="8" t="s">
        <v>299</v>
      </c>
      <c r="I254" s="6" t="str">
        <f>'[1]V, inciso o) (OP)'!M125</f>
        <v>AMALIA</v>
      </c>
      <c r="J254" s="6" t="str">
        <f>'[1]V, inciso o) (OP)'!N125</f>
        <v>MORENO</v>
      </c>
      <c r="K254" s="6" t="str">
        <f>'[1]V, inciso o) (OP)'!O125</f>
        <v>MALDONADO</v>
      </c>
      <c r="L254" s="8" t="str">
        <f>'[1]V, inciso o) (OP)'!P125</f>
        <v>GRUPO CONSTRUCTOR LOS MUROS, S.A. DE C.V.</v>
      </c>
      <c r="M254" s="6" t="str">
        <f>'[1]V, inciso o) (OP)'!Q125</f>
        <v>GCM020226F28</v>
      </c>
      <c r="N254" s="9">
        <f>'[1]V, inciso o) (OP)'!Y125</f>
        <v>1208435.74</v>
      </c>
      <c r="O254" s="10" t="s">
        <v>40</v>
      </c>
      <c r="P254" s="10" t="s">
        <v>888</v>
      </c>
      <c r="Q254" s="11">
        <f>N254/819.2</f>
        <v>1475.1412841796873</v>
      </c>
      <c r="R254" s="10" t="s">
        <v>42</v>
      </c>
      <c r="S254" s="14">
        <v>341</v>
      </c>
      <c r="T254" s="8" t="s">
        <v>43</v>
      </c>
      <c r="U254" s="6" t="s">
        <v>565</v>
      </c>
      <c r="V254" s="7">
        <f>'[1]V, inciso o) (OP)'!AD125</f>
        <v>42702</v>
      </c>
      <c r="W254" s="7">
        <f>'[1]V, inciso o) (OP)'!AE125</f>
        <v>42822</v>
      </c>
      <c r="X254" s="10" t="s">
        <v>681</v>
      </c>
      <c r="Y254" s="10" t="s">
        <v>682</v>
      </c>
      <c r="Z254" s="10" t="s">
        <v>683</v>
      </c>
      <c r="AA254" s="6" t="s">
        <v>40</v>
      </c>
      <c r="AB254" s="6" t="s">
        <v>40</v>
      </c>
    </row>
    <row r="255" spans="1:28" ht="67.5">
      <c r="A255" s="6">
        <v>2016</v>
      </c>
      <c r="B255" s="6" t="s">
        <v>64</v>
      </c>
      <c r="C255" s="8" t="str">
        <f>'[1]V, inciso o) (OP)'!C126</f>
        <v>DOPI-MUN-R33-PAV-AD-257-2016</v>
      </c>
      <c r="D255" s="13">
        <f>'[1]V, inciso o) (OP)'!V126</f>
        <v>42699</v>
      </c>
      <c r="E255" s="8" t="str">
        <f>'[1]V, inciso o) (OP)'!AA126</f>
        <v>Construcción de pavimento zamepado en la calle Laureles, de calle Paseo de los Manzanos a calle Palmeras, en la colonia Lomas de Tabachines  I sección, en el municipio de Zapopan, Jalisco. Frente 2</v>
      </c>
      <c r="F255" s="8" t="s">
        <v>739</v>
      </c>
      <c r="G255" s="9">
        <f>'[1]V, inciso o) (OP)'!Y126</f>
        <v>1524750.48</v>
      </c>
      <c r="H255" s="8" t="s">
        <v>136</v>
      </c>
      <c r="I255" s="6" t="str">
        <f>'[1]V, inciso o) (OP)'!M126</f>
        <v>JOAQUIN</v>
      </c>
      <c r="J255" s="6" t="str">
        <f>'[1]V, inciso o) (OP)'!N126</f>
        <v>RAMIREZ</v>
      </c>
      <c r="K255" s="6" t="str">
        <f>'[1]V, inciso o) (OP)'!O126</f>
        <v>GALLARDO</v>
      </c>
      <c r="L255" s="8" t="str">
        <f>'[1]V, inciso o) (OP)'!P126</f>
        <v>A. &amp; G. URBANIZADORA, S.A. DE C.V.</v>
      </c>
      <c r="M255" s="6" t="str">
        <f>'[1]V, inciso o) (OP)'!Q126</f>
        <v>AUR100826KX0</v>
      </c>
      <c r="N255" s="9">
        <f>'[1]V, inciso o) (OP)'!Y126</f>
        <v>1524750.48</v>
      </c>
      <c r="O255" s="10" t="s">
        <v>40</v>
      </c>
      <c r="P255" s="10" t="s">
        <v>889</v>
      </c>
      <c r="Q255" s="11">
        <f>N255/1033.62</f>
        <v>1475.1557438904047</v>
      </c>
      <c r="R255" s="10" t="s">
        <v>42</v>
      </c>
      <c r="S255" s="14">
        <v>336</v>
      </c>
      <c r="T255" s="8" t="s">
        <v>43</v>
      </c>
      <c r="U255" s="6" t="s">
        <v>565</v>
      </c>
      <c r="V255" s="7">
        <f>'[1]V, inciso o) (OP)'!AD126</f>
        <v>42702</v>
      </c>
      <c r="W255" s="7">
        <f>'[1]V, inciso o) (OP)'!AE126</f>
        <v>42822</v>
      </c>
      <c r="X255" s="10" t="s">
        <v>681</v>
      </c>
      <c r="Y255" s="10" t="s">
        <v>682</v>
      </c>
      <c r="Z255" s="10" t="s">
        <v>683</v>
      </c>
      <c r="AA255" s="6" t="s">
        <v>40</v>
      </c>
      <c r="AB255" s="6" t="s">
        <v>40</v>
      </c>
    </row>
    <row r="256" spans="1:28" ht="108">
      <c r="A256" s="6">
        <v>2016</v>
      </c>
      <c r="B256" s="6" t="s">
        <v>64</v>
      </c>
      <c r="C256" s="8" t="str">
        <f>'[1]V, inciso o) (OP)'!C127</f>
        <v>DOPI-MUN-R33-ELE-AD-258-2016</v>
      </c>
      <c r="D256" s="13">
        <f>'[1]V, inciso o) (OP)'!V127</f>
        <v>42699</v>
      </c>
      <c r="E256" s="8" t="str">
        <f>'[1]V, inciso o) (OP)'!AA127</f>
        <v>Alumbrado público en la calle Santa María, de calle Santa María a calle Dolores Rodríguez, calle Dolores Rodríguez de calle Santa María a calle Jalisco, Privada Lagos De Moreno de calle Jalisco al Arroyo, calle Tequila de calle Jalisco al Arroyo, calle Agua Prieta de calle Jalisco al Arroyo, en la colonia Lomas Del Refugio, en el municipio de Zapopan, Jalisco.</v>
      </c>
      <c r="F256" s="8" t="s">
        <v>739</v>
      </c>
      <c r="G256" s="9">
        <f>'[1]V, inciso o) (OP)'!Y127</f>
        <v>1393254.78</v>
      </c>
      <c r="H256" s="8" t="s">
        <v>508</v>
      </c>
      <c r="I256" s="6" t="str">
        <f>'[1]V, inciso o) (OP)'!M127</f>
        <v>JOSE DE JESUS</v>
      </c>
      <c r="J256" s="6" t="str">
        <f>'[1]V, inciso o) (OP)'!N127</f>
        <v>MARQUEZ</v>
      </c>
      <c r="K256" s="6" t="str">
        <f>'[1]V, inciso o) (OP)'!O127</f>
        <v>AVILA</v>
      </c>
      <c r="L256" s="8" t="str">
        <f>'[1]V, inciso o) (OP)'!P127</f>
        <v>FUTUROBRAS, S.A. DE C.V.</v>
      </c>
      <c r="M256" s="6" t="str">
        <f>'[1]V, inciso o) (OP)'!Q127</f>
        <v>FUT1110275V9</v>
      </c>
      <c r="N256" s="9">
        <f>'[1]V, inciso o) (OP)'!Y127</f>
        <v>1393254.78</v>
      </c>
      <c r="O256" s="10" t="s">
        <v>40</v>
      </c>
      <c r="P256" s="10" t="s">
        <v>890</v>
      </c>
      <c r="Q256" s="11">
        <f>N256/1210</f>
        <v>1151.4502314049587</v>
      </c>
      <c r="R256" s="10" t="s">
        <v>42</v>
      </c>
      <c r="S256" s="14">
        <v>298</v>
      </c>
      <c r="T256" s="8" t="s">
        <v>43</v>
      </c>
      <c r="U256" s="6" t="s">
        <v>565</v>
      </c>
      <c r="V256" s="7">
        <f>'[1]V, inciso o) (OP)'!AD127</f>
        <v>42702</v>
      </c>
      <c r="W256" s="7">
        <f>'[1]V, inciso o) (OP)'!AE127</f>
        <v>42852</v>
      </c>
      <c r="X256" s="10" t="s">
        <v>640</v>
      </c>
      <c r="Y256" s="10" t="s">
        <v>496</v>
      </c>
      <c r="Z256" s="10" t="s">
        <v>741</v>
      </c>
      <c r="AA256" s="6" t="s">
        <v>40</v>
      </c>
      <c r="AB256" s="6" t="s">
        <v>40</v>
      </c>
    </row>
    <row r="257" spans="1:28" ht="67.5">
      <c r="A257" s="6">
        <v>2016</v>
      </c>
      <c r="B257" s="6" t="s">
        <v>64</v>
      </c>
      <c r="C257" s="8" t="str">
        <f>'[1]V, inciso o) (OP)'!C128</f>
        <v>DOPI-MUN-R33-ELE-AD-259-2016</v>
      </c>
      <c r="D257" s="13">
        <f>'[1]V, inciso o) (OP)'!V128</f>
        <v>42710</v>
      </c>
      <c r="E257" s="8" t="str">
        <f>'[1]V, inciso o) (OP)'!AA128</f>
        <v>Electrificación y alumbrado público en calle Latón, de calle Platino a calle Centenario, calle Limonita, de calle Níquel al Arroyo y calle Uranio, de calle Río Bajo al arroyo, en la colonia Arenales Tapatíos II, en el municipio de Zapopan, Jalisco.</v>
      </c>
      <c r="F257" s="8" t="s">
        <v>739</v>
      </c>
      <c r="G257" s="9">
        <f>'[1]V, inciso o) (OP)'!Y128</f>
        <v>992115.87</v>
      </c>
      <c r="H257" s="8" t="s">
        <v>891</v>
      </c>
      <c r="I257" s="6" t="str">
        <f>'[1]V, inciso o) (OP)'!M128</f>
        <v>RODRIGO</v>
      </c>
      <c r="J257" s="6" t="str">
        <f>'[1]V, inciso o) (OP)'!N128</f>
        <v>SOLIS</v>
      </c>
      <c r="K257" s="6" t="str">
        <f>'[1]V, inciso o) (OP)'!O128</f>
        <v>RUIZ</v>
      </c>
      <c r="L257" s="8" t="str">
        <f>'[1]V, inciso o) (OP)'!P128</f>
        <v>EQUIPO MANTENIMIENTO Y PLANEACION ELECTRICA, S.A. DE C.V.</v>
      </c>
      <c r="M257" s="6" t="str">
        <f>'[1]V, inciso o) (OP)'!Q128</f>
        <v>EMP080630FL0</v>
      </c>
      <c r="N257" s="9">
        <f>'[1]V, inciso o) (OP)'!Y128</f>
        <v>992115.87</v>
      </c>
      <c r="O257" s="10" t="s">
        <v>40</v>
      </c>
      <c r="P257" s="10" t="s">
        <v>892</v>
      </c>
      <c r="Q257" s="11">
        <f>N257/870</f>
        <v>1140.3630689655172</v>
      </c>
      <c r="R257" s="10" t="s">
        <v>42</v>
      </c>
      <c r="S257" s="14">
        <v>586</v>
      </c>
      <c r="T257" s="8" t="s">
        <v>43</v>
      </c>
      <c r="U257" s="6" t="s">
        <v>565</v>
      </c>
      <c r="V257" s="7">
        <f>'[1]V, inciso o) (OP)'!AD128</f>
        <v>42711</v>
      </c>
      <c r="W257" s="7">
        <f>'[1]V, inciso o) (OP)'!AE128</f>
        <v>42794</v>
      </c>
      <c r="X257" s="10" t="s">
        <v>640</v>
      </c>
      <c r="Y257" s="10" t="s">
        <v>496</v>
      </c>
      <c r="Z257" s="10" t="s">
        <v>741</v>
      </c>
      <c r="AA257" s="6" t="s">
        <v>40</v>
      </c>
      <c r="AB257" s="6" t="s">
        <v>40</v>
      </c>
    </row>
    <row r="258" spans="1:28" ht="40.5">
      <c r="A258" s="6">
        <v>2016</v>
      </c>
      <c r="B258" s="6" t="s">
        <v>64</v>
      </c>
      <c r="C258" s="8" t="str">
        <f>'[1]V, inciso o) (OP)'!C129</f>
        <v>DOPI-MUN-R33-ELE-AD-260-2016</v>
      </c>
      <c r="D258" s="13">
        <f>'[1]V, inciso o) (OP)'!V129</f>
        <v>42710</v>
      </c>
      <c r="E258" s="8" t="str">
        <f>'[1]V, inciso o) (OP)'!AA129</f>
        <v xml:space="preserve">Electrificación de pozo, en la localidad Los Patios, en el municipio de Zapopan, Jalisco. </v>
      </c>
      <c r="F258" s="8" t="s">
        <v>739</v>
      </c>
      <c r="G258" s="9">
        <f>'[1]V, inciso o) (OP)'!Y129</f>
        <v>1502368.1</v>
      </c>
      <c r="H258" s="8" t="s">
        <v>881</v>
      </c>
      <c r="I258" s="6" t="str">
        <f>'[1]V, inciso o) (OP)'!M129</f>
        <v>FAUSTO</v>
      </c>
      <c r="J258" s="6" t="str">
        <f>'[1]V, inciso o) (OP)'!N129</f>
        <v>GARNICA</v>
      </c>
      <c r="K258" s="6" t="str">
        <f>'[1]V, inciso o) (OP)'!O129</f>
        <v>PADILLA</v>
      </c>
      <c r="L258" s="8" t="str">
        <f>'[1]V, inciso o) (OP)'!P129</f>
        <v>FAUSTO GARNICA PADILLA</v>
      </c>
      <c r="M258" s="6" t="str">
        <f>'[1]V, inciso o) (OP)'!Q129</f>
        <v>GAPF5912193V9</v>
      </c>
      <c r="N258" s="9">
        <f>'[1]V, inciso o) (OP)'!Y129</f>
        <v>1502368.1</v>
      </c>
      <c r="O258" s="10" t="s">
        <v>40</v>
      </c>
      <c r="P258" s="10" t="s">
        <v>51</v>
      </c>
      <c r="Q258" s="11">
        <f>N258</f>
        <v>1502368.1</v>
      </c>
      <c r="R258" s="10" t="s">
        <v>42</v>
      </c>
      <c r="S258" s="14">
        <v>39</v>
      </c>
      <c r="T258" s="8" t="s">
        <v>43</v>
      </c>
      <c r="U258" s="6" t="s">
        <v>565</v>
      </c>
      <c r="V258" s="7">
        <f>'[1]V, inciso o) (OP)'!AD129</f>
        <v>42711</v>
      </c>
      <c r="W258" s="7">
        <f>'[1]V, inciso o) (OP)'!AE129</f>
        <v>42861</v>
      </c>
      <c r="X258" s="10" t="s">
        <v>640</v>
      </c>
      <c r="Y258" s="10" t="s">
        <v>496</v>
      </c>
      <c r="Z258" s="10" t="s">
        <v>741</v>
      </c>
      <c r="AA258" s="6" t="s">
        <v>40</v>
      </c>
      <c r="AB258" s="6" t="s">
        <v>40</v>
      </c>
    </row>
    <row r="259" spans="1:28" ht="81">
      <c r="A259" s="6">
        <v>2016</v>
      </c>
      <c r="B259" s="6" t="s">
        <v>64</v>
      </c>
      <c r="C259" s="8" t="str">
        <f>'[1]V, inciso o) (OP)'!C130</f>
        <v>DOPI-MUN-R33-IH-AD-261-2016</v>
      </c>
      <c r="D259" s="13">
        <f>'[1]V, inciso o) (OP)'!V130</f>
        <v>42710</v>
      </c>
      <c r="E259" s="8" t="str">
        <f>'[1]V, inciso o) (OP)'!AA130</f>
        <v>Construcción de línea de drenaje sanitario en la calle Rosal, de calle Colorines a calle Jazmín, en la colonia Floresta Del Collí; Obra complementaria de la línea de agua potable, en la colonia Misión San Genaro (Nuevo México), en el municipio de Zapopan Jalisco.</v>
      </c>
      <c r="F259" s="8" t="s">
        <v>739</v>
      </c>
      <c r="G259" s="9">
        <f>'[1]V, inciso o) (OP)'!Y130</f>
        <v>560225.48</v>
      </c>
      <c r="H259" s="8" t="s">
        <v>893</v>
      </c>
      <c r="I259" s="6" t="str">
        <f>'[1]V, inciso o) (OP)'!M130</f>
        <v>MADELEINE</v>
      </c>
      <c r="J259" s="6" t="str">
        <f>'[1]V, inciso o) (OP)'!N130</f>
        <v xml:space="preserve">GARZA </v>
      </c>
      <c r="K259" s="6" t="str">
        <f>'[1]V, inciso o) (OP)'!O130</f>
        <v>ESTRADA</v>
      </c>
      <c r="L259" s="8" t="str">
        <f>'[1]V, inciso o) (OP)'!P130</f>
        <v>SINERGIA URBANA, S.A. DE C.V.</v>
      </c>
      <c r="M259" s="6" t="str">
        <f>'[1]V, inciso o) (OP)'!Q130</f>
        <v>SUR091203ERA</v>
      </c>
      <c r="N259" s="9">
        <f>'[1]V, inciso o) (OP)'!Y130</f>
        <v>560225.48</v>
      </c>
      <c r="O259" s="10" t="s">
        <v>40</v>
      </c>
      <c r="P259" s="10" t="s">
        <v>894</v>
      </c>
      <c r="Q259" s="11">
        <f>N259/112</f>
        <v>5002.0132142857137</v>
      </c>
      <c r="R259" s="10" t="s">
        <v>42</v>
      </c>
      <c r="S259" s="14">
        <v>125</v>
      </c>
      <c r="T259" s="8" t="s">
        <v>43</v>
      </c>
      <c r="U259" s="6" t="s">
        <v>565</v>
      </c>
      <c r="V259" s="7">
        <f>'[1]V, inciso o) (OP)'!AD130</f>
        <v>42711</v>
      </c>
      <c r="W259" s="7">
        <f>'[1]V, inciso o) (OP)'!AE130</f>
        <v>42771</v>
      </c>
      <c r="X259" s="10" t="s">
        <v>536</v>
      </c>
      <c r="Y259" s="10" t="s">
        <v>383</v>
      </c>
      <c r="Z259" s="10" t="s">
        <v>300</v>
      </c>
      <c r="AA259" s="6" t="s">
        <v>40</v>
      </c>
      <c r="AB259" s="6" t="s">
        <v>40</v>
      </c>
    </row>
    <row r="260" spans="1:28" ht="108">
      <c r="A260" s="6">
        <v>2016</v>
      </c>
      <c r="B260" s="6" t="s">
        <v>64</v>
      </c>
      <c r="C260" s="8" t="str">
        <f>'[1]V, inciso o) (OP)'!C131</f>
        <v>DOPI-MUN-R33-IH-AD-262-2016</v>
      </c>
      <c r="D260" s="13">
        <f>'[1]V, inciso o) (OP)'!V131</f>
        <v>42713</v>
      </c>
      <c r="E260" s="8" t="str">
        <f>'[1]V, inciso o) (OP)'!AA131</f>
        <v>Construcción de línea de agua potable en la calle Tuna, de calle Carlos Herrera Jasso a calle Vista Hermosa, calle vista al poniente, de calle Carlos Herrera Jasso a calle Vista Hermosa, calle Vista Sur, de calle Vista Bonita a calle Vista Alta  y calle Vista Rivera, de calle Vista Bonita a calle Vista Alta, en la colonia Vista Hermosa, en el municipio de Zapopan Jalisco</v>
      </c>
      <c r="F260" s="8" t="s">
        <v>739</v>
      </c>
      <c r="G260" s="9">
        <f>'[1]V, inciso o) (OP)'!Y131</f>
        <v>1337560.18</v>
      </c>
      <c r="H260" s="8" t="s">
        <v>124</v>
      </c>
      <c r="I260" s="6" t="str">
        <f>'[1]V, inciso o) (OP)'!M131</f>
        <v>JUAN</v>
      </c>
      <c r="J260" s="6" t="str">
        <f>'[1]V, inciso o) (OP)'!N131</f>
        <v>PADILLA</v>
      </c>
      <c r="K260" s="6" t="str">
        <f>'[1]V, inciso o) (OP)'!O131</f>
        <v>AILHAUD</v>
      </c>
      <c r="L260" s="8" t="str">
        <f>'[1]V, inciso o) (OP)'!P131</f>
        <v>TRAMA CONSTRUCTORA Y MAQUINARIA, S.A. DE C.V.</v>
      </c>
      <c r="M260" s="6" t="str">
        <f>'[1]V, inciso o) (OP)'!Q131</f>
        <v>TCM0111148H5</v>
      </c>
      <c r="N260" s="9">
        <f>'[1]V, inciso o) (OP)'!Y131</f>
        <v>1337560.18</v>
      </c>
      <c r="O260" s="10" t="s">
        <v>40</v>
      </c>
      <c r="P260" s="10" t="s">
        <v>895</v>
      </c>
      <c r="Q260" s="11">
        <f>N260/1114.44</f>
        <v>1200.2083378198915</v>
      </c>
      <c r="R260" s="10" t="s">
        <v>42</v>
      </c>
      <c r="S260" s="14">
        <v>221</v>
      </c>
      <c r="T260" s="8" t="s">
        <v>43</v>
      </c>
      <c r="U260" s="6" t="s">
        <v>565</v>
      </c>
      <c r="V260" s="7">
        <f>'[1]V, inciso o) (OP)'!AD131</f>
        <v>42716</v>
      </c>
      <c r="W260" s="7">
        <f>'[1]V, inciso o) (OP)'!AE131</f>
        <v>42806</v>
      </c>
      <c r="X260" s="10" t="s">
        <v>671</v>
      </c>
      <c r="Y260" s="10" t="s">
        <v>334</v>
      </c>
      <c r="Z260" s="10" t="s">
        <v>133</v>
      </c>
      <c r="AA260" s="6" t="s">
        <v>40</v>
      </c>
      <c r="AB260" s="6" t="s">
        <v>40</v>
      </c>
    </row>
    <row r="261" spans="1:28" ht="81">
      <c r="A261" s="6">
        <v>2016</v>
      </c>
      <c r="B261" s="6" t="s">
        <v>64</v>
      </c>
      <c r="C261" s="8" t="str">
        <f>'[1]V, inciso o) (OP)'!C132</f>
        <v>DOPI-MUN-R33-PAV-AD-263-2016</v>
      </c>
      <c r="D261" s="13">
        <f>'[1]V, inciso o) (OP)'!V132</f>
        <v>42713</v>
      </c>
      <c r="E261" s="8" t="str">
        <f>'[1]V, inciso o) (OP)'!AA132</f>
        <v>Pavimentación con empedrado zampeado de la calle El Salto, de calle Fernando Montes De Oca a calle Valentín Gómez Farías; Construcción de Andador en la calle El Salto de la calle Valentín Gómez Farías al Arroyo, municipio de Zapopan, Jalisco</v>
      </c>
      <c r="F261" s="8" t="s">
        <v>739</v>
      </c>
      <c r="G261" s="9">
        <f>'[1]V, inciso o) (OP)'!Y132</f>
        <v>1510487.16</v>
      </c>
      <c r="H261" s="8" t="s">
        <v>884</v>
      </c>
      <c r="I261" s="6" t="str">
        <f>'[1]V, inciso o) (OP)'!M132</f>
        <v>ROBERTO</v>
      </c>
      <c r="J261" s="6" t="str">
        <f>'[1]V, inciso o) (OP)'!N132</f>
        <v>FLORES</v>
      </c>
      <c r="K261" s="6" t="str">
        <f>'[1]V, inciso o) (OP)'!O132</f>
        <v>ARREOLA</v>
      </c>
      <c r="L261" s="8" t="str">
        <f>'[1]V, inciso o) (OP)'!P132</f>
        <v>ESTUDIOS SISTEMAS Y CONSTRUCCIONES, S.A. DE C.V.</v>
      </c>
      <c r="M261" s="6" t="str">
        <f>'[1]V, inciso o) (OP)'!Q132</f>
        <v>ESC930617KW9</v>
      </c>
      <c r="N261" s="9">
        <f>'[1]V, inciso o) (OP)'!Y132</f>
        <v>1510487.16</v>
      </c>
      <c r="O261" s="10" t="s">
        <v>40</v>
      </c>
      <c r="P261" s="10" t="s">
        <v>896</v>
      </c>
      <c r="Q261" s="11">
        <f>N261/727.89</f>
        <v>2075.1585541771419</v>
      </c>
      <c r="R261" s="10" t="s">
        <v>42</v>
      </c>
      <c r="S261" s="14">
        <v>352</v>
      </c>
      <c r="T261" s="8" t="s">
        <v>43</v>
      </c>
      <c r="U261" s="6" t="s">
        <v>565</v>
      </c>
      <c r="V261" s="7">
        <f>'[1]V, inciso o) (OP)'!AD132</f>
        <v>42716</v>
      </c>
      <c r="W261" s="7">
        <f>'[1]V, inciso o) (OP)'!AE132</f>
        <v>42836</v>
      </c>
      <c r="X261" s="10" t="s">
        <v>681</v>
      </c>
      <c r="Y261" s="10" t="s">
        <v>682</v>
      </c>
      <c r="Z261" s="10" t="s">
        <v>683</v>
      </c>
      <c r="AA261" s="6" t="s">
        <v>40</v>
      </c>
      <c r="AB261" s="6" t="s">
        <v>40</v>
      </c>
    </row>
    <row r="262" spans="1:28" ht="40.5">
      <c r="A262" s="6">
        <v>2016</v>
      </c>
      <c r="B262" s="6" t="s">
        <v>64</v>
      </c>
      <c r="C262" s="8" t="str">
        <f>'[1]V, inciso o) (OP)'!C133</f>
        <v>DOPI-MUN-R33 BAN-AD-264-2016</v>
      </c>
      <c r="D262" s="13">
        <f>'[1]V, inciso o) (OP)'!V133</f>
        <v>42713</v>
      </c>
      <c r="E262" s="8" t="str">
        <f>'[1]V, inciso o) (OP)'!AA133</f>
        <v>Construcción de puente peatonal en el cruce de la calle Albañiles y calle Mirador, en la colonia Cabañitas, municipio de Zapopan, Jalisco.</v>
      </c>
      <c r="F262" s="8" t="s">
        <v>739</v>
      </c>
      <c r="G262" s="9">
        <f>'[1]V, inciso o) (OP)'!Y133</f>
        <v>1495874.33</v>
      </c>
      <c r="H262" s="8" t="s">
        <v>897</v>
      </c>
      <c r="I262" s="6" t="str">
        <f>'[1]V, inciso o) (OP)'!M133</f>
        <v>BRUNO</v>
      </c>
      <c r="J262" s="6" t="str">
        <f>'[1]V, inciso o) (OP)'!N133</f>
        <v>RUIZ</v>
      </c>
      <c r="K262" s="6" t="str">
        <f>'[1]V, inciso o) (OP)'!O133</f>
        <v>CASTAÑEDA</v>
      </c>
      <c r="L262" s="8" t="str">
        <f>'[1]V, inciso o) (OP)'!P133</f>
        <v>SERVICIOS DE INGENIERIA APLICADA, S.A. DE C.V.</v>
      </c>
      <c r="M262" s="6" t="str">
        <f>'[1]V, inciso o) (OP)'!Q133</f>
        <v>SIA011224UN1</v>
      </c>
      <c r="N262" s="9">
        <f>'[1]V, inciso o) (OP)'!Y133</f>
        <v>1495874.33</v>
      </c>
      <c r="O262" s="10"/>
      <c r="P262" s="10" t="s">
        <v>898</v>
      </c>
      <c r="Q262" s="11">
        <f>N262/20</f>
        <v>74793.71650000001</v>
      </c>
      <c r="R262" s="10" t="s">
        <v>42</v>
      </c>
      <c r="S262" s="14">
        <v>600</v>
      </c>
      <c r="T262" s="8" t="s">
        <v>43</v>
      </c>
      <c r="U262" s="6" t="s">
        <v>565</v>
      </c>
      <c r="V262" s="7">
        <f>'[1]V, inciso o) (OP)'!AD133</f>
        <v>42716</v>
      </c>
      <c r="W262" s="7">
        <f>'[1]V, inciso o) (OP)'!AE133</f>
        <v>42836</v>
      </c>
      <c r="X262" s="10" t="s">
        <v>681</v>
      </c>
      <c r="Y262" s="10" t="s">
        <v>682</v>
      </c>
      <c r="Z262" s="10" t="s">
        <v>683</v>
      </c>
      <c r="AA262" s="6" t="s">
        <v>40</v>
      </c>
      <c r="AB262" s="6" t="s">
        <v>40</v>
      </c>
    </row>
    <row r="263" spans="1:28" ht="40.5">
      <c r="A263" s="6">
        <v>2016</v>
      </c>
      <c r="B263" s="6" t="s">
        <v>64</v>
      </c>
      <c r="C263" s="8" t="str">
        <f>'[1]V, inciso o) (OP)'!C134</f>
        <v>DOPI-MUN-R33-ELE-AD-265-2016</v>
      </c>
      <c r="D263" s="13">
        <f>'[1]V, inciso o) (OP)'!V134</f>
        <v>42713</v>
      </c>
      <c r="E263" s="8" t="str">
        <f>'[1]V, inciso o) (OP)'!AA134</f>
        <v>Electrificación en la calle La Sidra, de calle Naranjo a 700 m,  en la localidad San Esteban,  en el municipio de Zapopan, Jalisco.</v>
      </c>
      <c r="F263" s="8" t="s">
        <v>739</v>
      </c>
      <c r="G263" s="9">
        <f>'[1]V, inciso o) (OP)'!Y134</f>
        <v>1475654.13</v>
      </c>
      <c r="H263" s="8" t="s">
        <v>899</v>
      </c>
      <c r="I263" s="6" t="str">
        <f>'[1]V, inciso o) (OP)'!M134</f>
        <v xml:space="preserve">HÉCTOR ALEJANDRO </v>
      </c>
      <c r="J263" s="6" t="str">
        <f>'[1]V, inciso o) (OP)'!N134</f>
        <v xml:space="preserve">ORTEGA </v>
      </c>
      <c r="K263" s="6" t="str">
        <f>'[1]V, inciso o) (OP)'!O134</f>
        <v>ROSALES</v>
      </c>
      <c r="L263" s="8" t="str">
        <f>'[1]V, inciso o) (OP)'!P134</f>
        <v>IME SERVICIOS Y SUMINISTROS, S.A. DE C.V.</v>
      </c>
      <c r="M263" s="6" t="str">
        <f>'[1]V, inciso o) (OP)'!Q134</f>
        <v>ISS920330811</v>
      </c>
      <c r="N263" s="9">
        <f>'[1]V, inciso o) (OP)'!Y134</f>
        <v>1475654.13</v>
      </c>
      <c r="O263" s="10" t="s">
        <v>40</v>
      </c>
      <c r="P263" s="10" t="s">
        <v>900</v>
      </c>
      <c r="Q263" s="11">
        <f>N263/1285</f>
        <v>1148.3689727626459</v>
      </c>
      <c r="R263" s="10" t="s">
        <v>42</v>
      </c>
      <c r="S263" s="14">
        <v>3726</v>
      </c>
      <c r="T263" s="8" t="s">
        <v>43</v>
      </c>
      <c r="U263" s="6" t="s">
        <v>565</v>
      </c>
      <c r="V263" s="7">
        <f>'[1]V, inciso o) (OP)'!AD134</f>
        <v>42716</v>
      </c>
      <c r="W263" s="7">
        <f>'[1]V, inciso o) (OP)'!AE134</f>
        <v>42866</v>
      </c>
      <c r="X263" s="10" t="s">
        <v>640</v>
      </c>
      <c r="Y263" s="10" t="s">
        <v>496</v>
      </c>
      <c r="Z263" s="10" t="s">
        <v>741</v>
      </c>
      <c r="AA263" s="6" t="s">
        <v>40</v>
      </c>
      <c r="AB263" s="6" t="s">
        <v>40</v>
      </c>
    </row>
    <row r="264" spans="1:28" ht="40.5">
      <c r="A264" s="6">
        <v>2016</v>
      </c>
      <c r="B264" s="6" t="s">
        <v>64</v>
      </c>
      <c r="C264" s="8" t="str">
        <f>'[1]V, inciso o) (OP)'!C135</f>
        <v>DOPI-MUN-R33-ELE-AD-266-2016</v>
      </c>
      <c r="D264" s="13">
        <f>'[1]V, inciso o) (OP)'!V135</f>
        <v>42713</v>
      </c>
      <c r="E264" s="8" t="str">
        <f>'[1]V, inciso o) (OP)'!AA135</f>
        <v xml:space="preserve">Línea de electrificación de pozo, en la localidad Milpillas Mesa De San Juan, en el municipio de Zapopan, Jalisco. </v>
      </c>
      <c r="F264" s="8" t="s">
        <v>739</v>
      </c>
      <c r="G264" s="9">
        <f>'[1]V, inciso o) (OP)'!Y135</f>
        <v>1497365.47</v>
      </c>
      <c r="H264" s="8" t="s">
        <v>901</v>
      </c>
      <c r="I264" s="6" t="str">
        <f>'[1]V, inciso o) (OP)'!M135</f>
        <v>JOSUE FERNANDO RAFAEL</v>
      </c>
      <c r="J264" s="6" t="str">
        <f>'[1]V, inciso o) (OP)'!N135</f>
        <v>ESCANES</v>
      </c>
      <c r="K264" s="6" t="str">
        <f>'[1]V, inciso o) (OP)'!O135</f>
        <v>TAMES</v>
      </c>
      <c r="L264" s="8" t="str">
        <f>'[1]V, inciso o) (OP)'!P135</f>
        <v>JALCO ILUMINACION, S.A. DE C.V.</v>
      </c>
      <c r="M264" s="6" t="str">
        <f>'[1]V, inciso o) (OP)'!Q135</f>
        <v>JIL9410139F9</v>
      </c>
      <c r="N264" s="9">
        <f>'[1]V, inciso o) (OP)'!Y135</f>
        <v>1497365.47</v>
      </c>
      <c r="O264" s="10" t="s">
        <v>40</v>
      </c>
      <c r="P264" s="10" t="s">
        <v>51</v>
      </c>
      <c r="Q264" s="11">
        <f>N264</f>
        <v>1497365.47</v>
      </c>
      <c r="R264" s="10" t="s">
        <v>42</v>
      </c>
      <c r="S264" s="14">
        <v>86</v>
      </c>
      <c r="T264" s="8" t="s">
        <v>43</v>
      </c>
      <c r="U264" s="6" t="s">
        <v>565</v>
      </c>
      <c r="V264" s="7">
        <f>'[1]V, inciso o) (OP)'!AD135</f>
        <v>42716</v>
      </c>
      <c r="W264" s="7">
        <f>'[1]V, inciso o) (OP)'!AE135</f>
        <v>42866</v>
      </c>
      <c r="X264" s="10" t="s">
        <v>640</v>
      </c>
      <c r="Y264" s="10" t="s">
        <v>496</v>
      </c>
      <c r="Z264" s="10" t="s">
        <v>741</v>
      </c>
      <c r="AA264" s="6" t="s">
        <v>40</v>
      </c>
      <c r="AB264" s="6" t="s">
        <v>40</v>
      </c>
    </row>
    <row r="265" spans="1:28" ht="81">
      <c r="A265" s="6">
        <v>2016</v>
      </c>
      <c r="B265" s="6" t="s">
        <v>64</v>
      </c>
      <c r="C265" s="8" t="str">
        <f>'[1]V, inciso o) (OP)'!C136</f>
        <v>DOPI-MUN-RM-IM-AD-267-2016</v>
      </c>
      <c r="D265" s="13">
        <f>'[1]V, inciso o) (OP)'!V136</f>
        <v>42713</v>
      </c>
      <c r="E265" s="8" t="str">
        <f>'[1]V, inciso o) (OP)'!AA136</f>
        <v>Rehabilitación de carpintería, instalación eléctrica, hidráulica, sanitaria, estructuras de protección de rayos ultravioleta, pisos, y albañilería en el Centro de Desarrollo Infantil del DIF No. 3 Irene Robledo García, ubicado en la colonia Fovissste, municipio de Zapopa</v>
      </c>
      <c r="F265" s="8" t="s">
        <v>184</v>
      </c>
      <c r="G265" s="9">
        <f>'[1]V, inciso o) (OP)'!Y136</f>
        <v>1390897.36</v>
      </c>
      <c r="H265" s="8" t="s">
        <v>902</v>
      </c>
      <c r="I265" s="6" t="str">
        <f>'[1]V, inciso o) (OP)'!M136</f>
        <v xml:space="preserve">RAFAEL </v>
      </c>
      <c r="J265" s="6" t="str">
        <f>'[1]V, inciso o) (OP)'!N136</f>
        <v>ARREGUIN</v>
      </c>
      <c r="K265" s="6" t="str">
        <f>'[1]V, inciso o) (OP)'!O136</f>
        <v>RENTERIA</v>
      </c>
      <c r="L265" s="8" t="str">
        <f>'[1]V, inciso o) (OP)'!P136</f>
        <v xml:space="preserve">ARH DESARROLLOS INMOBILIARIOS, S.A. DE C.V. </v>
      </c>
      <c r="M265" s="6" t="str">
        <f>'[1]V, inciso o) (OP)'!Q136</f>
        <v>ADI130522MB7</v>
      </c>
      <c r="N265" s="9">
        <f>'[1]V, inciso o) (OP)'!Y136</f>
        <v>1390897.36</v>
      </c>
      <c r="O265" s="10" t="s">
        <v>40</v>
      </c>
      <c r="P265" s="10" t="s">
        <v>903</v>
      </c>
      <c r="Q265" s="11">
        <f>N265/1380</f>
        <v>1007.8966376811595</v>
      </c>
      <c r="R265" s="10" t="s">
        <v>42</v>
      </c>
      <c r="S265" s="14">
        <v>1263</v>
      </c>
      <c r="T265" s="8" t="s">
        <v>43</v>
      </c>
      <c r="U265" s="6" t="s">
        <v>565</v>
      </c>
      <c r="V265" s="7">
        <f>'[1]V, inciso o) (OP)'!AD136</f>
        <v>42716</v>
      </c>
      <c r="W265" s="7">
        <f>'[1]V, inciso o) (OP)'!AE136</f>
        <v>42746</v>
      </c>
      <c r="X265" s="10" t="s">
        <v>835</v>
      </c>
      <c r="Y265" s="10" t="s">
        <v>519</v>
      </c>
      <c r="Z265" s="10" t="s">
        <v>63</v>
      </c>
      <c r="AA265" s="6" t="s">
        <v>40</v>
      </c>
      <c r="AB265" s="6" t="s">
        <v>40</v>
      </c>
    </row>
    <row r="266" spans="1:28" ht="81">
      <c r="A266" s="6">
        <v>2016</v>
      </c>
      <c r="B266" s="6" t="s">
        <v>64</v>
      </c>
      <c r="C266" s="8" t="str">
        <f>'[1]V, inciso o) (OP)'!C137</f>
        <v>DOPI-MUN-RM-IM-AD-268-2016</v>
      </c>
      <c r="D266" s="13">
        <f>'[1]V, inciso o) (OP)'!V137</f>
        <v>42713</v>
      </c>
      <c r="E266" s="8" t="str">
        <f>'[1]V, inciso o) (OP)'!AA137</f>
        <v>Rehabilitación de carpintería, instalación eléctrica, hidráulica, sanitaria, estructuras de protección de rayos ultravioleta, pisos, juegos infantiles y albañilería en el Centro de Desarrollo Infantil del DIF No. 4 Melvin Jones, ubicado en la colonia Jardines del Sol, municipio de Zapopan, Jalisco</v>
      </c>
      <c r="F266" s="8" t="s">
        <v>184</v>
      </c>
      <c r="G266" s="9">
        <f>'[1]V, inciso o) (OP)'!Y137</f>
        <v>1472678.88</v>
      </c>
      <c r="H266" s="8" t="s">
        <v>904</v>
      </c>
      <c r="I266" s="6" t="str">
        <f>'[1]V, inciso o) (OP)'!M137</f>
        <v xml:space="preserve">GUILLERMO </v>
      </c>
      <c r="J266" s="6" t="str">
        <f>'[1]V, inciso o) (OP)'!N137</f>
        <v>RODRIGUEZ</v>
      </c>
      <c r="K266" s="6" t="str">
        <f>'[1]V, inciso o) (OP)'!O137</f>
        <v>MEZA</v>
      </c>
      <c r="L266" s="8" t="str">
        <f>'[1]V, inciso o) (OP)'!P137</f>
        <v>CORPORATIVO ALMIRA DE JALISCO, S.A. DE C.V.</v>
      </c>
      <c r="M266" s="6" t="str">
        <f>'[1]V, inciso o) (OP)'!Q137</f>
        <v>CAJ1208151M8</v>
      </c>
      <c r="N266" s="9">
        <f>'[1]V, inciso o) (OP)'!Y137</f>
        <v>1472678.88</v>
      </c>
      <c r="O266" s="10" t="s">
        <v>40</v>
      </c>
      <c r="P266" s="10" t="s">
        <v>905</v>
      </c>
      <c r="Q266" s="11">
        <f>N266/1461.14</f>
        <v>1007.8971761775051</v>
      </c>
      <c r="R266" s="10" t="s">
        <v>42</v>
      </c>
      <c r="S266" s="14">
        <v>1158</v>
      </c>
      <c r="T266" s="8" t="s">
        <v>43</v>
      </c>
      <c r="U266" s="6" t="s">
        <v>565</v>
      </c>
      <c r="V266" s="7">
        <f>'[1]V, inciso o) (OP)'!AD137</f>
        <v>42716</v>
      </c>
      <c r="W266" s="7">
        <f>'[1]V, inciso o) (OP)'!AE137</f>
        <v>42776</v>
      </c>
      <c r="X266" s="10" t="s">
        <v>835</v>
      </c>
      <c r="Y266" s="10" t="s">
        <v>519</v>
      </c>
      <c r="Z266" s="10" t="s">
        <v>63</v>
      </c>
      <c r="AA266" s="6" t="s">
        <v>40</v>
      </c>
      <c r="AB266" s="6" t="s">
        <v>40</v>
      </c>
    </row>
    <row r="267" spans="1:28" ht="54">
      <c r="A267" s="6">
        <v>2016</v>
      </c>
      <c r="B267" s="6" t="s">
        <v>64</v>
      </c>
      <c r="C267" s="8" t="str">
        <f>'[1]V, inciso o) (OP)'!C138</f>
        <v>DOPI-MUN-RM-PROY-AD-269-2016</v>
      </c>
      <c r="D267" s="13">
        <f>'[1]V, inciso o) (OP)'!V138</f>
        <v>42713</v>
      </c>
      <c r="E267" s="8" t="str">
        <f>'[1]V, inciso o) (OP)'!AA138</f>
        <v>Diagnóstico, diseño y proyectos hidráulicos 2016, segunda etapa, de diferentes redes de agua potable y alcantarillado, municipio de Zapopan Jalisco.</v>
      </c>
      <c r="F267" s="8" t="s">
        <v>184</v>
      </c>
      <c r="G267" s="9">
        <f>'[1]V, inciso o) (OP)'!Y138</f>
        <v>1095388.1499999999</v>
      </c>
      <c r="H267" s="8" t="s">
        <v>583</v>
      </c>
      <c r="I267" s="6" t="str">
        <f>'[1]V, inciso o) (OP)'!M138</f>
        <v xml:space="preserve">RODOLFO </v>
      </c>
      <c r="J267" s="6" t="str">
        <f>'[1]V, inciso o) (OP)'!N138</f>
        <v xml:space="preserve">VELAZQUEZ </v>
      </c>
      <c r="K267" s="6" t="str">
        <f>'[1]V, inciso o) (OP)'!O138</f>
        <v>ORDOÑEZ</v>
      </c>
      <c r="L267" s="8" t="str">
        <f>'[1]V, inciso o) (OP)'!P138</f>
        <v>VELAZQUEZ INGENIERIA ECOLOGICA, S.A. DE C.V.</v>
      </c>
      <c r="M267" s="6" t="str">
        <f>'[1]V, inciso o) (OP)'!Q138</f>
        <v>VIE110125RL4</v>
      </c>
      <c r="N267" s="9">
        <f>'[1]V, inciso o) (OP)'!Y138</f>
        <v>1095388.1499999999</v>
      </c>
      <c r="O267" s="10" t="s">
        <v>40</v>
      </c>
      <c r="P267" s="6" t="s">
        <v>847</v>
      </c>
      <c r="Q267" s="9">
        <f>N267</f>
        <v>1095388.1499999999</v>
      </c>
      <c r="R267" s="6" t="s">
        <v>232</v>
      </c>
      <c r="S267" s="12" t="s">
        <v>232</v>
      </c>
      <c r="T267" s="8" t="s">
        <v>43</v>
      </c>
      <c r="U267" s="6" t="s">
        <v>565</v>
      </c>
      <c r="V267" s="7">
        <f>'[1]V, inciso o) (OP)'!AD138</f>
        <v>42716</v>
      </c>
      <c r="W267" s="7">
        <f>'[1]V, inciso o) (OP)'!AE138</f>
        <v>42866</v>
      </c>
      <c r="X267" s="10" t="s">
        <v>906</v>
      </c>
      <c r="Y267" s="10" t="s">
        <v>907</v>
      </c>
      <c r="Z267" s="10" t="s">
        <v>245</v>
      </c>
      <c r="AA267" s="6" t="s">
        <v>40</v>
      </c>
      <c r="AB267" s="6" t="s">
        <v>40</v>
      </c>
    </row>
    <row r="268" spans="1:28" ht="54">
      <c r="A268" s="6">
        <v>2016</v>
      </c>
      <c r="B268" s="6" t="s">
        <v>64</v>
      </c>
      <c r="C268" s="8" t="str">
        <f>'[1]V, inciso o) (OP)'!C139</f>
        <v>DOPI-MUN-RM-IM-AD-270-2016</v>
      </c>
      <c r="D268" s="13">
        <f>'[1]V, inciso o) (OP)'!V139</f>
        <v>42713</v>
      </c>
      <c r="E268" s="8" t="str">
        <f>'[1]V, inciso o) (OP)'!AA139</f>
        <v>Rehabilitación de baños públicos en el Centro Acuatico Zapopan, Unidad Deportiva Francisco Villa y en la Unidad Deportiva Base Aérea, Municipio de Zapopan, Jalisco.</v>
      </c>
      <c r="F268" s="8" t="s">
        <v>184</v>
      </c>
      <c r="G268" s="9">
        <f>'[1]V, inciso o) (OP)'!Y139</f>
        <v>1485215.47</v>
      </c>
      <c r="H268" s="8" t="s">
        <v>583</v>
      </c>
      <c r="I268" s="6" t="str">
        <f>'[1]V, inciso o) (OP)'!M139</f>
        <v xml:space="preserve">JUAN RAUL </v>
      </c>
      <c r="J268" s="6" t="str">
        <f>'[1]V, inciso o) (OP)'!N139</f>
        <v>RODRIGUEZ</v>
      </c>
      <c r="K268" s="6" t="str">
        <f>'[1]V, inciso o) (OP)'!O139</f>
        <v>GUERRERO</v>
      </c>
      <c r="L268" s="8" t="str">
        <f>'[1]V, inciso o) (OP)'!P139</f>
        <v xml:space="preserve">SUMA TERRA OBRAS Y PROYECTOS, S.A. DE C.V. </v>
      </c>
      <c r="M268" s="6" t="str">
        <f>'[1]V, inciso o) (OP)'!Q139</f>
        <v>STO0707062J9</v>
      </c>
      <c r="N268" s="9">
        <f>'[1]V, inciso o) (OP)'!Y139</f>
        <v>1485215.47</v>
      </c>
      <c r="O268" s="10" t="s">
        <v>40</v>
      </c>
      <c r="P268" s="10">
        <v>115.21</v>
      </c>
      <c r="Q268" s="11">
        <f>N268/115.21</f>
        <v>12891.376356219078</v>
      </c>
      <c r="R268" s="10" t="s">
        <v>42</v>
      </c>
      <c r="S268" s="14">
        <v>1865</v>
      </c>
      <c r="T268" s="8" t="s">
        <v>43</v>
      </c>
      <c r="U268" s="6" t="s">
        <v>565</v>
      </c>
      <c r="V268" s="7">
        <f>'[1]V, inciso o) (OP)'!AD139</f>
        <v>42716</v>
      </c>
      <c r="W268" s="7">
        <f>'[1]V, inciso o) (OP)'!AE139</f>
        <v>42806</v>
      </c>
      <c r="X268" s="10" t="s">
        <v>686</v>
      </c>
      <c r="Y268" s="10" t="s">
        <v>687</v>
      </c>
      <c r="Z268" s="10" t="s">
        <v>268</v>
      </c>
      <c r="AA268" s="6" t="s">
        <v>40</v>
      </c>
      <c r="AB268" s="6" t="s">
        <v>40</v>
      </c>
    </row>
    <row r="269" spans="1:28" ht="67.5">
      <c r="A269" s="6">
        <v>2016</v>
      </c>
      <c r="B269" s="6" t="s">
        <v>64</v>
      </c>
      <c r="C269" s="8" t="str">
        <f>'[1]V, inciso o) (OP)'!C140</f>
        <v>DOPI-MUN-RM-IM-AD-272-2016</v>
      </c>
      <c r="D269" s="13">
        <f>'[1]V, inciso o) (OP)'!V140</f>
        <v>42713</v>
      </c>
      <c r="E269" s="8" t="str">
        <f>'[1]V, inciso o) (OP)'!AA140</f>
        <v>Rehabilitación de baños públicos en la Unidad Deportiva El Vergel, Unidad Deportiva Santa Margarita "Las Margaritas" y en la Unidad Deportiva Santa Ana Tepetitlán, municipio de Zapopan, Jalisco</v>
      </c>
      <c r="F269" s="8" t="s">
        <v>184</v>
      </c>
      <c r="G269" s="9">
        <f>'[1]V, inciso o) (OP)'!Y140</f>
        <v>1450236.87</v>
      </c>
      <c r="H269" s="8" t="s">
        <v>908</v>
      </c>
      <c r="I269" s="6" t="str">
        <f>'[1]V, inciso o) (OP)'!M140</f>
        <v xml:space="preserve">ARTURO </v>
      </c>
      <c r="J269" s="6" t="str">
        <f>'[1]V, inciso o) (OP)'!N140</f>
        <v>DISTANCIA</v>
      </c>
      <c r="K269" s="6" t="str">
        <f>'[1]V, inciso o) (OP)'!O140</f>
        <v>SANCHEZ</v>
      </c>
      <c r="L269" s="8" t="str">
        <f>'[1]V, inciso o) (OP)'!P140</f>
        <v>JAVAX CONSULTORES, S.A. DE C.V.</v>
      </c>
      <c r="M269" s="6" t="str">
        <f>'[1]V, inciso o) (OP)'!Q140</f>
        <v>JCO160413SK4</v>
      </c>
      <c r="N269" s="9">
        <f>'[1]V, inciso o) (OP)'!Y140</f>
        <v>1450236.87</v>
      </c>
      <c r="O269" s="10" t="s">
        <v>40</v>
      </c>
      <c r="P269" s="10">
        <v>89.68</v>
      </c>
      <c r="Q269" s="11">
        <f>N269/89.68</f>
        <v>16171.240744870651</v>
      </c>
      <c r="R269" s="10" t="s">
        <v>42</v>
      </c>
      <c r="S269" s="14">
        <v>6522</v>
      </c>
      <c r="T269" s="8" t="s">
        <v>43</v>
      </c>
      <c r="U269" s="6" t="s">
        <v>565</v>
      </c>
      <c r="V269" s="7">
        <f>'[1]V, inciso o) (OP)'!AD140</f>
        <v>42716</v>
      </c>
      <c r="W269" s="7">
        <f>'[1]V, inciso o) (OP)'!AE140</f>
        <v>42806</v>
      </c>
      <c r="X269" s="10" t="s">
        <v>686</v>
      </c>
      <c r="Y269" s="10" t="s">
        <v>687</v>
      </c>
      <c r="Z269" s="10" t="s">
        <v>268</v>
      </c>
      <c r="AA269" s="6" t="s">
        <v>40</v>
      </c>
      <c r="AB269" s="6" t="s">
        <v>40</v>
      </c>
    </row>
    <row r="270" spans="1:28" ht="40.5">
      <c r="A270" s="6">
        <v>2016</v>
      </c>
      <c r="B270" s="6" t="s">
        <v>64</v>
      </c>
      <c r="C270" s="8" t="str">
        <f>'[1]V, inciso o) (OP)'!C141</f>
        <v>DOPI-MUN-RM-ELE-AD-274-2016</v>
      </c>
      <c r="D270" s="13">
        <f>'[1]V, inciso o) (OP)'!V141</f>
        <v>42713</v>
      </c>
      <c r="E270" s="8" t="str">
        <f>'[1]V, inciso o) (OP)'!AA141</f>
        <v>Suministro e instalación de sistema de pararrayos en el Centro Cultural Constitución, municipio de Zapopan, Jalisco</v>
      </c>
      <c r="F270" s="8" t="s">
        <v>184</v>
      </c>
      <c r="G270" s="9">
        <f>'[1]V, inciso o) (OP)'!Y141</f>
        <v>569255.19400000002</v>
      </c>
      <c r="H270" s="8" t="s">
        <v>707</v>
      </c>
      <c r="I270" s="6" t="str">
        <f>'[1]V, inciso o) (OP)'!M141</f>
        <v>PIA LORENA</v>
      </c>
      <c r="J270" s="6" t="str">
        <f>'[1]V, inciso o) (OP)'!N141</f>
        <v>BUENROSTRO</v>
      </c>
      <c r="K270" s="6" t="str">
        <f>'[1]V, inciso o) (OP)'!O141</f>
        <v>AHUED</v>
      </c>
      <c r="L270" s="8" t="str">
        <f>'[1]V, inciso o) (OP)'!P141</f>
        <v>BIRMEK CONSTRUCCIONES, S.A. DE C.V.</v>
      </c>
      <c r="M270" s="6" t="str">
        <f>'[1]V, inciso o) (OP)'!Q141</f>
        <v>BCO070129512</v>
      </c>
      <c r="N270" s="9">
        <f>'[1]V, inciso o) (OP)'!Y141</f>
        <v>569255.19400000002</v>
      </c>
      <c r="O270" s="10" t="s">
        <v>40</v>
      </c>
      <c r="P270" s="10" t="s">
        <v>51</v>
      </c>
      <c r="Q270" s="11">
        <f>N270</f>
        <v>569255.19400000002</v>
      </c>
      <c r="R270" s="10" t="s">
        <v>42</v>
      </c>
      <c r="S270" s="14">
        <v>25652</v>
      </c>
      <c r="T270" s="8" t="s">
        <v>43</v>
      </c>
      <c r="U270" s="6" t="s">
        <v>565</v>
      </c>
      <c r="V270" s="7">
        <f>'[1]V, inciso o) (OP)'!AD141</f>
        <v>42716</v>
      </c>
      <c r="W270" s="7">
        <f>'[1]V, inciso o) (OP)'!AE141</f>
        <v>42766</v>
      </c>
      <c r="X270" s="10" t="s">
        <v>650</v>
      </c>
      <c r="Y270" s="10" t="s">
        <v>651</v>
      </c>
      <c r="Z270" s="10" t="s">
        <v>652</v>
      </c>
      <c r="AA270" s="6" t="s">
        <v>40</v>
      </c>
      <c r="AB270" s="6" t="s">
        <v>40</v>
      </c>
    </row>
    <row r="271" spans="1:28" ht="54">
      <c r="A271" s="6">
        <v>2016</v>
      </c>
      <c r="B271" s="6" t="s">
        <v>64</v>
      </c>
      <c r="C271" s="8" t="str">
        <f>'[1]V, inciso o) (OP)'!C142</f>
        <v>DOPI-MUN-RM-PAV-AD-275-2016</v>
      </c>
      <c r="D271" s="13">
        <f>'[1]V, inciso o) (OP)'!V142</f>
        <v>42713</v>
      </c>
      <c r="E271" s="8" t="str">
        <f>'[1]V, inciso o) (OP)'!AA142</f>
        <v>Pavimentación con concreto asfáltico en el retorno Periférico Sur hacía Av, Santa Esther y en el retorno Periférico Norte hacía Av. Juan Pablo II, municipio de Zapopan, Jalisco</v>
      </c>
      <c r="F271" s="8" t="s">
        <v>184</v>
      </c>
      <c r="G271" s="9">
        <f>'[1]V, inciso o) (OP)'!Y142</f>
        <v>876527.94</v>
      </c>
      <c r="H271" s="8" t="s">
        <v>837</v>
      </c>
      <c r="I271" s="6" t="str">
        <f>'[1]V, inciso o) (OP)'!M142</f>
        <v>JESUS DAVID</v>
      </c>
      <c r="J271" s="6" t="str">
        <f>'[1]V, inciso o) (OP)'!N142</f>
        <v xml:space="preserve">GARZA </v>
      </c>
      <c r="K271" s="6" t="str">
        <f>'[1]V, inciso o) (OP)'!O142</f>
        <v>GARCIA</v>
      </c>
      <c r="L271" s="8" t="str">
        <f>'[1]V, inciso o) (OP)'!P142</f>
        <v>CONSTRUCCION GG, S.A. DE C.V.</v>
      </c>
      <c r="M271" s="6" t="str">
        <f>'[1]V, inciso o) (OP)'!Q142</f>
        <v>CGG040518F81</v>
      </c>
      <c r="N271" s="9">
        <f>'[1]V, inciso o) (OP)'!Y142</f>
        <v>876527.94</v>
      </c>
      <c r="O271" s="10" t="s">
        <v>40</v>
      </c>
      <c r="P271" s="10" t="s">
        <v>909</v>
      </c>
      <c r="Q271" s="11">
        <f>N271/1270</f>
        <v>690.17948031496064</v>
      </c>
      <c r="R271" s="10" t="s">
        <v>42</v>
      </c>
      <c r="S271" s="14">
        <v>258974</v>
      </c>
      <c r="T271" s="8" t="s">
        <v>43</v>
      </c>
      <c r="U271" s="6" t="s">
        <v>565</v>
      </c>
      <c r="V271" s="7">
        <f>'[1]V, inciso o) (OP)'!AD142</f>
        <v>42716</v>
      </c>
      <c r="W271" s="7">
        <f>'[1]V, inciso o) (OP)'!AE142</f>
        <v>42766</v>
      </c>
      <c r="X271" s="10" t="s">
        <v>839</v>
      </c>
      <c r="Y271" s="10" t="s">
        <v>840</v>
      </c>
      <c r="Z271" s="10" t="s">
        <v>841</v>
      </c>
      <c r="AA271" s="6" t="s">
        <v>40</v>
      </c>
      <c r="AB271" s="6" t="s">
        <v>40</v>
      </c>
    </row>
    <row r="272" spans="1:28" ht="54">
      <c r="A272" s="6">
        <v>2016</v>
      </c>
      <c r="B272" s="6" t="s">
        <v>64</v>
      </c>
      <c r="C272" s="8" t="str">
        <f>'[1]V, inciso o) (OP)'!C143</f>
        <v>DOPI-MUN-RM-IH-AD-277-2016</v>
      </c>
      <c r="D272" s="13">
        <f>'[1]V, inciso o) (OP)'!V143</f>
        <v>42699</v>
      </c>
      <c r="E272" s="8" t="str">
        <f>'[1]V, inciso o) (OP)'!AA143</f>
        <v xml:space="preserve">Construcción de red de drenaje sanitario en la calle Malinalli, de la calle Cholollan a la calle Delli, colonia Mesa Colorada, municipio de Zapopan, Jalisco </v>
      </c>
      <c r="F272" s="8" t="s">
        <v>184</v>
      </c>
      <c r="G272" s="9">
        <f>'[1]V, inciso o) (OP)'!Y143</f>
        <v>924106.84</v>
      </c>
      <c r="H272" s="8" t="s">
        <v>910</v>
      </c>
      <c r="I272" s="6" t="str">
        <f>'[1]V, inciso o) (OP)'!M143</f>
        <v>JOSE ANTONIO</v>
      </c>
      <c r="J272" s="6" t="str">
        <f>'[1]V, inciso o) (OP)'!N143</f>
        <v>ALVAREZ</v>
      </c>
      <c r="K272" s="6" t="str">
        <f>'[1]V, inciso o) (OP)'!O143</f>
        <v>ZULOAGA</v>
      </c>
      <c r="L272" s="8" t="str">
        <f>'[1]V, inciso o) (OP)'!P143</f>
        <v>GRUPO DESARROLLADOR ALZU, S.A. DE C.V.</v>
      </c>
      <c r="M272" s="6" t="str">
        <f>'[1]V, inciso o) (OP)'!Q143</f>
        <v>GDA150928286</v>
      </c>
      <c r="N272" s="9">
        <f>'[1]V, inciso o) (OP)'!Y143</f>
        <v>924106.84</v>
      </c>
      <c r="O272" s="10" t="s">
        <v>40</v>
      </c>
      <c r="P272" s="10" t="s">
        <v>911</v>
      </c>
      <c r="Q272" s="11">
        <f>N272/660</f>
        <v>1400.1618787878788</v>
      </c>
      <c r="R272" s="10" t="s">
        <v>42</v>
      </c>
      <c r="S272" s="14">
        <v>342</v>
      </c>
      <c r="T272" s="8" t="s">
        <v>43</v>
      </c>
      <c r="U272" s="6" t="s">
        <v>565</v>
      </c>
      <c r="V272" s="7">
        <f>'[1]V, inciso o) (OP)'!AD143</f>
        <v>42702</v>
      </c>
      <c r="W272" s="7">
        <f>'[1]V, inciso o) (OP)'!AE143</f>
        <v>42750</v>
      </c>
      <c r="X272" s="10" t="s">
        <v>556</v>
      </c>
      <c r="Y272" s="10" t="s">
        <v>557</v>
      </c>
      <c r="Z272" s="10" t="s">
        <v>558</v>
      </c>
      <c r="AA272" s="6" t="s">
        <v>40</v>
      </c>
      <c r="AB272" s="6" t="s">
        <v>40</v>
      </c>
    </row>
    <row r="273" spans="1:28" ht="40.5">
      <c r="A273" s="6">
        <v>2016</v>
      </c>
      <c r="B273" s="6" t="s">
        <v>64</v>
      </c>
      <c r="C273" s="8" t="str">
        <f>'[1]V, inciso o) (OP)'!C144</f>
        <v>DOPI-MUN-RM-IH-AD-278-2016</v>
      </c>
      <c r="D273" s="13">
        <f>'[1]V, inciso o) (OP)'!V144</f>
        <v>42706</v>
      </c>
      <c r="E273" s="8" t="str">
        <f>'[1]V, inciso o) (OP)'!AA144</f>
        <v>Instalación de tomas domiciliarias en la colonia Marcelino García Barragán, municipio de Zapopan, Jalisco</v>
      </c>
      <c r="F273" s="8" t="s">
        <v>184</v>
      </c>
      <c r="G273" s="9">
        <f>'[1]V, inciso o) (OP)'!Y144</f>
        <v>626297.09</v>
      </c>
      <c r="H273" s="8" t="s">
        <v>912</v>
      </c>
      <c r="I273" s="6" t="str">
        <f>'[1]V, inciso o) (OP)'!M144</f>
        <v>JAVIER</v>
      </c>
      <c r="J273" s="6" t="str">
        <f>'[1]V, inciso o) (OP)'!N144</f>
        <v xml:space="preserve">ÁVILA </v>
      </c>
      <c r="K273" s="6" t="str">
        <f>'[1]V, inciso o) (OP)'!O144</f>
        <v>FLORES</v>
      </c>
      <c r="L273" s="8" t="str">
        <f>'[1]V, inciso o) (OP)'!P144</f>
        <v>SAVHO CONSULTORÍA Y CONSTRUCCIÓN, S.A. DE C.V.</v>
      </c>
      <c r="M273" s="6" t="str">
        <f>'[1]V, inciso o) (OP)'!Q144</f>
        <v>SCC060622HZ3</v>
      </c>
      <c r="N273" s="9">
        <f>'[1]V, inciso o) (OP)'!Y144</f>
        <v>626297.09</v>
      </c>
      <c r="O273" s="10" t="s">
        <v>40</v>
      </c>
      <c r="P273" s="10" t="s">
        <v>913</v>
      </c>
      <c r="Q273" s="11">
        <f>N273/447</f>
        <v>1401.112058165548</v>
      </c>
      <c r="R273" s="10" t="s">
        <v>42</v>
      </c>
      <c r="S273" s="14">
        <v>185</v>
      </c>
      <c r="T273" s="8" t="s">
        <v>43</v>
      </c>
      <c r="U273" s="6" t="s">
        <v>565</v>
      </c>
      <c r="V273" s="7">
        <f>'[1]V, inciso o) (OP)'!AD144</f>
        <v>42709</v>
      </c>
      <c r="W273" s="7">
        <f>'[1]V, inciso o) (OP)'!AE144</f>
        <v>42754</v>
      </c>
      <c r="X273" s="10" t="s">
        <v>544</v>
      </c>
      <c r="Y273" s="10" t="s">
        <v>545</v>
      </c>
      <c r="Z273" s="10" t="s">
        <v>212</v>
      </c>
      <c r="AA273" s="6" t="s">
        <v>40</v>
      </c>
      <c r="AB273" s="6" t="s">
        <v>40</v>
      </c>
    </row>
    <row r="274" spans="1:28" ht="67.5">
      <c r="A274" s="6">
        <v>2016</v>
      </c>
      <c r="B274" s="6" t="s">
        <v>64</v>
      </c>
      <c r="C274" s="8" t="str">
        <f>'[1]V, inciso o) (OP)'!C145</f>
        <v>DOPI-MUN-RM-SERV-AD-279-2016</v>
      </c>
      <c r="D274" s="13">
        <f>'[1]V, inciso o) (OP)'!V145</f>
        <v>42720</v>
      </c>
      <c r="E274" s="8" t="str">
        <f>'[1]V, inciso o) (OP)'!AA145</f>
        <v>Servicios de consultoría para la elaboración de bases, coordinación técnica del proceso de licitación, contratación y supervisión técnica de la ejecución del complejo C4 Zapopan, municipio de Zapopan, Jalisco</v>
      </c>
      <c r="F274" s="8" t="s">
        <v>67</v>
      </c>
      <c r="G274" s="9">
        <f>'[1]V, inciso o) (OP)'!Y145</f>
        <v>1214979.8</v>
      </c>
      <c r="H274" s="8" t="s">
        <v>231</v>
      </c>
      <c r="I274" s="6" t="str">
        <f>'[1]V, inciso o) (OP)'!M145</f>
        <v>DANIEL</v>
      </c>
      <c r="J274" s="6" t="str">
        <f>'[1]V, inciso o) (OP)'!N145</f>
        <v>SEGURA</v>
      </c>
      <c r="K274" s="6" t="str">
        <f>'[1]V, inciso o) (OP)'!O145</f>
        <v>URBANO</v>
      </c>
      <c r="L274" s="8" t="str">
        <f>'[1]V, inciso o) (OP)'!P145</f>
        <v>SEGURA URBANO  DANIEL</v>
      </c>
      <c r="M274" s="6" t="str">
        <f>'[1]V, inciso o) (OP)'!Q145</f>
        <v>SEUD690208177</v>
      </c>
      <c r="N274" s="9">
        <f>'[1]V, inciso o) (OP)'!Y145</f>
        <v>1214979.8</v>
      </c>
      <c r="O274" s="10" t="s">
        <v>40</v>
      </c>
      <c r="P274" s="6" t="s">
        <v>914</v>
      </c>
      <c r="Q274" s="9">
        <f>N274</f>
        <v>1214979.8</v>
      </c>
      <c r="R274" s="6" t="s">
        <v>232</v>
      </c>
      <c r="S274" s="12" t="s">
        <v>232</v>
      </c>
      <c r="T274" s="8" t="s">
        <v>43</v>
      </c>
      <c r="U274" s="6" t="s">
        <v>565</v>
      </c>
      <c r="V274" s="7">
        <f>'[1]V, inciso o) (OP)'!AD145</f>
        <v>42723</v>
      </c>
      <c r="W274" s="7">
        <f>'[1]V, inciso o) (OP)'!AE145</f>
        <v>42886</v>
      </c>
      <c r="X274" s="10" t="s">
        <v>915</v>
      </c>
      <c r="Y274" s="10" t="s">
        <v>916</v>
      </c>
      <c r="Z274" s="10" t="s">
        <v>263</v>
      </c>
      <c r="AA274" s="6" t="s">
        <v>40</v>
      </c>
      <c r="AB274" s="6" t="s">
        <v>40</v>
      </c>
    </row>
    <row r="275" spans="1:28" s="35" customFormat="1" ht="40.5">
      <c r="A275" s="6">
        <v>2016</v>
      </c>
      <c r="B275" s="8" t="s">
        <v>64</v>
      </c>
      <c r="C275" s="8" t="s">
        <v>953</v>
      </c>
      <c r="D275" s="13">
        <v>42720</v>
      </c>
      <c r="E275" s="33" t="s">
        <v>954</v>
      </c>
      <c r="F275" s="8" t="s">
        <v>739</v>
      </c>
      <c r="G275" s="9">
        <v>825634.87</v>
      </c>
      <c r="H275" s="33" t="s">
        <v>955</v>
      </c>
      <c r="I275" s="8" t="s">
        <v>956</v>
      </c>
      <c r="J275" s="6" t="s">
        <v>957</v>
      </c>
      <c r="K275" s="6" t="s">
        <v>958</v>
      </c>
      <c r="L275" s="33" t="s">
        <v>959</v>
      </c>
      <c r="M275" s="6" t="s">
        <v>960</v>
      </c>
      <c r="N275" s="9">
        <v>825634.87</v>
      </c>
      <c r="O275" s="10" t="s">
        <v>40</v>
      </c>
      <c r="P275" s="6" t="s">
        <v>961</v>
      </c>
      <c r="Q275" s="9">
        <v>1463.8916134751773</v>
      </c>
      <c r="R275" s="6" t="s">
        <v>42</v>
      </c>
      <c r="S275" s="12">
        <v>2049</v>
      </c>
      <c r="T275" s="33" t="s">
        <v>43</v>
      </c>
      <c r="U275" s="6" t="s">
        <v>565</v>
      </c>
      <c r="V275" s="7">
        <v>42723</v>
      </c>
      <c r="W275" s="7">
        <v>42873</v>
      </c>
      <c r="X275" s="10" t="s">
        <v>671</v>
      </c>
      <c r="Y275" s="10" t="s">
        <v>334</v>
      </c>
      <c r="Z275" s="10" t="s">
        <v>133</v>
      </c>
      <c r="AA275" s="6" t="s">
        <v>40</v>
      </c>
      <c r="AB275" s="6" t="s">
        <v>40</v>
      </c>
    </row>
    <row r="276" spans="1:28" s="35" customFormat="1" ht="81">
      <c r="A276" s="6">
        <v>2016</v>
      </c>
      <c r="B276" s="8" t="s">
        <v>64</v>
      </c>
      <c r="C276" s="8" t="s">
        <v>962</v>
      </c>
      <c r="D276" s="13">
        <v>42720</v>
      </c>
      <c r="E276" s="33" t="s">
        <v>963</v>
      </c>
      <c r="F276" s="8" t="s">
        <v>739</v>
      </c>
      <c r="G276" s="9">
        <v>1502354.73</v>
      </c>
      <c r="H276" s="33" t="s">
        <v>964</v>
      </c>
      <c r="I276" s="8" t="s">
        <v>965</v>
      </c>
      <c r="J276" s="6" t="s">
        <v>966</v>
      </c>
      <c r="K276" s="6" t="s">
        <v>967</v>
      </c>
      <c r="L276" s="33" t="s">
        <v>968</v>
      </c>
      <c r="M276" s="6" t="s">
        <v>430</v>
      </c>
      <c r="N276" s="9">
        <v>1502354.73</v>
      </c>
      <c r="O276" s="10" t="s">
        <v>40</v>
      </c>
      <c r="P276" s="6" t="s">
        <v>969</v>
      </c>
      <c r="Q276" s="9">
        <v>1457.1820853540253</v>
      </c>
      <c r="R276" s="6" t="s">
        <v>42</v>
      </c>
      <c r="S276" s="12">
        <v>2754</v>
      </c>
      <c r="T276" s="33" t="s">
        <v>43</v>
      </c>
      <c r="U276" s="6" t="s">
        <v>565</v>
      </c>
      <c r="V276" s="7">
        <v>42723</v>
      </c>
      <c r="W276" s="7">
        <v>42873</v>
      </c>
      <c r="X276" s="10" t="s">
        <v>681</v>
      </c>
      <c r="Y276" s="10" t="s">
        <v>682</v>
      </c>
      <c r="Z276" s="10" t="s">
        <v>683</v>
      </c>
      <c r="AA276" s="6" t="s">
        <v>40</v>
      </c>
      <c r="AB276" s="6" t="s">
        <v>40</v>
      </c>
    </row>
    <row r="277" spans="1:28" s="35" customFormat="1" ht="81">
      <c r="A277" s="6">
        <v>2016</v>
      </c>
      <c r="B277" s="8" t="s">
        <v>64</v>
      </c>
      <c r="C277" s="8" t="s">
        <v>970</v>
      </c>
      <c r="D277" s="13">
        <v>42720</v>
      </c>
      <c r="E277" s="33" t="s">
        <v>971</v>
      </c>
      <c r="F277" s="8" t="s">
        <v>739</v>
      </c>
      <c r="G277" s="9">
        <v>1495225.08</v>
      </c>
      <c r="H277" s="33" t="s">
        <v>964</v>
      </c>
      <c r="I277" s="8" t="s">
        <v>972</v>
      </c>
      <c r="J277" s="6" t="s">
        <v>973</v>
      </c>
      <c r="K277" s="6" t="s">
        <v>974</v>
      </c>
      <c r="L277" s="33" t="s">
        <v>975</v>
      </c>
      <c r="M277" s="6" t="s">
        <v>976</v>
      </c>
      <c r="N277" s="9">
        <v>1495225.08</v>
      </c>
      <c r="O277" s="10" t="s">
        <v>40</v>
      </c>
      <c r="P277" s="6" t="s">
        <v>977</v>
      </c>
      <c r="Q277" s="9">
        <v>1455.915365141188</v>
      </c>
      <c r="R277" s="6" t="s">
        <v>42</v>
      </c>
      <c r="S277" s="12">
        <v>2754</v>
      </c>
      <c r="T277" s="33" t="s">
        <v>43</v>
      </c>
      <c r="U277" s="6" t="s">
        <v>565</v>
      </c>
      <c r="V277" s="7">
        <v>42723</v>
      </c>
      <c r="W277" s="7">
        <v>42873</v>
      </c>
      <c r="X277" s="10" t="s">
        <v>681</v>
      </c>
      <c r="Y277" s="10" t="s">
        <v>682</v>
      </c>
      <c r="Z277" s="10" t="s">
        <v>683</v>
      </c>
      <c r="AA277" s="6" t="s">
        <v>40</v>
      </c>
      <c r="AB277" s="6" t="s">
        <v>40</v>
      </c>
    </row>
    <row r="278" spans="1:28" s="35" customFormat="1" ht="70.5" customHeight="1">
      <c r="A278" s="6">
        <v>2016</v>
      </c>
      <c r="B278" s="8" t="s">
        <v>64</v>
      </c>
      <c r="C278" s="8" t="s">
        <v>978</v>
      </c>
      <c r="D278" s="13">
        <v>42720</v>
      </c>
      <c r="E278" s="33" t="s">
        <v>979</v>
      </c>
      <c r="F278" s="8" t="s">
        <v>739</v>
      </c>
      <c r="G278" s="9">
        <v>702114.36</v>
      </c>
      <c r="H278" s="33" t="s">
        <v>980</v>
      </c>
      <c r="I278" s="8" t="s">
        <v>981</v>
      </c>
      <c r="J278" s="6" t="s">
        <v>982</v>
      </c>
      <c r="K278" s="6" t="s">
        <v>983</v>
      </c>
      <c r="L278" s="33" t="s">
        <v>984</v>
      </c>
      <c r="M278" s="6" t="s">
        <v>985</v>
      </c>
      <c r="N278" s="9">
        <v>702114.36</v>
      </c>
      <c r="O278" s="10" t="s">
        <v>40</v>
      </c>
      <c r="P278" s="6" t="s">
        <v>986</v>
      </c>
      <c r="Q278" s="9">
        <v>1977.7869295774647</v>
      </c>
      <c r="R278" s="6" t="s">
        <v>42</v>
      </c>
      <c r="S278" s="12">
        <v>344</v>
      </c>
      <c r="T278" s="33" t="s">
        <v>43</v>
      </c>
      <c r="U278" s="6" t="s">
        <v>565</v>
      </c>
      <c r="V278" s="7">
        <v>42723</v>
      </c>
      <c r="W278" s="7">
        <v>42873</v>
      </c>
      <c r="X278" s="10" t="s">
        <v>671</v>
      </c>
      <c r="Y278" s="10" t="s">
        <v>334</v>
      </c>
      <c r="Z278" s="10" t="s">
        <v>133</v>
      </c>
      <c r="AA278" s="6" t="s">
        <v>40</v>
      </c>
      <c r="AB278" s="6" t="s">
        <v>40</v>
      </c>
    </row>
    <row r="279" spans="1:28" ht="66.75" customHeight="1">
      <c r="A279" s="5">
        <v>2015</v>
      </c>
      <c r="B279" s="6" t="s">
        <v>30</v>
      </c>
      <c r="C279" s="6" t="s">
        <v>31</v>
      </c>
      <c r="D279" s="7">
        <v>42366</v>
      </c>
      <c r="E279" s="8" t="s">
        <v>32</v>
      </c>
      <c r="F279" s="8" t="s">
        <v>33</v>
      </c>
      <c r="G279" s="9">
        <v>4343074.72</v>
      </c>
      <c r="H279" s="8" t="s">
        <v>34</v>
      </c>
      <c r="I279" s="6" t="s">
        <v>35</v>
      </c>
      <c r="J279" s="6" t="s">
        <v>36</v>
      </c>
      <c r="K279" s="6" t="s">
        <v>37</v>
      </c>
      <c r="L279" s="8" t="s">
        <v>38</v>
      </c>
      <c r="M279" s="6" t="s">
        <v>39</v>
      </c>
      <c r="N279" s="9">
        <v>4343074.72</v>
      </c>
      <c r="O279" s="10" t="s">
        <v>40</v>
      </c>
      <c r="P279" s="6" t="s">
        <v>41</v>
      </c>
      <c r="Q279" s="9">
        <f>N279/180</f>
        <v>24128.192888888887</v>
      </c>
      <c r="R279" s="6" t="s">
        <v>42</v>
      </c>
      <c r="S279" s="6">
        <v>3990</v>
      </c>
      <c r="T279" s="8" t="s">
        <v>43</v>
      </c>
      <c r="U279" s="6" t="s">
        <v>44</v>
      </c>
      <c r="V279" s="7">
        <v>42367</v>
      </c>
      <c r="W279" s="7">
        <v>42415</v>
      </c>
      <c r="X279" s="6" t="s">
        <v>45</v>
      </c>
      <c r="Y279" s="6" t="s">
        <v>46</v>
      </c>
      <c r="Z279" s="6" t="s">
        <v>47</v>
      </c>
      <c r="AA279" s="22" t="s">
        <v>941</v>
      </c>
      <c r="AB279" s="6" t="s">
        <v>40</v>
      </c>
    </row>
    <row r="280" spans="1:28" ht="54">
      <c r="A280" s="6">
        <v>2015</v>
      </c>
      <c r="B280" s="6" t="s">
        <v>30</v>
      </c>
      <c r="C280" s="6" t="s">
        <v>48</v>
      </c>
      <c r="D280" s="7">
        <v>42366</v>
      </c>
      <c r="E280" s="8" t="s">
        <v>49</v>
      </c>
      <c r="F280" s="8" t="s">
        <v>33</v>
      </c>
      <c r="G280" s="9">
        <v>3769025.04</v>
      </c>
      <c r="H280" s="8" t="s">
        <v>50</v>
      </c>
      <c r="I280" s="6" t="s">
        <v>35</v>
      </c>
      <c r="J280" s="6" t="s">
        <v>36</v>
      </c>
      <c r="K280" s="6" t="s">
        <v>37</v>
      </c>
      <c r="L280" s="8" t="s">
        <v>38</v>
      </c>
      <c r="M280" s="6" t="s">
        <v>39</v>
      </c>
      <c r="N280" s="9">
        <v>3769025.04</v>
      </c>
      <c r="O280" s="10" t="s">
        <v>40</v>
      </c>
      <c r="P280" s="6" t="s">
        <v>51</v>
      </c>
      <c r="Q280" s="9">
        <f>N280</f>
        <v>3769025.04</v>
      </c>
      <c r="R280" s="6" t="s">
        <v>42</v>
      </c>
      <c r="S280" s="6">
        <v>700</v>
      </c>
      <c r="T280" s="8" t="s">
        <v>43</v>
      </c>
      <c r="U280" s="6" t="s">
        <v>44</v>
      </c>
      <c r="V280" s="7">
        <v>42367</v>
      </c>
      <c r="W280" s="7">
        <v>42415</v>
      </c>
      <c r="X280" s="6" t="s">
        <v>45</v>
      </c>
      <c r="Y280" s="6" t="s">
        <v>46</v>
      </c>
      <c r="Z280" s="6" t="s">
        <v>47</v>
      </c>
      <c r="AA280" s="22" t="s">
        <v>942</v>
      </c>
      <c r="AB280" s="6" t="s">
        <v>40</v>
      </c>
    </row>
    <row r="281" spans="1:28" ht="54">
      <c r="A281" s="5">
        <v>2015</v>
      </c>
      <c r="B281" s="6" t="s">
        <v>30</v>
      </c>
      <c r="C281" s="6" t="s">
        <v>52</v>
      </c>
      <c r="D281" s="7">
        <v>42366</v>
      </c>
      <c r="E281" s="8" t="s">
        <v>53</v>
      </c>
      <c r="F281" s="8" t="s">
        <v>33</v>
      </c>
      <c r="G281" s="9">
        <v>1945590.49</v>
      </c>
      <c r="H281" s="8" t="s">
        <v>54</v>
      </c>
      <c r="I281" s="6" t="s">
        <v>55</v>
      </c>
      <c r="J281" s="6" t="s">
        <v>56</v>
      </c>
      <c r="K281" s="6" t="s">
        <v>57</v>
      </c>
      <c r="L281" s="8" t="s">
        <v>58</v>
      </c>
      <c r="M281" s="6" t="s">
        <v>59</v>
      </c>
      <c r="N281" s="9">
        <v>1945590.49</v>
      </c>
      <c r="O281" s="11">
        <v>1542798.11</v>
      </c>
      <c r="P281" s="6" t="s">
        <v>60</v>
      </c>
      <c r="Q281" s="9">
        <f>N281/1410</f>
        <v>1379.8514113475178</v>
      </c>
      <c r="R281" s="6" t="s">
        <v>42</v>
      </c>
      <c r="S281" s="6">
        <v>1262</v>
      </c>
      <c r="T281" s="8" t="s">
        <v>43</v>
      </c>
      <c r="U281" s="6" t="s">
        <v>44</v>
      </c>
      <c r="V281" s="7">
        <v>42367</v>
      </c>
      <c r="W281" s="7">
        <v>42400</v>
      </c>
      <c r="X281" s="6" t="s">
        <v>61</v>
      </c>
      <c r="Y281" s="6" t="s">
        <v>62</v>
      </c>
      <c r="Z281" s="6" t="s">
        <v>63</v>
      </c>
      <c r="AA281" s="22" t="s">
        <v>943</v>
      </c>
      <c r="AB281" s="6" t="s">
        <v>40</v>
      </c>
    </row>
    <row r="282" spans="1:28" ht="54">
      <c r="A282" s="6">
        <v>2015</v>
      </c>
      <c r="B282" s="6" t="s">
        <v>64</v>
      </c>
      <c r="C282" s="8" t="s">
        <v>65</v>
      </c>
      <c r="D282" s="7">
        <v>42356</v>
      </c>
      <c r="E282" s="8" t="s">
        <v>66</v>
      </c>
      <c r="F282" s="8" t="s">
        <v>67</v>
      </c>
      <c r="G282" s="9">
        <v>732176.24</v>
      </c>
      <c r="H282" s="8" t="s">
        <v>68</v>
      </c>
      <c r="I282" s="6" t="s">
        <v>69</v>
      </c>
      <c r="J282" s="6" t="s">
        <v>70</v>
      </c>
      <c r="K282" s="6" t="s">
        <v>71</v>
      </c>
      <c r="L282" s="8" t="s">
        <v>72</v>
      </c>
      <c r="M282" s="6" t="s">
        <v>73</v>
      </c>
      <c r="N282" s="9">
        <v>732176.24</v>
      </c>
      <c r="O282" s="11">
        <v>620948.86</v>
      </c>
      <c r="P282" s="6" t="s">
        <v>74</v>
      </c>
      <c r="Q282" s="9">
        <f>N282/31</f>
        <v>23618.588387096774</v>
      </c>
      <c r="R282" s="6" t="s">
        <v>42</v>
      </c>
      <c r="S282" s="6">
        <v>437</v>
      </c>
      <c r="T282" s="8" t="s">
        <v>43</v>
      </c>
      <c r="U282" s="6" t="s">
        <v>44</v>
      </c>
      <c r="V282" s="7">
        <v>42360</v>
      </c>
      <c r="W282" s="7">
        <v>42400</v>
      </c>
      <c r="X282" s="6" t="s">
        <v>75</v>
      </c>
      <c r="Y282" s="6" t="s">
        <v>76</v>
      </c>
      <c r="Z282" s="6" t="s">
        <v>77</v>
      </c>
      <c r="AA282" s="22" t="s">
        <v>944</v>
      </c>
      <c r="AB282" s="6" t="s">
        <v>40</v>
      </c>
    </row>
    <row r="283" spans="1:28" ht="54">
      <c r="A283" s="5">
        <v>2015</v>
      </c>
      <c r="B283" s="6" t="s">
        <v>64</v>
      </c>
      <c r="C283" s="8" t="s">
        <v>78</v>
      </c>
      <c r="D283" s="7">
        <v>42356</v>
      </c>
      <c r="E283" s="8" t="s">
        <v>79</v>
      </c>
      <c r="F283" s="8" t="s">
        <v>67</v>
      </c>
      <c r="G283" s="9">
        <v>1479664.22</v>
      </c>
      <c r="H283" s="8" t="s">
        <v>80</v>
      </c>
      <c r="I283" s="6" t="s">
        <v>81</v>
      </c>
      <c r="J283" s="6" t="s">
        <v>82</v>
      </c>
      <c r="K283" s="6" t="s">
        <v>83</v>
      </c>
      <c r="L283" s="8" t="s">
        <v>84</v>
      </c>
      <c r="M283" s="6" t="s">
        <v>85</v>
      </c>
      <c r="N283" s="9">
        <v>1479664.22</v>
      </c>
      <c r="O283" s="11">
        <v>1469715.35</v>
      </c>
      <c r="P283" s="6" t="s">
        <v>86</v>
      </c>
      <c r="Q283" s="9">
        <f>N283/1815</f>
        <v>815.24199449035814</v>
      </c>
      <c r="R283" s="6" t="s">
        <v>42</v>
      </c>
      <c r="S283" s="6">
        <v>750</v>
      </c>
      <c r="T283" s="8" t="s">
        <v>43</v>
      </c>
      <c r="U283" s="6" t="s">
        <v>44</v>
      </c>
      <c r="V283" s="7">
        <v>42360</v>
      </c>
      <c r="W283" s="7">
        <v>42400</v>
      </c>
      <c r="X283" s="6" t="s">
        <v>87</v>
      </c>
      <c r="Y283" s="6" t="s">
        <v>88</v>
      </c>
      <c r="Z283" s="6" t="s">
        <v>89</v>
      </c>
      <c r="AA283" s="22" t="s">
        <v>945</v>
      </c>
      <c r="AB283" s="6" t="s">
        <v>40</v>
      </c>
    </row>
    <row r="284" spans="1:28" ht="54">
      <c r="A284" s="6">
        <v>2015</v>
      </c>
      <c r="B284" s="6" t="s">
        <v>64</v>
      </c>
      <c r="C284" s="8" t="s">
        <v>90</v>
      </c>
      <c r="D284" s="7">
        <v>42388</v>
      </c>
      <c r="E284" s="8" t="s">
        <v>91</v>
      </c>
      <c r="F284" s="8" t="s">
        <v>67</v>
      </c>
      <c r="G284" s="9">
        <v>148758.56</v>
      </c>
      <c r="H284" s="8" t="s">
        <v>92</v>
      </c>
      <c r="I284" s="6" t="s">
        <v>93</v>
      </c>
      <c r="J284" s="6" t="s">
        <v>94</v>
      </c>
      <c r="K284" s="6" t="s">
        <v>95</v>
      </c>
      <c r="L284" s="8" t="s">
        <v>96</v>
      </c>
      <c r="M284" s="6" t="s">
        <v>97</v>
      </c>
      <c r="N284" s="9">
        <v>148758.56</v>
      </c>
      <c r="O284" s="10" t="s">
        <v>40</v>
      </c>
      <c r="P284" s="6" t="s">
        <v>98</v>
      </c>
      <c r="Q284" s="9">
        <f>N284/53</f>
        <v>2806.7652830188681</v>
      </c>
      <c r="R284" s="6" t="s">
        <v>42</v>
      </c>
      <c r="S284" s="6">
        <v>165</v>
      </c>
      <c r="T284" s="8" t="s">
        <v>43</v>
      </c>
      <c r="U284" s="6" t="s">
        <v>44</v>
      </c>
      <c r="V284" s="7">
        <v>42389</v>
      </c>
      <c r="W284" s="7">
        <v>42439</v>
      </c>
      <c r="X284" s="6" t="s">
        <v>99</v>
      </c>
      <c r="Y284" s="6" t="s">
        <v>100</v>
      </c>
      <c r="Z284" s="6" t="s">
        <v>101</v>
      </c>
      <c r="AA284" s="6" t="s">
        <v>40</v>
      </c>
      <c r="AB284" s="6" t="s">
        <v>40</v>
      </c>
    </row>
    <row r="285" spans="1:28" ht="81">
      <c r="A285" s="5">
        <v>2015</v>
      </c>
      <c r="B285" s="6" t="s">
        <v>64</v>
      </c>
      <c r="C285" s="8" t="s">
        <v>102</v>
      </c>
      <c r="D285" s="7">
        <v>42364</v>
      </c>
      <c r="E285" s="8" t="s">
        <v>103</v>
      </c>
      <c r="F285" s="8" t="s">
        <v>67</v>
      </c>
      <c r="G285" s="9">
        <v>1462545.61</v>
      </c>
      <c r="H285" s="8" t="s">
        <v>104</v>
      </c>
      <c r="I285" s="6" t="s">
        <v>105</v>
      </c>
      <c r="J285" s="6" t="s">
        <v>106</v>
      </c>
      <c r="K285" s="6" t="s">
        <v>107</v>
      </c>
      <c r="L285" s="8" t="s">
        <v>108</v>
      </c>
      <c r="M285" s="6" t="s">
        <v>109</v>
      </c>
      <c r="N285" s="9">
        <f>G285</f>
        <v>1462545.61</v>
      </c>
      <c r="O285" s="10" t="s">
        <v>40</v>
      </c>
      <c r="P285" s="6" t="s">
        <v>110</v>
      </c>
      <c r="Q285" s="9">
        <f>N285/315</f>
        <v>4643.001936507937</v>
      </c>
      <c r="R285" s="6" t="s">
        <v>42</v>
      </c>
      <c r="S285" s="6">
        <v>4345</v>
      </c>
      <c r="T285" s="8" t="s">
        <v>43</v>
      </c>
      <c r="U285" s="8" t="s">
        <v>44</v>
      </c>
      <c r="V285" s="7">
        <v>42366</v>
      </c>
      <c r="W285" s="7">
        <v>42434</v>
      </c>
      <c r="X285" s="6" t="s">
        <v>111</v>
      </c>
      <c r="Y285" s="6" t="s">
        <v>112</v>
      </c>
      <c r="Z285" s="6" t="s">
        <v>113</v>
      </c>
      <c r="AA285" s="22" t="s">
        <v>946</v>
      </c>
      <c r="AB285" s="6" t="s">
        <v>40</v>
      </c>
    </row>
    <row r="286" spans="1:28" ht="81">
      <c r="A286" s="6">
        <v>2015</v>
      </c>
      <c r="B286" s="6" t="s">
        <v>64</v>
      </c>
      <c r="C286" s="8" t="s">
        <v>114</v>
      </c>
      <c r="D286" s="7">
        <v>42364</v>
      </c>
      <c r="E286" s="8" t="s">
        <v>115</v>
      </c>
      <c r="F286" s="8" t="s">
        <v>67</v>
      </c>
      <c r="G286" s="9">
        <v>1313000.04</v>
      </c>
      <c r="H286" s="8" t="s">
        <v>104</v>
      </c>
      <c r="I286" s="6" t="s">
        <v>116</v>
      </c>
      <c r="J286" s="6" t="s">
        <v>117</v>
      </c>
      <c r="K286" s="6" t="s">
        <v>118</v>
      </c>
      <c r="L286" s="8" t="s">
        <v>119</v>
      </c>
      <c r="M286" s="6" t="s">
        <v>120</v>
      </c>
      <c r="N286" s="9">
        <f>G286</f>
        <v>1313000.04</v>
      </c>
      <c r="O286" s="10" t="s">
        <v>40</v>
      </c>
      <c r="P286" s="6" t="s">
        <v>121</v>
      </c>
      <c r="Q286" s="9">
        <f>N286/360</f>
        <v>3647.2223333333336</v>
      </c>
      <c r="R286" s="6" t="s">
        <v>42</v>
      </c>
      <c r="S286" s="6">
        <v>4345</v>
      </c>
      <c r="T286" s="8" t="s">
        <v>43</v>
      </c>
      <c r="U286" s="8" t="s">
        <v>44</v>
      </c>
      <c r="V286" s="7">
        <v>42366</v>
      </c>
      <c r="W286" s="7">
        <v>42434</v>
      </c>
      <c r="X286" s="6" t="s">
        <v>111</v>
      </c>
      <c r="Y286" s="6" t="s">
        <v>112</v>
      </c>
      <c r="Z286" s="6" t="s">
        <v>113</v>
      </c>
      <c r="AA286" s="22" t="s">
        <v>947</v>
      </c>
      <c r="AB286" s="6" t="s">
        <v>40</v>
      </c>
    </row>
    <row r="287" spans="1:28" ht="54">
      <c r="A287" s="5">
        <v>2015</v>
      </c>
      <c r="B287" s="6" t="s">
        <v>64</v>
      </c>
      <c r="C287" s="8" t="s">
        <v>122</v>
      </c>
      <c r="D287" s="7">
        <v>42364</v>
      </c>
      <c r="E287" s="8" t="s">
        <v>123</v>
      </c>
      <c r="F287" s="8" t="s">
        <v>67</v>
      </c>
      <c r="G287" s="9">
        <v>48554.79</v>
      </c>
      <c r="H287" s="8" t="s">
        <v>124</v>
      </c>
      <c r="I287" s="6" t="s">
        <v>125</v>
      </c>
      <c r="J287" s="6" t="s">
        <v>126</v>
      </c>
      <c r="K287" s="6" t="s">
        <v>127</v>
      </c>
      <c r="L287" s="8" t="s">
        <v>128</v>
      </c>
      <c r="M287" s="6" t="s">
        <v>129</v>
      </c>
      <c r="N287" s="9">
        <f>G287</f>
        <v>48554.79</v>
      </c>
      <c r="O287" s="10" t="s">
        <v>40</v>
      </c>
      <c r="P287" s="6" t="s">
        <v>130</v>
      </c>
      <c r="Q287" s="9">
        <f>N287/120</f>
        <v>404.62324999999998</v>
      </c>
      <c r="R287" s="6" t="s">
        <v>42</v>
      </c>
      <c r="S287" s="6">
        <v>446</v>
      </c>
      <c r="T287" s="8" t="s">
        <v>43</v>
      </c>
      <c r="U287" s="6" t="s">
        <v>44</v>
      </c>
      <c r="V287" s="7">
        <v>42366</v>
      </c>
      <c r="W287" s="7">
        <v>42400</v>
      </c>
      <c r="X287" s="6" t="s">
        <v>131</v>
      </c>
      <c r="Y287" s="6" t="s">
        <v>132</v>
      </c>
      <c r="Z287" s="6" t="s">
        <v>133</v>
      </c>
      <c r="AA287" s="22" t="s">
        <v>948</v>
      </c>
      <c r="AB287" s="6" t="s">
        <v>40</v>
      </c>
    </row>
    <row r="288" spans="1:28" ht="54">
      <c r="A288" s="6">
        <v>2015</v>
      </c>
      <c r="B288" s="6" t="s">
        <v>64</v>
      </c>
      <c r="C288" s="8" t="s">
        <v>134</v>
      </c>
      <c r="D288" s="7">
        <v>42364</v>
      </c>
      <c r="E288" s="8" t="s">
        <v>135</v>
      </c>
      <c r="F288" s="8" t="s">
        <v>67</v>
      </c>
      <c r="G288" s="9">
        <v>883610.98</v>
      </c>
      <c r="H288" s="8" t="s">
        <v>136</v>
      </c>
      <c r="I288" s="6" t="s">
        <v>137</v>
      </c>
      <c r="J288" s="6" t="s">
        <v>138</v>
      </c>
      <c r="K288" s="6" t="s">
        <v>139</v>
      </c>
      <c r="L288" s="8" t="s">
        <v>140</v>
      </c>
      <c r="M288" s="6" t="s">
        <v>141</v>
      </c>
      <c r="N288" s="9">
        <f>G288</f>
        <v>883610.98</v>
      </c>
      <c r="O288" s="10" t="s">
        <v>40</v>
      </c>
      <c r="P288" s="6" t="s">
        <v>142</v>
      </c>
      <c r="Q288" s="9">
        <f>N288/440</f>
        <v>2008.2067727272727</v>
      </c>
      <c r="R288" s="6" t="s">
        <v>42</v>
      </c>
      <c r="S288" s="6">
        <v>435</v>
      </c>
      <c r="T288" s="8" t="s">
        <v>43</v>
      </c>
      <c r="U288" s="6" t="s">
        <v>44</v>
      </c>
      <c r="V288" s="7">
        <v>42366</v>
      </c>
      <c r="W288" s="7">
        <v>42460</v>
      </c>
      <c r="X288" s="6" t="s">
        <v>143</v>
      </c>
      <c r="Y288" s="6" t="s">
        <v>144</v>
      </c>
      <c r="Z288" s="6" t="s">
        <v>145</v>
      </c>
      <c r="AA288" s="6" t="s">
        <v>40</v>
      </c>
      <c r="AB288" s="6" t="s">
        <v>40</v>
      </c>
    </row>
    <row r="289" spans="1:28" ht="54">
      <c r="A289" s="5">
        <v>2015</v>
      </c>
      <c r="B289" s="6" t="s">
        <v>64</v>
      </c>
      <c r="C289" s="8" t="s">
        <v>146</v>
      </c>
      <c r="D289" s="7">
        <v>42364</v>
      </c>
      <c r="E289" s="8" t="s">
        <v>147</v>
      </c>
      <c r="F289" s="8" t="s">
        <v>67</v>
      </c>
      <c r="G289" s="9">
        <v>83769.11</v>
      </c>
      <c r="H289" s="8" t="s">
        <v>148</v>
      </c>
      <c r="I289" s="6" t="s">
        <v>116</v>
      </c>
      <c r="J289" s="6" t="s">
        <v>149</v>
      </c>
      <c r="K289" s="6" t="s">
        <v>150</v>
      </c>
      <c r="L289" s="8" t="s">
        <v>151</v>
      </c>
      <c r="M289" s="6" t="s">
        <v>152</v>
      </c>
      <c r="N289" s="9">
        <f>G289</f>
        <v>83769.11</v>
      </c>
      <c r="O289" s="11">
        <v>82908.240000000005</v>
      </c>
      <c r="P289" s="6" t="s">
        <v>153</v>
      </c>
      <c r="Q289" s="9">
        <f>N289/43</f>
        <v>1948.1188372093022</v>
      </c>
      <c r="R289" s="6" t="s">
        <v>42</v>
      </c>
      <c r="S289" s="6">
        <v>40</v>
      </c>
      <c r="T289" s="8" t="s">
        <v>43</v>
      </c>
      <c r="U289" s="6" t="s">
        <v>44</v>
      </c>
      <c r="V289" s="7">
        <v>42366</v>
      </c>
      <c r="W289" s="7">
        <v>42400</v>
      </c>
      <c r="X289" s="6" t="s">
        <v>116</v>
      </c>
      <c r="Y289" s="6" t="s">
        <v>154</v>
      </c>
      <c r="Z289" s="6" t="s">
        <v>155</v>
      </c>
      <c r="AA289" s="22" t="s">
        <v>949</v>
      </c>
      <c r="AB289" s="6" t="s">
        <v>40</v>
      </c>
    </row>
    <row r="290" spans="1:28" ht="27" customHeight="1">
      <c r="A290" s="34" t="s">
        <v>950</v>
      </c>
      <c r="B290" s="34"/>
      <c r="C290" s="34"/>
      <c r="D290" s="34"/>
      <c r="E290" s="34"/>
    </row>
    <row r="291" spans="1:28" ht="26.25" customHeight="1">
      <c r="A291" s="34" t="s">
        <v>951</v>
      </c>
      <c r="B291" s="34"/>
      <c r="C291" s="34"/>
      <c r="D291" s="34"/>
      <c r="E291" s="34"/>
    </row>
    <row r="292" spans="1:28" ht="29.25" customHeight="1">
      <c r="A292" s="34" t="s">
        <v>952</v>
      </c>
      <c r="B292" s="34"/>
      <c r="C292" s="34"/>
      <c r="D292" s="34"/>
      <c r="E292" s="34"/>
    </row>
    <row r="293" spans="1:28" ht="34.5" customHeight="1">
      <c r="A293" s="34" t="s">
        <v>917</v>
      </c>
      <c r="B293" s="34"/>
      <c r="C293" s="34"/>
      <c r="D293" s="34"/>
      <c r="E293" s="34"/>
    </row>
  </sheetData>
  <mergeCells count="28">
    <mergeCell ref="A291:E291"/>
    <mergeCell ref="A292:E292"/>
    <mergeCell ref="A293:E293"/>
    <mergeCell ref="A290:E290"/>
    <mergeCell ref="AB4:AB5"/>
    <mergeCell ref="R4:R5"/>
    <mergeCell ref="S4:S5"/>
    <mergeCell ref="T4:T5"/>
    <mergeCell ref="U4:U5"/>
    <mergeCell ref="V4:W4"/>
    <mergeCell ref="X4:Z4"/>
    <mergeCell ref="Q4:Q5"/>
    <mergeCell ref="A1:AB1"/>
    <mergeCell ref="A2:AB2"/>
    <mergeCell ref="A3:AB3"/>
    <mergeCell ref="A4:A5"/>
    <mergeCell ref="B4:B5"/>
    <mergeCell ref="C4:C5"/>
    <mergeCell ref="D4:D5"/>
    <mergeCell ref="E4:E5"/>
    <mergeCell ref="F4:F5"/>
    <mergeCell ref="G4:G5"/>
    <mergeCell ref="H4:H5"/>
    <mergeCell ref="I4:M4"/>
    <mergeCell ref="N4:N5"/>
    <mergeCell ref="O4:O5"/>
    <mergeCell ref="P4:P5"/>
    <mergeCell ref="AA4:AA5"/>
  </mergeCells>
  <hyperlinks>
    <hyperlink ref="C20" r:id="rId1"/>
    <hyperlink ref="C22" r:id="rId2"/>
    <hyperlink ref="C25" r:id="rId3"/>
    <hyperlink ref="C27" r:id="rId4"/>
    <hyperlink ref="AA27" r:id="rId5"/>
    <hyperlink ref="AA29" r:id="rId6"/>
    <hyperlink ref="AA30" r:id="rId7"/>
    <hyperlink ref="C29" r:id="rId8"/>
    <hyperlink ref="C30" r:id="rId9"/>
    <hyperlink ref="C31" r:id="rId10"/>
    <hyperlink ref="AA31" r:id="rId11"/>
    <hyperlink ref="C32" r:id="rId12"/>
    <hyperlink ref="AA32" r:id="rId13"/>
    <hyperlink ref="C37" r:id="rId14"/>
    <hyperlink ref="AA37" r:id="rId15"/>
    <hyperlink ref="AA12" r:id="rId16"/>
    <hyperlink ref="AA18" r:id="rId17"/>
    <hyperlink ref="AA20" r:id="rId18"/>
    <hyperlink ref="AA22" r:id="rId19"/>
    <hyperlink ref="AA23" r:id="rId20"/>
    <hyperlink ref="AA24" r:id="rId21"/>
    <hyperlink ref="AA25" r:id="rId22"/>
    <hyperlink ref="AA26" r:id="rId23"/>
    <hyperlink ref="AA28" r:id="rId24"/>
    <hyperlink ref="AA34" r:id="rId25"/>
    <hyperlink ref="AA36" r:id="rId26"/>
    <hyperlink ref="AA38" r:id="rId27"/>
    <hyperlink ref="AA67" r:id="rId28"/>
    <hyperlink ref="AA110" r:id="rId29"/>
    <hyperlink ref="AA10" r:id="rId30"/>
    <hyperlink ref="AA17" r:id="rId31"/>
    <hyperlink ref="AA57" r:id="rId32"/>
    <hyperlink ref="AA104" r:id="rId33"/>
    <hyperlink ref="AA107" r:id="rId34"/>
    <hyperlink ref="AA109" r:id="rId35"/>
    <hyperlink ref="AA121" r:id="rId36"/>
    <hyperlink ref="AA279" r:id="rId37"/>
    <hyperlink ref="AA280" r:id="rId38"/>
    <hyperlink ref="AA281" r:id="rId39"/>
    <hyperlink ref="AA282" r:id="rId40"/>
    <hyperlink ref="AA283" r:id="rId41"/>
    <hyperlink ref="AA285" r:id="rId42"/>
    <hyperlink ref="AA286" r:id="rId43"/>
    <hyperlink ref="AA287" r:id="rId44"/>
    <hyperlink ref="AA289" r:id="rId45"/>
  </hyperlinks>
  <pageMargins left="0.70866141732283472" right="0.70866141732283472" top="0.74803149606299213" bottom="0.74803149606299213" header="0.31496062992125984" footer="0.31496062992125984"/>
  <pageSetup paperSize="5" scale="34" fitToHeight="0" orientation="landscape" r:id="rId46"/>
  <colBreaks count="1" manualBreakCount="1">
    <brk id="13" max="19" man="1"/>
  </colBreaks>
  <drawing r:id="rId4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Resoluciones de Obra Pública 16</vt:lpstr>
      <vt:lpstr>'Resoluciones de Obra Pública 16'!Área_de_impresión</vt:lpstr>
    </vt:vector>
  </TitlesOfParts>
  <Company>Municipio de Zapopan Jalisco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scisneros</dc:creator>
  <cp:lastModifiedBy>scisneros</cp:lastModifiedBy>
  <dcterms:created xsi:type="dcterms:W3CDTF">2017-03-10T16:57:37Z</dcterms:created>
  <dcterms:modified xsi:type="dcterms:W3CDTF">2017-07-11T16:54:56Z</dcterms:modified>
</cp:coreProperties>
</file>