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s Públicas" sheetId="1" r:id="rId1"/>
  </sheets>
  <externalReferences>
    <externalReference r:id="rId2"/>
  </externalReferences>
  <definedNames>
    <definedName name="_xlnm.Print_Area" localSheetId="0">'Resoluciones de Obras Públicas'!$A$1:$AB$519</definedName>
  </definedNames>
  <calcPr calcId="125725"/>
</workbook>
</file>

<file path=xl/calcChain.xml><?xml version="1.0" encoding="utf-8"?>
<calcChain xmlns="http://schemas.openxmlformats.org/spreadsheetml/2006/main">
  <c r="W519" i="1"/>
  <c r="V519"/>
  <c r="M519"/>
  <c r="L519"/>
  <c r="K519"/>
  <c r="J519"/>
  <c r="I519"/>
  <c r="G519"/>
  <c r="N519" s="1"/>
  <c r="Q519" s="1"/>
  <c r="E519"/>
  <c r="D519"/>
  <c r="C519"/>
  <c r="W513"/>
  <c r="V513"/>
  <c r="M513"/>
  <c r="L513"/>
  <c r="K513"/>
  <c r="J513"/>
  <c r="I513"/>
  <c r="G513"/>
  <c r="N513" s="1"/>
  <c r="Q513" s="1"/>
  <c r="E513"/>
  <c r="D513"/>
  <c r="C513"/>
  <c r="W510"/>
  <c r="V510"/>
  <c r="M510"/>
  <c r="L510"/>
  <c r="K510"/>
  <c r="J510"/>
  <c r="I510"/>
  <c r="G510"/>
  <c r="N510" s="1"/>
  <c r="Q510" s="1"/>
  <c r="E510"/>
  <c r="D510"/>
  <c r="C510"/>
  <c r="W509"/>
  <c r="V509"/>
  <c r="M509"/>
  <c r="L509"/>
  <c r="K509"/>
  <c r="J509"/>
  <c r="I509"/>
  <c r="G509"/>
  <c r="N509" s="1"/>
  <c r="Q509" s="1"/>
  <c r="E509"/>
  <c r="D509"/>
  <c r="C509"/>
  <c r="W508"/>
  <c r="V508"/>
  <c r="M508"/>
  <c r="L508"/>
  <c r="K508"/>
  <c r="J508"/>
  <c r="I508"/>
  <c r="G508"/>
  <c r="N508" s="1"/>
  <c r="Q508" s="1"/>
  <c r="E508"/>
  <c r="D508"/>
  <c r="C508"/>
  <c r="W495"/>
  <c r="V495"/>
  <c r="M495"/>
  <c r="L495"/>
  <c r="K495"/>
  <c r="J495"/>
  <c r="I495"/>
  <c r="G495"/>
  <c r="N495" s="1"/>
  <c r="Q495" s="1"/>
  <c r="E495"/>
  <c r="D495"/>
  <c r="C495"/>
  <c r="W494"/>
  <c r="V494"/>
  <c r="M494"/>
  <c r="L494"/>
  <c r="K494"/>
  <c r="J494"/>
  <c r="I494"/>
  <c r="G494"/>
  <c r="N494" s="1"/>
  <c r="Q494" s="1"/>
  <c r="E494"/>
  <c r="D494"/>
  <c r="C494"/>
  <c r="W493"/>
  <c r="V493"/>
  <c r="M493"/>
  <c r="L493"/>
  <c r="K493"/>
  <c r="J493"/>
  <c r="I493"/>
  <c r="G493"/>
  <c r="N493" s="1"/>
  <c r="Q493" s="1"/>
  <c r="E493"/>
  <c r="D493"/>
  <c r="C493"/>
  <c r="W492"/>
  <c r="V492"/>
  <c r="M492"/>
  <c r="L492"/>
  <c r="K492"/>
  <c r="J492"/>
  <c r="I492"/>
  <c r="G492"/>
  <c r="N492" s="1"/>
  <c r="Q492" s="1"/>
  <c r="E492"/>
  <c r="D492"/>
  <c r="C492"/>
  <c r="W491"/>
  <c r="V491"/>
  <c r="M491"/>
  <c r="L491"/>
  <c r="K491"/>
  <c r="J491"/>
  <c r="I491"/>
  <c r="G491"/>
  <c r="N491" s="1"/>
  <c r="Q491" s="1"/>
  <c r="E491"/>
  <c r="D491"/>
  <c r="C491"/>
  <c r="W490"/>
  <c r="V490"/>
  <c r="M490"/>
  <c r="L490"/>
  <c r="K490"/>
  <c r="J490"/>
  <c r="I490"/>
  <c r="G490"/>
  <c r="N490" s="1"/>
  <c r="Q490" s="1"/>
  <c r="E490"/>
  <c r="D490"/>
  <c r="C490"/>
  <c r="W489"/>
  <c r="V489"/>
  <c r="M489"/>
  <c r="L489"/>
  <c r="K489"/>
  <c r="J489"/>
  <c r="I489"/>
  <c r="G489"/>
  <c r="N489" s="1"/>
  <c r="Q489" s="1"/>
  <c r="E489"/>
  <c r="D489"/>
  <c r="C489"/>
  <c r="W488"/>
  <c r="V488"/>
  <c r="M488"/>
  <c r="L488"/>
  <c r="K488"/>
  <c r="J488"/>
  <c r="I488"/>
  <c r="G488"/>
  <c r="N488" s="1"/>
  <c r="Q488" s="1"/>
  <c r="E488"/>
  <c r="D488"/>
  <c r="C488"/>
  <c r="W487"/>
  <c r="V487"/>
  <c r="M487"/>
  <c r="L487"/>
  <c r="K487"/>
  <c r="J487"/>
  <c r="I487"/>
  <c r="G487"/>
  <c r="N487" s="1"/>
  <c r="Q487" s="1"/>
  <c r="E487"/>
  <c r="D487"/>
  <c r="C487"/>
  <c r="W486"/>
  <c r="V486"/>
  <c r="M486"/>
  <c r="L486"/>
  <c r="K486"/>
  <c r="J486"/>
  <c r="I486"/>
  <c r="G486"/>
  <c r="N486" s="1"/>
  <c r="Q486" s="1"/>
  <c r="E486"/>
  <c r="D486"/>
  <c r="C486"/>
  <c r="W485"/>
  <c r="V485"/>
  <c r="M485"/>
  <c r="L485"/>
  <c r="K485"/>
  <c r="J485"/>
  <c r="I485"/>
  <c r="G485"/>
  <c r="N485" s="1"/>
  <c r="Q485" s="1"/>
  <c r="E485"/>
  <c r="D485"/>
  <c r="C485"/>
  <c r="W484"/>
  <c r="V484"/>
  <c r="M484"/>
  <c r="L484"/>
  <c r="K484"/>
  <c r="J484"/>
  <c r="I484"/>
  <c r="G484"/>
  <c r="N484" s="1"/>
  <c r="Q484" s="1"/>
  <c r="E484"/>
  <c r="D484"/>
  <c r="C484"/>
  <c r="W482"/>
  <c r="V482"/>
  <c r="M482"/>
  <c r="L482"/>
  <c r="K482"/>
  <c r="J482"/>
  <c r="I482"/>
  <c r="H482"/>
  <c r="G482"/>
  <c r="N482" s="1"/>
  <c r="Q482" s="1"/>
  <c r="F482"/>
  <c r="E482"/>
  <c r="D482"/>
  <c r="C482"/>
  <c r="B482"/>
  <c r="W481"/>
  <c r="V481"/>
  <c r="M481"/>
  <c r="L481"/>
  <c r="K481"/>
  <c r="J481"/>
  <c r="I481"/>
  <c r="H481"/>
  <c r="G481"/>
  <c r="N481" s="1"/>
  <c r="Q481" s="1"/>
  <c r="F481"/>
  <c r="E481"/>
  <c r="D481"/>
  <c r="C481"/>
  <c r="B481"/>
  <c r="W480"/>
  <c r="V480"/>
  <c r="M480"/>
  <c r="L480"/>
  <c r="K480"/>
  <c r="J480"/>
  <c r="I480"/>
  <c r="H480"/>
  <c r="G480"/>
  <c r="N480" s="1"/>
  <c r="Q480" s="1"/>
  <c r="F480"/>
  <c r="E480"/>
  <c r="D480"/>
  <c r="C480"/>
  <c r="B480"/>
  <c r="W479"/>
  <c r="V479"/>
  <c r="M479"/>
  <c r="L479"/>
  <c r="K479"/>
  <c r="J479"/>
  <c r="I479"/>
  <c r="H479"/>
  <c r="G479"/>
  <c r="N479" s="1"/>
  <c r="Q479" s="1"/>
  <c r="F479"/>
  <c r="E479"/>
  <c r="D479"/>
  <c r="C479"/>
  <c r="B479"/>
  <c r="W478"/>
  <c r="V478"/>
  <c r="M478"/>
  <c r="L478"/>
  <c r="K478"/>
  <c r="J478"/>
  <c r="I478"/>
  <c r="H478"/>
  <c r="G478"/>
  <c r="N478" s="1"/>
  <c r="Q478" s="1"/>
  <c r="F478"/>
  <c r="E478"/>
  <c r="D478"/>
  <c r="C478"/>
  <c r="B478"/>
  <c r="W473"/>
  <c r="V473"/>
  <c r="M473"/>
  <c r="L473"/>
  <c r="K473"/>
  <c r="J473"/>
  <c r="I473"/>
  <c r="H473"/>
  <c r="G473"/>
  <c r="N473" s="1"/>
  <c r="Q473" s="1"/>
  <c r="F473"/>
  <c r="E473"/>
  <c r="D473"/>
  <c r="C473"/>
  <c r="B473"/>
  <c r="W472"/>
  <c r="V472"/>
  <c r="M472"/>
  <c r="L472"/>
  <c r="K472"/>
  <c r="J472"/>
  <c r="I472"/>
  <c r="H472"/>
  <c r="G472"/>
  <c r="N472" s="1"/>
  <c r="Q472" s="1"/>
  <c r="F472"/>
  <c r="E472"/>
  <c r="D472"/>
  <c r="C472"/>
  <c r="B472"/>
  <c r="W471"/>
  <c r="V471"/>
  <c r="M471"/>
  <c r="L471"/>
  <c r="K471"/>
  <c r="J471"/>
  <c r="I471"/>
  <c r="H471"/>
  <c r="G471"/>
  <c r="N471" s="1"/>
  <c r="Q471" s="1"/>
  <c r="F471"/>
  <c r="E471"/>
  <c r="D471"/>
  <c r="C471"/>
  <c r="B471"/>
  <c r="W470"/>
  <c r="V470"/>
  <c r="M470"/>
  <c r="L470"/>
  <c r="K470"/>
  <c r="J470"/>
  <c r="I470"/>
  <c r="H470"/>
  <c r="G470"/>
  <c r="N470" s="1"/>
  <c r="Q470" s="1"/>
  <c r="F470"/>
  <c r="E470"/>
  <c r="D470"/>
  <c r="C470"/>
  <c r="B470"/>
  <c r="W469"/>
  <c r="V469"/>
  <c r="M469"/>
  <c r="L469"/>
  <c r="K469"/>
  <c r="J469"/>
  <c r="I469"/>
  <c r="H469"/>
  <c r="G469"/>
  <c r="N469" s="1"/>
  <c r="Q469" s="1"/>
  <c r="F469"/>
  <c r="E469"/>
  <c r="D469"/>
  <c r="C469"/>
  <c r="B469"/>
  <c r="W468"/>
  <c r="V468"/>
  <c r="M468"/>
  <c r="L468"/>
  <c r="K468"/>
  <c r="J468"/>
  <c r="I468"/>
  <c r="H468"/>
  <c r="G468"/>
  <c r="N468" s="1"/>
  <c r="Q468" s="1"/>
  <c r="F468"/>
  <c r="E468"/>
  <c r="D468"/>
  <c r="C468"/>
  <c r="B468"/>
  <c r="W467"/>
  <c r="V467"/>
  <c r="M467"/>
  <c r="L467"/>
  <c r="K467"/>
  <c r="J467"/>
  <c r="I467"/>
  <c r="H467"/>
  <c r="G467"/>
  <c r="N467" s="1"/>
  <c r="Q467" s="1"/>
  <c r="F467"/>
  <c r="E467"/>
  <c r="D467"/>
  <c r="C467"/>
  <c r="B467"/>
  <c r="W466"/>
  <c r="V466"/>
  <c r="M466"/>
  <c r="L466"/>
  <c r="K466"/>
  <c r="J466"/>
  <c r="I466"/>
  <c r="H466"/>
  <c r="G466"/>
  <c r="N466" s="1"/>
  <c r="Q466" s="1"/>
  <c r="F466"/>
  <c r="E466"/>
  <c r="D466"/>
  <c r="C466"/>
  <c r="B466"/>
  <c r="W465"/>
  <c r="V465"/>
  <c r="M465"/>
  <c r="L465"/>
  <c r="K465"/>
  <c r="J465"/>
  <c r="I465"/>
  <c r="G465"/>
  <c r="N465" s="1"/>
  <c r="Q465" s="1"/>
  <c r="E465"/>
  <c r="D465"/>
  <c r="C465"/>
  <c r="W464"/>
  <c r="V464"/>
  <c r="M464"/>
  <c r="L464"/>
  <c r="K464"/>
  <c r="J464"/>
  <c r="I464"/>
  <c r="G464"/>
  <c r="N464" s="1"/>
  <c r="Q464" s="1"/>
  <c r="E464"/>
  <c r="D464"/>
  <c r="C464"/>
  <c r="W463"/>
  <c r="V463"/>
  <c r="M463"/>
  <c r="L463"/>
  <c r="K463"/>
  <c r="J463"/>
  <c r="I463"/>
  <c r="G463"/>
  <c r="N463" s="1"/>
  <c r="Q463" s="1"/>
  <c r="E463"/>
  <c r="D463"/>
  <c r="C463"/>
  <c r="W462"/>
  <c r="V462"/>
  <c r="M462"/>
  <c r="L462"/>
  <c r="K462"/>
  <c r="J462"/>
  <c r="I462"/>
  <c r="G462"/>
  <c r="N462" s="1"/>
  <c r="Q462" s="1"/>
  <c r="E462"/>
  <c r="D462"/>
  <c r="C462"/>
  <c r="W461"/>
  <c r="V461"/>
  <c r="M461"/>
  <c r="L461"/>
  <c r="K461"/>
  <c r="J461"/>
  <c r="I461"/>
  <c r="G461"/>
  <c r="N461" s="1"/>
  <c r="Q461" s="1"/>
  <c r="E461"/>
  <c r="D461"/>
  <c r="C461"/>
  <c r="W460"/>
  <c r="V460"/>
  <c r="M460"/>
  <c r="L460"/>
  <c r="K460"/>
  <c r="J460"/>
  <c r="I460"/>
  <c r="H460"/>
  <c r="G460"/>
  <c r="N460" s="1"/>
  <c r="Q460" s="1"/>
  <c r="F460"/>
  <c r="E460"/>
  <c r="D460"/>
  <c r="C460"/>
  <c r="B460"/>
  <c r="W459"/>
  <c r="V459"/>
  <c r="M459"/>
  <c r="L459"/>
  <c r="K459"/>
  <c r="J459"/>
  <c r="I459"/>
  <c r="H459"/>
  <c r="G459"/>
  <c r="N459" s="1"/>
  <c r="Q459" s="1"/>
  <c r="F459"/>
  <c r="E459"/>
  <c r="D459"/>
  <c r="C459"/>
  <c r="B459"/>
  <c r="W458"/>
  <c r="V458"/>
  <c r="M458"/>
  <c r="L458"/>
  <c r="K458"/>
  <c r="J458"/>
  <c r="I458"/>
  <c r="H458"/>
  <c r="G458"/>
  <c r="N458" s="1"/>
  <c r="Q458" s="1"/>
  <c r="F458"/>
  <c r="E458"/>
  <c r="D458"/>
  <c r="C458"/>
  <c r="B458"/>
  <c r="W457"/>
  <c r="V457"/>
  <c r="M457"/>
  <c r="L457"/>
  <c r="K457"/>
  <c r="J457"/>
  <c r="I457"/>
  <c r="H457"/>
  <c r="G457"/>
  <c r="N457" s="1"/>
  <c r="Q457" s="1"/>
  <c r="F457"/>
  <c r="E457"/>
  <c r="D457"/>
  <c r="C457"/>
  <c r="B457"/>
  <c r="W456"/>
  <c r="V456"/>
  <c r="M456"/>
  <c r="L456"/>
  <c r="K456"/>
  <c r="J456"/>
  <c r="I456"/>
  <c r="H456"/>
  <c r="G456"/>
  <c r="N456" s="1"/>
  <c r="Q456" s="1"/>
  <c r="F456"/>
  <c r="E456"/>
  <c r="D456"/>
  <c r="C456"/>
  <c r="B456"/>
  <c r="W455"/>
  <c r="V455"/>
  <c r="M455"/>
  <c r="L455"/>
  <c r="K455"/>
  <c r="J455"/>
  <c r="I455"/>
  <c r="H455"/>
  <c r="G455"/>
  <c r="N455" s="1"/>
  <c r="Q455" s="1"/>
  <c r="F455"/>
  <c r="E455"/>
  <c r="D455"/>
  <c r="C455"/>
  <c r="B455"/>
  <c r="W454"/>
  <c r="V454"/>
  <c r="M454"/>
  <c r="L454"/>
  <c r="K454"/>
  <c r="J454"/>
  <c r="I454"/>
  <c r="H454"/>
  <c r="G454"/>
  <c r="N454" s="1"/>
  <c r="Q454" s="1"/>
  <c r="F454"/>
  <c r="E454"/>
  <c r="D454"/>
  <c r="C454"/>
  <c r="B454"/>
  <c r="W453"/>
  <c r="V453"/>
  <c r="M453"/>
  <c r="L453"/>
  <c r="K453"/>
  <c r="J453"/>
  <c r="I453"/>
  <c r="H453"/>
  <c r="G453"/>
  <c r="N453" s="1"/>
  <c r="Q453" s="1"/>
  <c r="F453"/>
  <c r="E453"/>
  <c r="D453"/>
  <c r="C453"/>
  <c r="B453"/>
  <c r="W452"/>
  <c r="V452"/>
  <c r="M452"/>
  <c r="L452"/>
  <c r="K452"/>
  <c r="J452"/>
  <c r="I452"/>
  <c r="H452"/>
  <c r="G452"/>
  <c r="N452" s="1"/>
  <c r="Q452" s="1"/>
  <c r="F452"/>
  <c r="E452"/>
  <c r="D452"/>
  <c r="C452"/>
  <c r="B452"/>
  <c r="W451"/>
  <c r="V451"/>
  <c r="M451"/>
  <c r="L451"/>
  <c r="K451"/>
  <c r="J451"/>
  <c r="I451"/>
  <c r="H451"/>
  <c r="G451"/>
  <c r="N451" s="1"/>
  <c r="Q451" s="1"/>
  <c r="F451"/>
  <c r="E451"/>
  <c r="D451"/>
  <c r="C451"/>
  <c r="B451"/>
  <c r="W450"/>
  <c r="V450"/>
  <c r="M450"/>
  <c r="L450"/>
  <c r="K450"/>
  <c r="J450"/>
  <c r="I450"/>
  <c r="H450"/>
  <c r="G450"/>
  <c r="N450" s="1"/>
  <c r="Q450" s="1"/>
  <c r="F450"/>
  <c r="E450"/>
  <c r="D450"/>
  <c r="C450"/>
  <c r="B450"/>
  <c r="W449"/>
  <c r="V449"/>
  <c r="M449"/>
  <c r="L449"/>
  <c r="K449"/>
  <c r="J449"/>
  <c r="I449"/>
  <c r="H449"/>
  <c r="G449"/>
  <c r="N449" s="1"/>
  <c r="Q449" s="1"/>
  <c r="F449"/>
  <c r="E449"/>
  <c r="D449"/>
  <c r="C449"/>
  <c r="B449"/>
  <c r="W448"/>
  <c r="V448"/>
  <c r="M448"/>
  <c r="L448"/>
  <c r="K448"/>
  <c r="J448"/>
  <c r="I448"/>
  <c r="H448"/>
  <c r="G448"/>
  <c r="N448" s="1"/>
  <c r="Q448" s="1"/>
  <c r="F448"/>
  <c r="E448"/>
  <c r="D448"/>
  <c r="C448"/>
  <c r="B448"/>
  <c r="W447"/>
  <c r="V447"/>
  <c r="M447"/>
  <c r="L447"/>
  <c r="K447"/>
  <c r="J447"/>
  <c r="I447"/>
  <c r="H447"/>
  <c r="G447"/>
  <c r="N447" s="1"/>
  <c r="Q447" s="1"/>
  <c r="F447"/>
  <c r="E447"/>
  <c r="D447"/>
  <c r="C447"/>
  <c r="B447"/>
  <c r="W446"/>
  <c r="V446"/>
  <c r="M446"/>
  <c r="L446"/>
  <c r="K446"/>
  <c r="J446"/>
  <c r="I446"/>
  <c r="H446"/>
  <c r="G446"/>
  <c r="N446" s="1"/>
  <c r="Q446" s="1"/>
  <c r="F446"/>
  <c r="E446"/>
  <c r="D446"/>
  <c r="C446"/>
  <c r="B446"/>
  <c r="W445"/>
  <c r="V445"/>
  <c r="M445"/>
  <c r="L445"/>
  <c r="K445"/>
  <c r="J445"/>
  <c r="I445"/>
  <c r="G445"/>
  <c r="N445" s="1"/>
  <c r="Q445" s="1"/>
  <c r="E445"/>
  <c r="D445"/>
  <c r="C445"/>
  <c r="W444"/>
  <c r="V444"/>
  <c r="M444"/>
  <c r="L444"/>
  <c r="K444"/>
  <c r="J444"/>
  <c r="I444"/>
  <c r="H444"/>
  <c r="G444"/>
  <c r="N444" s="1"/>
  <c r="Q444" s="1"/>
  <c r="F444"/>
  <c r="E444"/>
  <c r="D444"/>
  <c r="C444"/>
  <c r="B444"/>
  <c r="W443"/>
  <c r="V443"/>
  <c r="M443"/>
  <c r="L443"/>
  <c r="K443"/>
  <c r="J443"/>
  <c r="I443"/>
  <c r="H443"/>
  <c r="G443"/>
  <c r="N443" s="1"/>
  <c r="Q443" s="1"/>
  <c r="F443"/>
  <c r="E443"/>
  <c r="D443"/>
  <c r="C443"/>
  <c r="B443"/>
  <c r="W442"/>
  <c r="V442"/>
  <c r="M442"/>
  <c r="L442"/>
  <c r="K442"/>
  <c r="J442"/>
  <c r="I442"/>
  <c r="H442"/>
  <c r="G442"/>
  <c r="N442" s="1"/>
  <c r="Q442" s="1"/>
  <c r="F442"/>
  <c r="E442"/>
  <c r="D442"/>
  <c r="C442"/>
  <c r="B442"/>
  <c r="W441"/>
  <c r="V441"/>
  <c r="M441"/>
  <c r="L441"/>
  <c r="K441"/>
  <c r="J441"/>
  <c r="I441"/>
  <c r="H441"/>
  <c r="G441"/>
  <c r="N441" s="1"/>
  <c r="Q441" s="1"/>
  <c r="F441"/>
  <c r="E441"/>
  <c r="D441"/>
  <c r="C441"/>
  <c r="B441"/>
  <c r="W440"/>
  <c r="V440"/>
  <c r="M440"/>
  <c r="L440"/>
  <c r="K440"/>
  <c r="J440"/>
  <c r="I440"/>
  <c r="H440"/>
  <c r="G440"/>
  <c r="N440" s="1"/>
  <c r="Q440" s="1"/>
  <c r="F440"/>
  <c r="E440"/>
  <c r="D440"/>
  <c r="C440"/>
  <c r="B440"/>
  <c r="W439"/>
  <c r="V439"/>
  <c r="M439"/>
  <c r="L439"/>
  <c r="K439"/>
  <c r="J439"/>
  <c r="I439"/>
  <c r="H439"/>
  <c r="G439"/>
  <c r="N439" s="1"/>
  <c r="Q439" s="1"/>
  <c r="F439"/>
  <c r="E439"/>
  <c r="D439"/>
  <c r="C439"/>
  <c r="B439"/>
  <c r="W438"/>
  <c r="V438"/>
  <c r="M438"/>
  <c r="L438"/>
  <c r="K438"/>
  <c r="J438"/>
  <c r="I438"/>
  <c r="H438"/>
  <c r="G438"/>
  <c r="N438" s="1"/>
  <c r="Q438" s="1"/>
  <c r="F438"/>
  <c r="E438"/>
  <c r="D438"/>
  <c r="C438"/>
  <c r="B438"/>
  <c r="W437"/>
  <c r="V437"/>
  <c r="M437"/>
  <c r="L437"/>
  <c r="K437"/>
  <c r="J437"/>
  <c r="I437"/>
  <c r="H437"/>
  <c r="G437"/>
  <c r="N437" s="1"/>
  <c r="Q437" s="1"/>
  <c r="F437"/>
  <c r="E437"/>
  <c r="D437"/>
  <c r="C437"/>
  <c r="B437"/>
  <c r="W436"/>
  <c r="V436"/>
  <c r="M436"/>
  <c r="L436"/>
  <c r="K436"/>
  <c r="J436"/>
  <c r="I436"/>
  <c r="H436"/>
  <c r="G436"/>
  <c r="N436" s="1"/>
  <c r="Q436" s="1"/>
  <c r="F436"/>
  <c r="E436"/>
  <c r="D436"/>
  <c r="C436"/>
  <c r="B436"/>
  <c r="W435"/>
  <c r="V435"/>
  <c r="M435"/>
  <c r="L435"/>
  <c r="K435"/>
  <c r="J435"/>
  <c r="I435"/>
  <c r="H435"/>
  <c r="G435"/>
  <c r="N435" s="1"/>
  <c r="Q435" s="1"/>
  <c r="F435"/>
  <c r="E435"/>
  <c r="D435"/>
  <c r="C435"/>
  <c r="B435"/>
  <c r="W434"/>
  <c r="V434"/>
  <c r="M434"/>
  <c r="L434"/>
  <c r="K434"/>
  <c r="J434"/>
  <c r="I434"/>
  <c r="H434"/>
  <c r="G434"/>
  <c r="N434" s="1"/>
  <c r="Q434" s="1"/>
  <c r="F434"/>
  <c r="E434"/>
  <c r="D434"/>
  <c r="C434"/>
  <c r="B434"/>
  <c r="W433"/>
  <c r="V433"/>
  <c r="M433"/>
  <c r="L433"/>
  <c r="K433"/>
  <c r="J433"/>
  <c r="I433"/>
  <c r="H433"/>
  <c r="G433"/>
  <c r="N433" s="1"/>
  <c r="Q433" s="1"/>
  <c r="F433"/>
  <c r="E433"/>
  <c r="D433"/>
  <c r="C433"/>
  <c r="B433"/>
  <c r="W432"/>
  <c r="V432"/>
  <c r="M432"/>
  <c r="L432"/>
  <c r="K432"/>
  <c r="J432"/>
  <c r="I432"/>
  <c r="H432"/>
  <c r="G432"/>
  <c r="N432" s="1"/>
  <c r="Q432" s="1"/>
  <c r="F432"/>
  <c r="E432"/>
  <c r="D432"/>
  <c r="C432"/>
  <c r="B432"/>
  <c r="W431"/>
  <c r="V431"/>
  <c r="M431"/>
  <c r="L431"/>
  <c r="K431"/>
  <c r="J431"/>
  <c r="I431"/>
  <c r="H431"/>
  <c r="G431"/>
  <c r="N431" s="1"/>
  <c r="Q431" s="1"/>
  <c r="E431"/>
  <c r="D431"/>
  <c r="C431"/>
  <c r="B431"/>
  <c r="W430"/>
  <c r="V430"/>
  <c r="M430"/>
  <c r="L430"/>
  <c r="K430"/>
  <c r="J430"/>
  <c r="I430"/>
  <c r="H430"/>
  <c r="G430"/>
  <c r="N430" s="1"/>
  <c r="Q430" s="1"/>
  <c r="E430"/>
  <c r="D430"/>
  <c r="C430"/>
  <c r="B430"/>
  <c r="W429"/>
  <c r="V429"/>
  <c r="M429"/>
  <c r="L429"/>
  <c r="K429"/>
  <c r="J429"/>
  <c r="I429"/>
  <c r="H429"/>
  <c r="G429"/>
  <c r="N429" s="1"/>
  <c r="Q429" s="1"/>
  <c r="E429"/>
  <c r="D429"/>
  <c r="C429"/>
  <c r="B429"/>
  <c r="W428"/>
  <c r="V428"/>
  <c r="M428"/>
  <c r="L428"/>
  <c r="K428"/>
  <c r="J428"/>
  <c r="I428"/>
  <c r="H428"/>
  <c r="G428"/>
  <c r="N428" s="1"/>
  <c r="Q428" s="1"/>
  <c r="E428"/>
  <c r="D428"/>
  <c r="C428"/>
  <c r="B428"/>
  <c r="W427"/>
  <c r="V427"/>
  <c r="M427"/>
  <c r="L427"/>
  <c r="K427"/>
  <c r="J427"/>
  <c r="I427"/>
  <c r="G427"/>
  <c r="N427" s="1"/>
  <c r="Q427" s="1"/>
  <c r="E427"/>
  <c r="D427"/>
  <c r="C427"/>
  <c r="W426"/>
  <c r="V426"/>
  <c r="M426"/>
  <c r="L426"/>
  <c r="K426"/>
  <c r="J426"/>
  <c r="I426"/>
  <c r="G426"/>
  <c r="N426" s="1"/>
  <c r="Q426" s="1"/>
  <c r="E426"/>
  <c r="D426"/>
  <c r="C426"/>
  <c r="W425"/>
  <c r="V425"/>
  <c r="M425"/>
  <c r="L425"/>
  <c r="K425"/>
  <c r="J425"/>
  <c r="I425"/>
  <c r="G425"/>
  <c r="N425" s="1"/>
  <c r="Q425" s="1"/>
  <c r="E425"/>
  <c r="D425"/>
  <c r="C425"/>
  <c r="W424"/>
  <c r="V424"/>
  <c r="M424"/>
  <c r="L424"/>
  <c r="K424"/>
  <c r="J424"/>
  <c r="I424"/>
  <c r="G424"/>
  <c r="N424" s="1"/>
  <c r="Q424" s="1"/>
  <c r="E424"/>
  <c r="D424"/>
  <c r="C424"/>
  <c r="W423"/>
  <c r="V423"/>
  <c r="M423"/>
  <c r="L423"/>
  <c r="K423"/>
  <c r="J423"/>
  <c r="I423"/>
  <c r="G423"/>
  <c r="N423" s="1"/>
  <c r="Q423" s="1"/>
  <c r="E423"/>
  <c r="D423"/>
  <c r="C423"/>
  <c r="W422"/>
  <c r="V422"/>
  <c r="M422"/>
  <c r="L422"/>
  <c r="K422"/>
  <c r="J422"/>
  <c r="I422"/>
  <c r="G422"/>
  <c r="N422" s="1"/>
  <c r="Q422" s="1"/>
  <c r="E422"/>
  <c r="D422"/>
  <c r="C422"/>
  <c r="W421"/>
  <c r="V421"/>
  <c r="M421"/>
  <c r="L421"/>
  <c r="K421"/>
  <c r="J421"/>
  <c r="I421"/>
  <c r="G421"/>
  <c r="N421" s="1"/>
  <c r="Q421" s="1"/>
  <c r="E421"/>
  <c r="D421"/>
  <c r="C421"/>
  <c r="W420"/>
  <c r="V420"/>
  <c r="M420"/>
  <c r="L420"/>
  <c r="K420"/>
  <c r="J420"/>
  <c r="I420"/>
  <c r="G420"/>
  <c r="N420" s="1"/>
  <c r="Q420" s="1"/>
  <c r="E420"/>
  <c r="D420"/>
  <c r="C420"/>
  <c r="W419"/>
  <c r="V419"/>
  <c r="M419"/>
  <c r="L419"/>
  <c r="K419"/>
  <c r="J419"/>
  <c r="I419"/>
  <c r="G419"/>
  <c r="N419" s="1"/>
  <c r="Q419" s="1"/>
  <c r="E419"/>
  <c r="D419"/>
  <c r="C419"/>
  <c r="W418"/>
  <c r="V418"/>
  <c r="M418"/>
  <c r="L418"/>
  <c r="K418"/>
  <c r="J418"/>
  <c r="I418"/>
  <c r="G418"/>
  <c r="N418" s="1"/>
  <c r="Q418" s="1"/>
  <c r="E418"/>
  <c r="D418"/>
  <c r="C418"/>
  <c r="W417"/>
  <c r="V417"/>
  <c r="M417"/>
  <c r="L417"/>
  <c r="K417"/>
  <c r="J417"/>
  <c r="I417"/>
  <c r="G417"/>
  <c r="N417" s="1"/>
  <c r="Q417" s="1"/>
  <c r="E417"/>
  <c r="D417"/>
  <c r="C417"/>
  <c r="W416"/>
  <c r="V416"/>
  <c r="M416"/>
  <c r="L416"/>
  <c r="K416"/>
  <c r="J416"/>
  <c r="I416"/>
  <c r="G416"/>
  <c r="N416" s="1"/>
  <c r="Q416" s="1"/>
  <c r="E416"/>
  <c r="D416"/>
  <c r="C416"/>
  <c r="W415"/>
  <c r="V415"/>
  <c r="M415"/>
  <c r="L415"/>
  <c r="K415"/>
  <c r="J415"/>
  <c r="I415"/>
  <c r="G415"/>
  <c r="N415" s="1"/>
  <c r="Q415" s="1"/>
  <c r="E415"/>
  <c r="D415"/>
  <c r="C415"/>
  <c r="W414"/>
  <c r="V414"/>
  <c r="M414"/>
  <c r="L414"/>
  <c r="K414"/>
  <c r="J414"/>
  <c r="I414"/>
  <c r="G414"/>
  <c r="N414" s="1"/>
  <c r="Q414" s="1"/>
  <c r="E414"/>
  <c r="D414"/>
  <c r="C414"/>
  <c r="W413"/>
  <c r="V413"/>
  <c r="M413"/>
  <c r="L413"/>
  <c r="K413"/>
  <c r="J413"/>
  <c r="I413"/>
  <c r="G413"/>
  <c r="N413" s="1"/>
  <c r="Q413" s="1"/>
  <c r="E413"/>
  <c r="D413"/>
  <c r="C413"/>
  <c r="W412"/>
  <c r="V412"/>
  <c r="M412"/>
  <c r="L412"/>
  <c r="K412"/>
  <c r="J412"/>
  <c r="I412"/>
  <c r="G412"/>
  <c r="N412" s="1"/>
  <c r="Q412" s="1"/>
  <c r="E412"/>
  <c r="D412"/>
  <c r="C412"/>
  <c r="W411"/>
  <c r="V411"/>
  <c r="M411"/>
  <c r="L411"/>
  <c r="K411"/>
  <c r="J411"/>
  <c r="I411"/>
  <c r="G411"/>
  <c r="N411" s="1"/>
  <c r="Q411" s="1"/>
  <c r="E411"/>
  <c r="D411"/>
  <c r="C411"/>
  <c r="W410"/>
  <c r="V410"/>
  <c r="M410"/>
  <c r="L410"/>
  <c r="K410"/>
  <c r="J410"/>
  <c r="I410"/>
  <c r="G410"/>
  <c r="N410" s="1"/>
  <c r="Q410" s="1"/>
  <c r="E410"/>
  <c r="D410"/>
  <c r="C410"/>
  <c r="W409"/>
  <c r="V409"/>
  <c r="M409"/>
  <c r="L409"/>
  <c r="K409"/>
  <c r="J409"/>
  <c r="I409"/>
  <c r="G409"/>
  <c r="N409" s="1"/>
  <c r="Q409" s="1"/>
  <c r="E409"/>
  <c r="D409"/>
  <c r="C409"/>
  <c r="W408"/>
  <c r="V408"/>
  <c r="M408"/>
  <c r="L408"/>
  <c r="K408"/>
  <c r="J408"/>
  <c r="I408"/>
  <c r="G408"/>
  <c r="N408" s="1"/>
  <c r="Q408" s="1"/>
  <c r="E408"/>
  <c r="D408"/>
  <c r="C408"/>
  <c r="W407"/>
  <c r="V407"/>
  <c r="M407"/>
  <c r="L407"/>
  <c r="K407"/>
  <c r="J407"/>
  <c r="I407"/>
  <c r="G407"/>
  <c r="N407" s="1"/>
  <c r="Q407" s="1"/>
  <c r="E407"/>
  <c r="D407"/>
  <c r="C407"/>
  <c r="W406"/>
  <c r="V406"/>
  <c r="M406"/>
  <c r="L406"/>
  <c r="K406"/>
  <c r="J406"/>
  <c r="I406"/>
  <c r="G406"/>
  <c r="N406" s="1"/>
  <c r="Q406" s="1"/>
  <c r="E406"/>
  <c r="D406"/>
  <c r="C406"/>
  <c r="W405"/>
  <c r="V405"/>
  <c r="M405"/>
  <c r="L405"/>
  <c r="K405"/>
  <c r="J405"/>
  <c r="I405"/>
  <c r="G405"/>
  <c r="N405" s="1"/>
  <c r="Q405" s="1"/>
  <c r="E405"/>
  <c r="D405"/>
  <c r="C405"/>
  <c r="W404"/>
  <c r="V404"/>
  <c r="M404"/>
  <c r="L404"/>
  <c r="K404"/>
  <c r="J404"/>
  <c r="I404"/>
  <c r="G404"/>
  <c r="N404" s="1"/>
  <c r="Q404" s="1"/>
  <c r="E404"/>
  <c r="D404"/>
  <c r="C404"/>
  <c r="W403"/>
  <c r="V403"/>
  <c r="M403"/>
  <c r="L403"/>
  <c r="K403"/>
  <c r="J403"/>
  <c r="I403"/>
  <c r="G403"/>
  <c r="N403" s="1"/>
  <c r="Q403" s="1"/>
  <c r="E403"/>
  <c r="D403"/>
  <c r="C403"/>
  <c r="W402"/>
  <c r="V402"/>
  <c r="M402"/>
  <c r="L402"/>
  <c r="K402"/>
  <c r="J402"/>
  <c r="I402"/>
  <c r="G402"/>
  <c r="N402" s="1"/>
  <c r="Q402" s="1"/>
  <c r="E402"/>
  <c r="D402"/>
  <c r="C402"/>
  <c r="W401"/>
  <c r="V401"/>
  <c r="M401"/>
  <c r="L401"/>
  <c r="K401"/>
  <c r="J401"/>
  <c r="I401"/>
  <c r="H401"/>
  <c r="G401"/>
  <c r="N401" s="1"/>
  <c r="Q401" s="1"/>
  <c r="D401"/>
  <c r="C401"/>
  <c r="W400"/>
  <c r="V400"/>
  <c r="M400"/>
  <c r="L400"/>
  <c r="K400"/>
  <c r="J400"/>
  <c r="I400"/>
  <c r="H400"/>
  <c r="G400"/>
  <c r="N400" s="1"/>
  <c r="Q400" s="1"/>
  <c r="D400"/>
  <c r="C400"/>
  <c r="W399"/>
  <c r="V399"/>
  <c r="M399"/>
  <c r="L399"/>
  <c r="K399"/>
  <c r="J399"/>
  <c r="I399"/>
  <c r="H399"/>
  <c r="G399"/>
  <c r="N399" s="1"/>
  <c r="Q399" s="1"/>
  <c r="E399"/>
  <c r="D399"/>
  <c r="C399"/>
  <c r="W398"/>
  <c r="V398"/>
  <c r="M398"/>
  <c r="L398"/>
  <c r="K398"/>
  <c r="J398"/>
  <c r="I398"/>
  <c r="H398"/>
  <c r="G398"/>
  <c r="N398" s="1"/>
  <c r="Q398" s="1"/>
  <c r="E398"/>
  <c r="D398"/>
  <c r="C398"/>
  <c r="W397"/>
  <c r="V397"/>
  <c r="M397"/>
  <c r="L397"/>
  <c r="K397"/>
  <c r="J397"/>
  <c r="I397"/>
  <c r="H397"/>
  <c r="G397"/>
  <c r="N397" s="1"/>
  <c r="Q397" s="1"/>
  <c r="E397"/>
  <c r="D397"/>
  <c r="C397"/>
  <c r="W396"/>
  <c r="V396"/>
  <c r="M396"/>
  <c r="L396"/>
  <c r="K396"/>
  <c r="J396"/>
  <c r="I396"/>
  <c r="H396"/>
  <c r="G396"/>
  <c r="N396" s="1"/>
  <c r="Q396" s="1"/>
  <c r="D396"/>
  <c r="C396"/>
  <c r="W395"/>
  <c r="V395"/>
  <c r="M395"/>
  <c r="L395"/>
  <c r="K395"/>
  <c r="J395"/>
  <c r="I395"/>
  <c r="H395"/>
  <c r="G395"/>
  <c r="N395" s="1"/>
  <c r="Q395" s="1"/>
  <c r="D395"/>
  <c r="C395"/>
  <c r="W394"/>
  <c r="V394"/>
  <c r="M394"/>
  <c r="L394"/>
  <c r="K394"/>
  <c r="J394"/>
  <c r="I394"/>
  <c r="H394"/>
  <c r="G394"/>
  <c r="N394" s="1"/>
  <c r="Q394" s="1"/>
  <c r="E394"/>
  <c r="D394"/>
  <c r="C394"/>
  <c r="W393"/>
  <c r="V393"/>
  <c r="M393"/>
  <c r="L393"/>
  <c r="K393"/>
  <c r="J393"/>
  <c r="I393"/>
  <c r="H393"/>
  <c r="G393"/>
  <c r="N393" s="1"/>
  <c r="Q393" s="1"/>
  <c r="E393"/>
  <c r="D393"/>
  <c r="C393"/>
  <c r="W392"/>
  <c r="V392"/>
  <c r="S392"/>
  <c r="M392"/>
  <c r="L392"/>
  <c r="K392"/>
  <c r="J392"/>
  <c r="I392"/>
  <c r="H392"/>
  <c r="G392"/>
  <c r="N392" s="1"/>
  <c r="Q392" s="1"/>
  <c r="E392"/>
  <c r="D392"/>
  <c r="C392"/>
  <c r="W391"/>
  <c r="V391"/>
  <c r="M391"/>
  <c r="L391"/>
  <c r="K391"/>
  <c r="J391"/>
  <c r="I391"/>
  <c r="H391"/>
  <c r="G391"/>
  <c r="N391" s="1"/>
  <c r="Q391" s="1"/>
  <c r="E391"/>
  <c r="D391"/>
  <c r="C391"/>
  <c r="W390"/>
  <c r="V390"/>
  <c r="M390"/>
  <c r="L390"/>
  <c r="K390"/>
  <c r="J390"/>
  <c r="I390"/>
  <c r="H390"/>
  <c r="G390"/>
  <c r="N390" s="1"/>
  <c r="Q390" s="1"/>
  <c r="E390"/>
  <c r="D390"/>
  <c r="C390"/>
  <c r="W389"/>
  <c r="V389"/>
  <c r="M389"/>
  <c r="L389"/>
  <c r="K389"/>
  <c r="J389"/>
  <c r="I389"/>
  <c r="H389"/>
  <c r="G389"/>
  <c r="N389" s="1"/>
  <c r="Q389" s="1"/>
  <c r="E389"/>
  <c r="D389"/>
  <c r="C389"/>
  <c r="W388"/>
  <c r="V388"/>
  <c r="M388"/>
  <c r="L388"/>
  <c r="K388"/>
  <c r="J388"/>
  <c r="I388"/>
  <c r="H388"/>
  <c r="G388"/>
  <c r="N388" s="1"/>
  <c r="Q388" s="1"/>
  <c r="E388"/>
  <c r="D388"/>
  <c r="C388"/>
  <c r="W387"/>
  <c r="V387"/>
  <c r="M387"/>
  <c r="L387"/>
  <c r="K387"/>
  <c r="J387"/>
  <c r="I387"/>
  <c r="H387"/>
  <c r="G387"/>
  <c r="N387" s="1"/>
  <c r="Q387" s="1"/>
  <c r="E387"/>
  <c r="D387"/>
  <c r="C387"/>
  <c r="W386"/>
  <c r="V386"/>
  <c r="M386"/>
  <c r="L386"/>
  <c r="K386"/>
  <c r="J386"/>
  <c r="I386"/>
  <c r="H386"/>
  <c r="G386"/>
  <c r="N386" s="1"/>
  <c r="Q386" s="1"/>
  <c r="E386"/>
  <c r="D386"/>
  <c r="C386"/>
  <c r="M385"/>
  <c r="L385"/>
  <c r="K385"/>
  <c r="J385"/>
  <c r="I385"/>
  <c r="H385"/>
  <c r="G385"/>
  <c r="N385" s="1"/>
  <c r="Q385" s="1"/>
  <c r="E385"/>
  <c r="D385"/>
  <c r="C385"/>
  <c r="M384"/>
  <c r="L384"/>
  <c r="K384"/>
  <c r="J384"/>
  <c r="I384"/>
  <c r="H384"/>
  <c r="G384"/>
  <c r="N384" s="1"/>
  <c r="Q384" s="1"/>
  <c r="E384"/>
  <c r="D384"/>
  <c r="C384"/>
  <c r="M383"/>
  <c r="L383"/>
  <c r="K383"/>
  <c r="J383"/>
  <c r="I383"/>
  <c r="H383"/>
  <c r="G383"/>
  <c r="N383" s="1"/>
  <c r="Q383" s="1"/>
  <c r="E383"/>
  <c r="D383"/>
  <c r="C383"/>
  <c r="M382"/>
  <c r="L382"/>
  <c r="K382"/>
  <c r="J382"/>
  <c r="I382"/>
  <c r="H382"/>
  <c r="G382"/>
  <c r="N382" s="1"/>
  <c r="Q382" s="1"/>
  <c r="E382"/>
  <c r="D382"/>
  <c r="C382"/>
  <c r="M381"/>
  <c r="L381"/>
  <c r="K381"/>
  <c r="J381"/>
  <c r="I381"/>
  <c r="H381"/>
  <c r="G381"/>
  <c r="N381" s="1"/>
  <c r="Q381" s="1"/>
  <c r="E381"/>
  <c r="D381"/>
  <c r="C381"/>
  <c r="W380"/>
  <c r="V380"/>
  <c r="M380"/>
  <c r="L380"/>
  <c r="K380"/>
  <c r="J380"/>
  <c r="I380"/>
  <c r="H380"/>
  <c r="G380"/>
  <c r="N380" s="1"/>
  <c r="Q380" s="1"/>
  <c r="E380"/>
  <c r="D380"/>
  <c r="C380"/>
  <c r="M379"/>
  <c r="L379"/>
  <c r="K379"/>
  <c r="J379"/>
  <c r="I379"/>
  <c r="H379"/>
  <c r="G379"/>
  <c r="N379" s="1"/>
  <c r="Q379" s="1"/>
  <c r="E379"/>
  <c r="D379"/>
  <c r="C379"/>
  <c r="W378"/>
  <c r="V378"/>
  <c r="M378"/>
  <c r="L378"/>
  <c r="K378"/>
  <c r="J378"/>
  <c r="I378"/>
  <c r="H378"/>
  <c r="G378"/>
  <c r="N378" s="1"/>
  <c r="Q378" s="1"/>
  <c r="E378"/>
  <c r="D378"/>
  <c r="C378"/>
  <c r="W377"/>
  <c r="V377"/>
  <c r="M377"/>
  <c r="L377"/>
  <c r="K377"/>
  <c r="J377"/>
  <c r="I377"/>
  <c r="G377"/>
  <c r="N377" s="1"/>
  <c r="Q377" s="1"/>
  <c r="E377"/>
  <c r="D377"/>
  <c r="C377"/>
  <c r="M376"/>
  <c r="L376"/>
  <c r="K376"/>
  <c r="J376"/>
  <c r="I376"/>
  <c r="H376"/>
  <c r="G376"/>
  <c r="N376" s="1"/>
  <c r="Q376" s="1"/>
  <c r="E376"/>
  <c r="D376"/>
  <c r="C376"/>
  <c r="M375"/>
  <c r="L375"/>
  <c r="K375"/>
  <c r="J375"/>
  <c r="I375"/>
  <c r="H375"/>
  <c r="G375"/>
  <c r="N375" s="1"/>
  <c r="Q375" s="1"/>
  <c r="E375"/>
  <c r="D375"/>
  <c r="C375"/>
  <c r="M374"/>
  <c r="L374"/>
  <c r="K374"/>
  <c r="J374"/>
  <c r="I374"/>
  <c r="H374"/>
  <c r="G374"/>
  <c r="N374" s="1"/>
  <c r="Q374" s="1"/>
  <c r="E374"/>
  <c r="D374"/>
  <c r="C374"/>
  <c r="M373"/>
  <c r="L373"/>
  <c r="K373"/>
  <c r="J373"/>
  <c r="I373"/>
  <c r="H373"/>
  <c r="G373"/>
  <c r="N373" s="1"/>
  <c r="Q373" s="1"/>
  <c r="E373"/>
  <c r="D373"/>
  <c r="C373"/>
  <c r="M372"/>
  <c r="L372"/>
  <c r="K372"/>
  <c r="J372"/>
  <c r="I372"/>
  <c r="H372"/>
  <c r="G372"/>
  <c r="N372" s="1"/>
  <c r="Q372" s="1"/>
  <c r="E372"/>
  <c r="D372"/>
  <c r="C372"/>
  <c r="M371"/>
  <c r="L371"/>
  <c r="K371"/>
  <c r="J371"/>
  <c r="I371"/>
  <c r="H371"/>
  <c r="G371"/>
  <c r="N371" s="1"/>
  <c r="Q371" s="1"/>
  <c r="E371"/>
  <c r="D371"/>
  <c r="C371"/>
  <c r="M370"/>
  <c r="L370"/>
  <c r="K370"/>
  <c r="J370"/>
  <c r="I370"/>
  <c r="H370"/>
  <c r="G370"/>
  <c r="N370" s="1"/>
  <c r="Q370" s="1"/>
  <c r="E370"/>
  <c r="D370"/>
  <c r="C370"/>
  <c r="M369"/>
  <c r="L369"/>
  <c r="K369"/>
  <c r="J369"/>
  <c r="I369"/>
  <c r="H369"/>
  <c r="G369"/>
  <c r="N369" s="1"/>
  <c r="Q369" s="1"/>
  <c r="E369"/>
  <c r="D369"/>
  <c r="C369"/>
  <c r="M368"/>
  <c r="L368"/>
  <c r="K368"/>
  <c r="J368"/>
  <c r="I368"/>
  <c r="H368"/>
  <c r="G368"/>
  <c r="N368" s="1"/>
  <c r="Q368" s="1"/>
  <c r="E368"/>
  <c r="D368"/>
  <c r="C368"/>
  <c r="M367"/>
  <c r="L367"/>
  <c r="K367"/>
  <c r="J367"/>
  <c r="I367"/>
  <c r="H367"/>
  <c r="G367"/>
  <c r="N367" s="1"/>
  <c r="Q367" s="1"/>
  <c r="E367"/>
  <c r="D367"/>
  <c r="C367"/>
  <c r="M366"/>
  <c r="L366"/>
  <c r="K366"/>
  <c r="J366"/>
  <c r="I366"/>
  <c r="H366"/>
  <c r="G366"/>
  <c r="N366" s="1"/>
  <c r="Q366" s="1"/>
  <c r="E366"/>
  <c r="D366"/>
  <c r="C366"/>
  <c r="M365"/>
  <c r="L365"/>
  <c r="K365"/>
  <c r="J365"/>
  <c r="I365"/>
  <c r="H365"/>
  <c r="G365"/>
  <c r="N365" s="1"/>
  <c r="Q365" s="1"/>
  <c r="E365"/>
  <c r="D365"/>
  <c r="C365"/>
  <c r="M364"/>
  <c r="L364"/>
  <c r="K364"/>
  <c r="J364"/>
  <c r="I364"/>
  <c r="H364"/>
  <c r="G364"/>
  <c r="N364" s="1"/>
  <c r="Q364" s="1"/>
  <c r="E364"/>
  <c r="D364"/>
  <c r="C364"/>
  <c r="W363"/>
  <c r="V363"/>
  <c r="M363"/>
  <c r="L363"/>
  <c r="K363"/>
  <c r="J363"/>
  <c r="I363"/>
  <c r="G363"/>
  <c r="N363" s="1"/>
  <c r="Q363" s="1"/>
  <c r="E363"/>
  <c r="D363"/>
  <c r="C363"/>
  <c r="W362"/>
  <c r="V362"/>
  <c r="M362"/>
  <c r="L362"/>
  <c r="K362"/>
  <c r="J362"/>
  <c r="I362"/>
  <c r="G362"/>
  <c r="N362" s="1"/>
  <c r="Q362" s="1"/>
  <c r="E362"/>
  <c r="D362"/>
  <c r="C362"/>
  <c r="W361"/>
  <c r="V361"/>
  <c r="M361"/>
  <c r="L361"/>
  <c r="K361"/>
  <c r="J361"/>
  <c r="I361"/>
  <c r="G361"/>
  <c r="N361" s="1"/>
  <c r="Q361" s="1"/>
  <c r="E361"/>
  <c r="D361"/>
  <c r="C361"/>
  <c r="W360"/>
  <c r="V360"/>
  <c r="M360"/>
  <c r="L360"/>
  <c r="K360"/>
  <c r="J360"/>
  <c r="I360"/>
  <c r="G360"/>
  <c r="N360" s="1"/>
  <c r="Q360" s="1"/>
  <c r="E360"/>
  <c r="D360"/>
  <c r="C360"/>
  <c r="W359"/>
  <c r="V359"/>
  <c r="M359"/>
  <c r="L359"/>
  <c r="K359"/>
  <c r="J359"/>
  <c r="I359"/>
  <c r="G359"/>
  <c r="N359" s="1"/>
  <c r="Q359" s="1"/>
  <c r="E359"/>
  <c r="D359"/>
  <c r="C359"/>
  <c r="W358"/>
  <c r="V358"/>
  <c r="M358"/>
  <c r="L358"/>
  <c r="K358"/>
  <c r="J358"/>
  <c r="I358"/>
  <c r="G358"/>
  <c r="N358" s="1"/>
  <c r="Q358" s="1"/>
  <c r="E358"/>
  <c r="D358"/>
  <c r="C358"/>
  <c r="W357"/>
  <c r="V357"/>
  <c r="M357"/>
  <c r="L357"/>
  <c r="K357"/>
  <c r="J357"/>
  <c r="I357"/>
  <c r="G357"/>
  <c r="N357" s="1"/>
  <c r="Q357" s="1"/>
  <c r="E357"/>
  <c r="D357"/>
  <c r="C357"/>
  <c r="W356"/>
  <c r="V356"/>
  <c r="M356"/>
  <c r="L356"/>
  <c r="K356"/>
  <c r="J356"/>
  <c r="I356"/>
  <c r="G356"/>
  <c r="N356" s="1"/>
  <c r="Q356" s="1"/>
  <c r="E356"/>
  <c r="D356"/>
  <c r="C356"/>
  <c r="W355"/>
  <c r="V355"/>
  <c r="M355"/>
  <c r="L355"/>
  <c r="K355"/>
  <c r="J355"/>
  <c r="I355"/>
  <c r="G355"/>
  <c r="N355" s="1"/>
  <c r="Q355" s="1"/>
  <c r="E355"/>
  <c r="D355"/>
  <c r="C355"/>
  <c r="W354"/>
  <c r="V354"/>
  <c r="M354"/>
  <c r="L354"/>
  <c r="K354"/>
  <c r="J354"/>
  <c r="I354"/>
  <c r="G354"/>
  <c r="N354" s="1"/>
  <c r="Q354" s="1"/>
  <c r="E354"/>
  <c r="D354"/>
  <c r="C354"/>
  <c r="M353"/>
  <c r="L353"/>
  <c r="K353"/>
  <c r="J353"/>
  <c r="I353"/>
  <c r="H353"/>
  <c r="G353"/>
  <c r="N353" s="1"/>
  <c r="Q353" s="1"/>
  <c r="E353"/>
  <c r="D353"/>
  <c r="C353"/>
  <c r="M352"/>
  <c r="L352"/>
  <c r="K352"/>
  <c r="J352"/>
  <c r="I352"/>
  <c r="H352"/>
  <c r="G352"/>
  <c r="N352" s="1"/>
  <c r="Q352" s="1"/>
  <c r="E352"/>
  <c r="D352"/>
  <c r="C352"/>
  <c r="M351"/>
  <c r="L351"/>
  <c r="K351"/>
  <c r="J351"/>
  <c r="I351"/>
  <c r="H351"/>
  <c r="G351"/>
  <c r="N351" s="1"/>
  <c r="Q351" s="1"/>
  <c r="E351"/>
  <c r="D351"/>
  <c r="C351"/>
  <c r="M350"/>
  <c r="L350"/>
  <c r="K350"/>
  <c r="J350"/>
  <c r="I350"/>
  <c r="H350"/>
  <c r="G350"/>
  <c r="N350" s="1"/>
  <c r="Q350" s="1"/>
  <c r="E350"/>
  <c r="D350"/>
  <c r="C350"/>
  <c r="W349"/>
  <c r="V349"/>
  <c r="M349"/>
  <c r="L349"/>
  <c r="K349"/>
  <c r="J349"/>
  <c r="I349"/>
  <c r="G349"/>
  <c r="N349" s="1"/>
  <c r="Q349" s="1"/>
  <c r="E349"/>
  <c r="D349"/>
  <c r="C349"/>
  <c r="W348"/>
  <c r="V348"/>
  <c r="M348"/>
  <c r="L348"/>
  <c r="K348"/>
  <c r="J348"/>
  <c r="I348"/>
  <c r="G348"/>
  <c r="N348" s="1"/>
  <c r="Q348" s="1"/>
  <c r="E348"/>
  <c r="D348"/>
  <c r="C348"/>
  <c r="W347"/>
  <c r="V347"/>
  <c r="M347"/>
  <c r="L347"/>
  <c r="K347"/>
  <c r="J347"/>
  <c r="I347"/>
  <c r="G347"/>
  <c r="N347" s="1"/>
  <c r="E347"/>
  <c r="D347"/>
  <c r="C347"/>
  <c r="W346"/>
  <c r="V346"/>
  <c r="M346"/>
  <c r="L346"/>
  <c r="K346"/>
  <c r="J346"/>
  <c r="I346"/>
  <c r="G346"/>
  <c r="N346" s="1"/>
  <c r="Q346" s="1"/>
  <c r="E346"/>
  <c r="D346"/>
  <c r="C346"/>
  <c r="W345"/>
  <c r="V345"/>
  <c r="M345"/>
  <c r="L345"/>
  <c r="K345"/>
  <c r="J345"/>
  <c r="I345"/>
  <c r="G345"/>
  <c r="N345" s="1"/>
  <c r="Q345" s="1"/>
  <c r="E345"/>
  <c r="D345"/>
  <c r="C345"/>
  <c r="W344"/>
  <c r="V344"/>
  <c r="M344"/>
  <c r="L344"/>
  <c r="K344"/>
  <c r="J344"/>
  <c r="I344"/>
  <c r="G344"/>
  <c r="N344" s="1"/>
  <c r="Q344" s="1"/>
  <c r="E344"/>
  <c r="D344"/>
  <c r="C344"/>
  <c r="W343"/>
  <c r="V343"/>
  <c r="M343"/>
  <c r="L343"/>
  <c r="K343"/>
  <c r="J343"/>
  <c r="I343"/>
  <c r="G343"/>
  <c r="N343" s="1"/>
  <c r="Q343" s="1"/>
  <c r="E343"/>
  <c r="D343"/>
  <c r="C343"/>
  <c r="W342"/>
  <c r="V342"/>
  <c r="M342"/>
  <c r="L342"/>
  <c r="K342"/>
  <c r="J342"/>
  <c r="I342"/>
  <c r="G342"/>
  <c r="N342" s="1"/>
  <c r="Q342" s="1"/>
  <c r="E342"/>
  <c r="D342"/>
  <c r="C342"/>
  <c r="W341"/>
  <c r="V341"/>
  <c r="M341"/>
  <c r="L341"/>
  <c r="K341"/>
  <c r="J341"/>
  <c r="I341"/>
  <c r="G341"/>
  <c r="N341" s="1"/>
  <c r="Q341" s="1"/>
  <c r="E341"/>
  <c r="D341"/>
  <c r="C341"/>
  <c r="W340"/>
  <c r="V340"/>
  <c r="M340"/>
  <c r="L340"/>
  <c r="K340"/>
  <c r="J340"/>
  <c r="I340"/>
  <c r="G340"/>
  <c r="N340" s="1"/>
  <c r="Q340" s="1"/>
  <c r="E340"/>
  <c r="D340"/>
  <c r="C340"/>
  <c r="W339"/>
  <c r="V339"/>
  <c r="M339"/>
  <c r="L339"/>
  <c r="K339"/>
  <c r="J339"/>
  <c r="I339"/>
  <c r="G339"/>
  <c r="N339" s="1"/>
  <c r="Q339" s="1"/>
  <c r="E339"/>
  <c r="D339"/>
  <c r="C339"/>
  <c r="M338"/>
  <c r="L338"/>
  <c r="K338"/>
  <c r="J338"/>
  <c r="I338"/>
  <c r="H338"/>
  <c r="G338"/>
  <c r="N338" s="1"/>
  <c r="Q338" s="1"/>
  <c r="E338"/>
  <c r="D338"/>
  <c r="C338"/>
  <c r="M337"/>
  <c r="L337"/>
  <c r="K337"/>
  <c r="J337"/>
  <c r="I337"/>
  <c r="H337"/>
  <c r="G337"/>
  <c r="N337" s="1"/>
  <c r="Q337" s="1"/>
  <c r="E337"/>
  <c r="D337"/>
  <c r="C337"/>
  <c r="M336"/>
  <c r="L336"/>
  <c r="K336"/>
  <c r="J336"/>
  <c r="I336"/>
  <c r="H336"/>
  <c r="G336"/>
  <c r="N336" s="1"/>
  <c r="Q336" s="1"/>
  <c r="E336"/>
  <c r="D336"/>
  <c r="C336"/>
  <c r="M335"/>
  <c r="L335"/>
  <c r="K335"/>
  <c r="J335"/>
  <c r="I335"/>
  <c r="H335"/>
  <c r="G335"/>
  <c r="N335" s="1"/>
  <c r="Q335" s="1"/>
  <c r="E335"/>
  <c r="D335"/>
  <c r="C335"/>
  <c r="M334"/>
  <c r="L334"/>
  <c r="K334"/>
  <c r="J334"/>
  <c r="I334"/>
  <c r="H334"/>
  <c r="G334"/>
  <c r="N334" s="1"/>
  <c r="Q334" s="1"/>
  <c r="E334"/>
  <c r="D334"/>
  <c r="C334"/>
  <c r="M333"/>
  <c r="L333"/>
  <c r="K333"/>
  <c r="J333"/>
  <c r="I333"/>
  <c r="H333"/>
  <c r="G333"/>
  <c r="N333" s="1"/>
  <c r="Q333" s="1"/>
  <c r="E333"/>
  <c r="D333"/>
  <c r="C333"/>
  <c r="M332"/>
  <c r="L332"/>
  <c r="K332"/>
  <c r="J332"/>
  <c r="I332"/>
  <c r="H332"/>
  <c r="G332"/>
  <c r="N332" s="1"/>
  <c r="Q332" s="1"/>
  <c r="E332"/>
  <c r="D332"/>
  <c r="C332"/>
  <c r="M331"/>
  <c r="L331"/>
  <c r="K331"/>
  <c r="J331"/>
  <c r="I331"/>
  <c r="H331"/>
  <c r="G331"/>
  <c r="N331" s="1"/>
  <c r="Q331" s="1"/>
  <c r="E331"/>
  <c r="D331"/>
  <c r="C331"/>
  <c r="M330"/>
  <c r="L330"/>
  <c r="K330"/>
  <c r="J330"/>
  <c r="I330"/>
  <c r="H330"/>
  <c r="G330"/>
  <c r="N330" s="1"/>
  <c r="Q330" s="1"/>
  <c r="E330"/>
  <c r="D330"/>
  <c r="C330"/>
  <c r="M329"/>
  <c r="L329"/>
  <c r="K329"/>
  <c r="J329"/>
  <c r="I329"/>
  <c r="H329"/>
  <c r="G329"/>
  <c r="N329" s="1"/>
  <c r="Q329" s="1"/>
  <c r="E329"/>
  <c r="D329"/>
  <c r="C329"/>
  <c r="M328"/>
  <c r="L328"/>
  <c r="K328"/>
  <c r="J328"/>
  <c r="I328"/>
  <c r="H328"/>
  <c r="G328"/>
  <c r="N328" s="1"/>
  <c r="Q328" s="1"/>
  <c r="E328"/>
  <c r="D328"/>
  <c r="C328"/>
  <c r="W327"/>
  <c r="V327"/>
  <c r="M327"/>
  <c r="L327"/>
  <c r="K327"/>
  <c r="J327"/>
  <c r="I327"/>
  <c r="G327"/>
  <c r="N327" s="1"/>
  <c r="Q327" s="1"/>
  <c r="E327"/>
  <c r="D327"/>
  <c r="C327"/>
  <c r="W326"/>
  <c r="V326"/>
  <c r="M326"/>
  <c r="L326"/>
  <c r="K326"/>
  <c r="J326"/>
  <c r="I326"/>
  <c r="G326"/>
  <c r="N326" s="1"/>
  <c r="Q326" s="1"/>
  <c r="E326"/>
  <c r="D326"/>
  <c r="C326"/>
  <c r="W325"/>
  <c r="V325"/>
  <c r="M325"/>
  <c r="L325"/>
  <c r="K325"/>
  <c r="J325"/>
  <c r="I325"/>
  <c r="G325"/>
  <c r="N325" s="1"/>
  <c r="Q325" s="1"/>
  <c r="E325"/>
  <c r="D325"/>
  <c r="C325"/>
  <c r="W324"/>
  <c r="V324"/>
  <c r="M324"/>
  <c r="L324"/>
  <c r="K324"/>
  <c r="J324"/>
  <c r="I324"/>
  <c r="G324"/>
  <c r="N324" s="1"/>
  <c r="Q324" s="1"/>
  <c r="E324"/>
  <c r="D324"/>
  <c r="C324"/>
  <c r="W323"/>
  <c r="V323"/>
  <c r="M323"/>
  <c r="L323"/>
  <c r="K323"/>
  <c r="J323"/>
  <c r="I323"/>
  <c r="G323"/>
  <c r="N323" s="1"/>
  <c r="Q323" s="1"/>
  <c r="E323"/>
  <c r="D323"/>
  <c r="C323"/>
  <c r="W322"/>
  <c r="V322"/>
  <c r="M322"/>
  <c r="L322"/>
  <c r="K322"/>
  <c r="J322"/>
  <c r="I322"/>
  <c r="G322"/>
  <c r="N322" s="1"/>
  <c r="Q322" s="1"/>
  <c r="E322"/>
  <c r="D322"/>
  <c r="C322"/>
  <c r="W321"/>
  <c r="V321"/>
  <c r="M321"/>
  <c r="L321"/>
  <c r="K321"/>
  <c r="J321"/>
  <c r="I321"/>
  <c r="G321"/>
  <c r="N321" s="1"/>
  <c r="Q321" s="1"/>
  <c r="E321"/>
  <c r="D321"/>
  <c r="C321"/>
  <c r="W320"/>
  <c r="V320"/>
  <c r="M320"/>
  <c r="L320"/>
  <c r="K320"/>
  <c r="J320"/>
  <c r="I320"/>
  <c r="G320"/>
  <c r="N320" s="1"/>
  <c r="Q320" s="1"/>
  <c r="E320"/>
  <c r="D320"/>
  <c r="C320"/>
  <c r="W319"/>
  <c r="V319"/>
  <c r="M319"/>
  <c r="L319"/>
  <c r="K319"/>
  <c r="J319"/>
  <c r="I319"/>
  <c r="G319"/>
  <c r="N319" s="1"/>
  <c r="Q319" s="1"/>
  <c r="E319"/>
  <c r="D319"/>
  <c r="C319"/>
  <c r="W318"/>
  <c r="V318"/>
  <c r="M318"/>
  <c r="L318"/>
  <c r="K318"/>
  <c r="J318"/>
  <c r="I318"/>
  <c r="G318"/>
  <c r="N318" s="1"/>
  <c r="Q318" s="1"/>
  <c r="E318"/>
  <c r="D318"/>
  <c r="C318"/>
  <c r="W317"/>
  <c r="V317"/>
  <c r="M317"/>
  <c r="L317"/>
  <c r="K317"/>
  <c r="J317"/>
  <c r="I317"/>
  <c r="G317"/>
  <c r="N317" s="1"/>
  <c r="Q317" s="1"/>
  <c r="E317"/>
  <c r="D317"/>
  <c r="C317"/>
  <c r="W316"/>
  <c r="V316"/>
  <c r="M316"/>
  <c r="L316"/>
  <c r="K316"/>
  <c r="J316"/>
  <c r="I316"/>
  <c r="G316"/>
  <c r="N316" s="1"/>
  <c r="E316"/>
  <c r="D316"/>
  <c r="C316"/>
  <c r="W315"/>
  <c r="V315"/>
  <c r="M315"/>
  <c r="L315"/>
  <c r="K315"/>
  <c r="J315"/>
  <c r="I315"/>
  <c r="G315"/>
  <c r="N315" s="1"/>
  <c r="Q315" s="1"/>
  <c r="D315"/>
  <c r="C315"/>
  <c r="W314"/>
  <c r="V314"/>
  <c r="M314"/>
  <c r="L314"/>
  <c r="K314"/>
  <c r="J314"/>
  <c r="I314"/>
  <c r="G314"/>
  <c r="N314" s="1"/>
  <c r="Q314" s="1"/>
  <c r="E314"/>
  <c r="D314"/>
  <c r="C314"/>
  <c r="W313"/>
  <c r="V313"/>
  <c r="M313"/>
  <c r="L313"/>
  <c r="K313"/>
  <c r="J313"/>
  <c r="I313"/>
  <c r="G313"/>
  <c r="N313" s="1"/>
  <c r="Q313" s="1"/>
  <c r="E313"/>
  <c r="D313"/>
  <c r="C313"/>
  <c r="W312"/>
  <c r="V312"/>
  <c r="M312"/>
  <c r="L312"/>
  <c r="K312"/>
  <c r="J312"/>
  <c r="I312"/>
  <c r="G312"/>
  <c r="N312" s="1"/>
  <c r="Q312" s="1"/>
  <c r="E312"/>
  <c r="D312"/>
  <c r="C312"/>
  <c r="W311"/>
  <c r="V311"/>
  <c r="M311"/>
  <c r="L311"/>
  <c r="K311"/>
  <c r="J311"/>
  <c r="I311"/>
  <c r="G311"/>
  <c r="N311" s="1"/>
  <c r="Q311" s="1"/>
  <c r="E311"/>
  <c r="D311"/>
  <c r="C311"/>
  <c r="W310"/>
  <c r="V310"/>
  <c r="M310"/>
  <c r="L310"/>
  <c r="K310"/>
  <c r="J310"/>
  <c r="I310"/>
  <c r="G310"/>
  <c r="N310" s="1"/>
  <c r="Q310" s="1"/>
  <c r="E310"/>
  <c r="D310"/>
  <c r="C310"/>
  <c r="W309"/>
  <c r="V309"/>
  <c r="M309"/>
  <c r="L309"/>
  <c r="K309"/>
  <c r="J309"/>
  <c r="I309"/>
  <c r="G309"/>
  <c r="N309" s="1"/>
  <c r="Q309" s="1"/>
  <c r="E309"/>
  <c r="D309"/>
  <c r="C309"/>
  <c r="W308"/>
  <c r="V308"/>
  <c r="M308"/>
  <c r="L308"/>
  <c r="K308"/>
  <c r="J308"/>
  <c r="I308"/>
  <c r="G308"/>
  <c r="N308" s="1"/>
  <c r="Q308" s="1"/>
  <c r="E308"/>
  <c r="D308"/>
  <c r="C308"/>
  <c r="W307"/>
  <c r="V307"/>
  <c r="M307"/>
  <c r="L307"/>
  <c r="K307"/>
  <c r="J307"/>
  <c r="I307"/>
  <c r="G307"/>
  <c r="N307" s="1"/>
  <c r="Q307" s="1"/>
  <c r="E307"/>
  <c r="D307"/>
  <c r="C307"/>
  <c r="W306"/>
  <c r="V306"/>
  <c r="M306"/>
  <c r="L306"/>
  <c r="K306"/>
  <c r="J306"/>
  <c r="I306"/>
  <c r="G306"/>
  <c r="N306" s="1"/>
  <c r="Q306" s="1"/>
  <c r="E306"/>
  <c r="D306"/>
  <c r="C306"/>
  <c r="W305"/>
  <c r="V305"/>
  <c r="M305"/>
  <c r="L305"/>
  <c r="K305"/>
  <c r="J305"/>
  <c r="I305"/>
  <c r="G305"/>
  <c r="N305" s="1"/>
  <c r="Q305" s="1"/>
  <c r="E305"/>
  <c r="D305"/>
  <c r="C305"/>
  <c r="W304"/>
  <c r="V304"/>
  <c r="M304"/>
  <c r="L304"/>
  <c r="K304"/>
  <c r="J304"/>
  <c r="I304"/>
  <c r="G304"/>
  <c r="N304" s="1"/>
  <c r="Q304" s="1"/>
  <c r="E304"/>
  <c r="D304"/>
  <c r="C304"/>
  <c r="W303"/>
  <c r="V303"/>
  <c r="M303"/>
  <c r="L303"/>
  <c r="K303"/>
  <c r="J303"/>
  <c r="I303"/>
  <c r="G303"/>
  <c r="N303" s="1"/>
  <c r="Q303" s="1"/>
  <c r="E303"/>
  <c r="D303"/>
  <c r="C303"/>
  <c r="W302"/>
  <c r="V302"/>
  <c r="M302"/>
  <c r="L302"/>
  <c r="K302"/>
  <c r="J302"/>
  <c r="I302"/>
  <c r="G302"/>
  <c r="N302" s="1"/>
  <c r="Q302" s="1"/>
  <c r="E302"/>
  <c r="D302"/>
  <c r="C302"/>
  <c r="W301"/>
  <c r="V301"/>
  <c r="M301"/>
  <c r="L301"/>
  <c r="K301"/>
  <c r="J301"/>
  <c r="I301"/>
  <c r="G301"/>
  <c r="N301" s="1"/>
  <c r="Q301" s="1"/>
  <c r="E301"/>
  <c r="D301"/>
  <c r="C301"/>
  <c r="W300"/>
  <c r="V300"/>
  <c r="M300"/>
  <c r="L300"/>
  <c r="K300"/>
  <c r="J300"/>
  <c r="I300"/>
  <c r="G300"/>
  <c r="N300" s="1"/>
  <c r="Q300" s="1"/>
  <c r="E300"/>
  <c r="D300"/>
  <c r="C300"/>
  <c r="W299"/>
  <c r="V299"/>
  <c r="M299"/>
  <c r="L299"/>
  <c r="K299"/>
  <c r="J299"/>
  <c r="I299"/>
  <c r="G299"/>
  <c r="N299" s="1"/>
  <c r="Q299" s="1"/>
  <c r="E299"/>
  <c r="D299"/>
  <c r="C299"/>
  <c r="W298"/>
  <c r="V298"/>
  <c r="M298"/>
  <c r="L298"/>
  <c r="K298"/>
  <c r="J298"/>
  <c r="I298"/>
  <c r="G298"/>
  <c r="N298" s="1"/>
  <c r="Q298" s="1"/>
  <c r="E298"/>
  <c r="D298"/>
  <c r="C298"/>
  <c r="W297"/>
  <c r="V297"/>
  <c r="M297"/>
  <c r="L297"/>
  <c r="K297"/>
  <c r="J297"/>
  <c r="I297"/>
  <c r="G297"/>
  <c r="N297" s="1"/>
  <c r="E297"/>
  <c r="D297"/>
  <c r="C297"/>
  <c r="W296"/>
  <c r="V296"/>
  <c r="M296"/>
  <c r="L296"/>
  <c r="K296"/>
  <c r="J296"/>
  <c r="I296"/>
  <c r="G296"/>
  <c r="N296" s="1"/>
  <c r="E296"/>
  <c r="D296"/>
  <c r="C296"/>
  <c r="W295"/>
  <c r="V295"/>
  <c r="M295"/>
  <c r="L295"/>
  <c r="K295"/>
  <c r="J295"/>
  <c r="I295"/>
  <c r="G295"/>
  <c r="N295" s="1"/>
  <c r="Q295" s="1"/>
  <c r="E295"/>
  <c r="D295"/>
  <c r="C295"/>
  <c r="W294"/>
  <c r="V294"/>
  <c r="M294"/>
  <c r="L294"/>
  <c r="K294"/>
  <c r="J294"/>
  <c r="I294"/>
  <c r="G294"/>
  <c r="N294" s="1"/>
  <c r="Q294" s="1"/>
  <c r="E294"/>
  <c r="D294"/>
  <c r="C294"/>
  <c r="W293"/>
  <c r="V293"/>
  <c r="M293"/>
  <c r="L293"/>
  <c r="K293"/>
  <c r="J293"/>
  <c r="I293"/>
  <c r="H293"/>
  <c r="G293"/>
  <c r="N293" s="1"/>
  <c r="Q293" s="1"/>
  <c r="E293"/>
  <c r="D293"/>
  <c r="C293"/>
  <c r="W292"/>
  <c r="V292"/>
  <c r="M292"/>
  <c r="L292"/>
  <c r="K292"/>
  <c r="J292"/>
  <c r="I292"/>
  <c r="H292"/>
  <c r="G292"/>
  <c r="N292" s="1"/>
  <c r="Q292" s="1"/>
  <c r="E292"/>
  <c r="D292"/>
  <c r="C292"/>
  <c r="W291"/>
  <c r="V291"/>
  <c r="M291"/>
  <c r="L291"/>
  <c r="K291"/>
  <c r="J291"/>
  <c r="I291"/>
  <c r="G291"/>
  <c r="N291" s="1"/>
  <c r="Q291" s="1"/>
  <c r="E291"/>
  <c r="D291"/>
  <c r="C291"/>
  <c r="W290"/>
  <c r="V290"/>
  <c r="N290"/>
  <c r="Q290" s="1"/>
  <c r="M290"/>
  <c r="L290"/>
  <c r="K290"/>
  <c r="J290"/>
  <c r="I290"/>
  <c r="G290"/>
  <c r="E290"/>
  <c r="D290"/>
  <c r="C290"/>
  <c r="W289"/>
  <c r="V289"/>
  <c r="N289"/>
  <c r="Q289" s="1"/>
  <c r="M289"/>
  <c r="L289"/>
  <c r="K289"/>
  <c r="J289"/>
  <c r="I289"/>
  <c r="G289"/>
  <c r="E289"/>
  <c r="D289"/>
  <c r="C289"/>
  <c r="W288"/>
  <c r="V288"/>
  <c r="N288"/>
  <c r="Q288" s="1"/>
  <c r="M288"/>
  <c r="L288"/>
  <c r="K288"/>
  <c r="J288"/>
  <c r="I288"/>
  <c r="G288"/>
  <c r="E288"/>
  <c r="D288"/>
  <c r="C288"/>
  <c r="W287"/>
  <c r="V287"/>
  <c r="N287"/>
  <c r="Q287" s="1"/>
  <c r="M287"/>
  <c r="L287"/>
  <c r="K287"/>
  <c r="J287"/>
  <c r="I287"/>
  <c r="G287"/>
  <c r="E287"/>
  <c r="D287"/>
  <c r="C287"/>
  <c r="W286"/>
  <c r="V286"/>
  <c r="N286"/>
  <c r="Q286" s="1"/>
  <c r="M286"/>
  <c r="L286"/>
  <c r="K286"/>
  <c r="J286"/>
  <c r="I286"/>
  <c r="G286"/>
  <c r="E286"/>
  <c r="D286"/>
  <c r="C286"/>
  <c r="W285"/>
  <c r="V285"/>
  <c r="N285"/>
  <c r="Q285" s="1"/>
  <c r="M285"/>
  <c r="L285"/>
  <c r="K285"/>
  <c r="J285"/>
  <c r="I285"/>
  <c r="G285"/>
  <c r="E285"/>
  <c r="D285"/>
  <c r="C285"/>
  <c r="W284"/>
  <c r="V284"/>
  <c r="N284"/>
  <c r="Q284" s="1"/>
  <c r="M284"/>
  <c r="L284"/>
  <c r="K284"/>
  <c r="J284"/>
  <c r="I284"/>
  <c r="G284"/>
  <c r="E284"/>
  <c r="D284"/>
  <c r="C284"/>
  <c r="W283"/>
  <c r="V283"/>
  <c r="N283"/>
  <c r="Q283" s="1"/>
  <c r="M283"/>
  <c r="L283"/>
  <c r="K283"/>
  <c r="J283"/>
  <c r="I283"/>
  <c r="G283"/>
  <c r="E283"/>
  <c r="D283"/>
  <c r="C283"/>
  <c r="W282"/>
  <c r="V282"/>
  <c r="N282"/>
  <c r="Q282" s="1"/>
  <c r="M282"/>
  <c r="L282"/>
  <c r="K282"/>
  <c r="J282"/>
  <c r="I282"/>
  <c r="G282"/>
  <c r="E282"/>
  <c r="D282"/>
  <c r="C282"/>
  <c r="W281"/>
  <c r="V281"/>
  <c r="N281"/>
  <c r="Q281" s="1"/>
  <c r="M281"/>
  <c r="L281"/>
  <c r="K281"/>
  <c r="J281"/>
  <c r="I281"/>
  <c r="G281"/>
  <c r="E281"/>
  <c r="D281"/>
  <c r="C281"/>
  <c r="W280"/>
  <c r="V280"/>
  <c r="N280"/>
  <c r="Q280" s="1"/>
  <c r="M280"/>
  <c r="L280"/>
  <c r="K280"/>
  <c r="J280"/>
  <c r="I280"/>
  <c r="G280"/>
  <c r="E280"/>
  <c r="D280"/>
  <c r="C280"/>
  <c r="W279"/>
  <c r="V279"/>
  <c r="N279"/>
  <c r="Q279" s="1"/>
  <c r="M279"/>
  <c r="L279"/>
  <c r="K279"/>
  <c r="J279"/>
  <c r="I279"/>
  <c r="G279"/>
  <c r="E279"/>
  <c r="D279"/>
  <c r="C279"/>
  <c r="W278"/>
  <c r="V278"/>
  <c r="N278"/>
  <c r="Q278" s="1"/>
  <c r="M278"/>
  <c r="L278"/>
  <c r="K278"/>
  <c r="J278"/>
  <c r="I278"/>
  <c r="G278"/>
  <c r="E278"/>
  <c r="D278"/>
  <c r="C278"/>
  <c r="W277"/>
  <c r="V277"/>
  <c r="N277"/>
  <c r="Q277" s="1"/>
  <c r="M277"/>
  <c r="L277"/>
  <c r="K277"/>
  <c r="J277"/>
  <c r="I277"/>
  <c r="G277"/>
  <c r="E277"/>
  <c r="D277"/>
  <c r="C277"/>
  <c r="W276"/>
  <c r="V276"/>
  <c r="N276"/>
  <c r="Q276" s="1"/>
  <c r="M276"/>
  <c r="L276"/>
  <c r="K276"/>
  <c r="J276"/>
  <c r="I276"/>
  <c r="G276"/>
  <c r="E276"/>
  <c r="D276"/>
  <c r="C276"/>
  <c r="W275"/>
  <c r="V275"/>
  <c r="N275"/>
  <c r="Q275" s="1"/>
  <c r="M275"/>
  <c r="L275"/>
  <c r="K275"/>
  <c r="J275"/>
  <c r="I275"/>
  <c r="G275"/>
  <c r="E275"/>
  <c r="D275"/>
  <c r="C275"/>
  <c r="W274"/>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G272"/>
  <c r="E272"/>
  <c r="D272"/>
  <c r="C272"/>
  <c r="W271"/>
  <c r="V271"/>
  <c r="N271"/>
  <c r="Q271" s="1"/>
  <c r="M271"/>
  <c r="L271"/>
  <c r="K271"/>
  <c r="J271"/>
  <c r="I271"/>
  <c r="G271"/>
  <c r="E271"/>
  <c r="D271"/>
  <c r="C271"/>
  <c r="W270"/>
  <c r="V270"/>
  <c r="N270"/>
  <c r="Q270" s="1"/>
  <c r="M270"/>
  <c r="L270"/>
  <c r="K270"/>
  <c r="J270"/>
  <c r="I270"/>
  <c r="G270"/>
  <c r="E270"/>
  <c r="D270"/>
  <c r="C270"/>
  <c r="W269"/>
  <c r="V269"/>
  <c r="N269"/>
  <c r="Q269" s="1"/>
  <c r="M269"/>
  <c r="L269"/>
  <c r="K269"/>
  <c r="J269"/>
  <c r="I269"/>
  <c r="G269"/>
  <c r="E269"/>
  <c r="D269"/>
  <c r="C269"/>
  <c r="W268"/>
  <c r="V268"/>
  <c r="N268"/>
  <c r="Q268" s="1"/>
  <c r="M268"/>
  <c r="L268"/>
  <c r="K268"/>
  <c r="J268"/>
  <c r="I268"/>
  <c r="G268"/>
  <c r="E268"/>
  <c r="D268"/>
  <c r="C268"/>
  <c r="W267"/>
  <c r="V267"/>
  <c r="N267"/>
  <c r="Q267" s="1"/>
  <c r="M267"/>
  <c r="L267"/>
  <c r="K267"/>
  <c r="J267"/>
  <c r="I267"/>
  <c r="G267"/>
  <c r="E267"/>
  <c r="D267"/>
  <c r="C267"/>
  <c r="W266"/>
  <c r="V266"/>
  <c r="N266"/>
  <c r="Q266" s="1"/>
  <c r="M266"/>
  <c r="L266"/>
  <c r="K266"/>
  <c r="J266"/>
  <c r="I266"/>
  <c r="G266"/>
  <c r="E266"/>
  <c r="D266"/>
  <c r="C266"/>
  <c r="W265"/>
  <c r="V265"/>
  <c r="N265"/>
  <c r="Q265" s="1"/>
  <c r="M265"/>
  <c r="L265"/>
  <c r="K265"/>
  <c r="J265"/>
  <c r="I265"/>
  <c r="G265"/>
  <c r="E265"/>
  <c r="D265"/>
  <c r="C265"/>
  <c r="W264"/>
  <c r="V264"/>
  <c r="N264"/>
  <c r="Q264" s="1"/>
  <c r="M264"/>
  <c r="L264"/>
  <c r="K264"/>
  <c r="J264"/>
  <c r="I264"/>
  <c r="G264"/>
  <c r="E264"/>
  <c r="D264"/>
  <c r="C264"/>
  <c r="W263"/>
  <c r="V263"/>
  <c r="N263"/>
  <c r="Q263" s="1"/>
  <c r="M263"/>
  <c r="L263"/>
  <c r="K263"/>
  <c r="J263"/>
  <c r="I263"/>
  <c r="G263"/>
  <c r="E263"/>
  <c r="D263"/>
  <c r="C263"/>
  <c r="W262"/>
  <c r="V262"/>
  <c r="N262"/>
  <c r="Q262" s="1"/>
  <c r="M262"/>
  <c r="L262"/>
  <c r="K262"/>
  <c r="J262"/>
  <c r="I262"/>
  <c r="G262"/>
  <c r="E262"/>
  <c r="D262"/>
  <c r="C262"/>
  <c r="W261"/>
  <c r="V261"/>
  <c r="N261"/>
  <c r="Q261" s="1"/>
  <c r="M261"/>
  <c r="L261"/>
  <c r="K261"/>
  <c r="J261"/>
  <c r="I261"/>
  <c r="G261"/>
  <c r="E261"/>
  <c r="D261"/>
  <c r="C261"/>
  <c r="W260"/>
  <c r="V260"/>
  <c r="N260"/>
  <c r="Q260" s="1"/>
  <c r="M260"/>
  <c r="L260"/>
  <c r="K260"/>
  <c r="J260"/>
  <c r="I260"/>
  <c r="G260"/>
  <c r="E260"/>
  <c r="D260"/>
  <c r="C260"/>
  <c r="W259"/>
  <c r="V259"/>
  <c r="N259"/>
  <c r="Q259" s="1"/>
  <c r="M259"/>
  <c r="L259"/>
  <c r="K259"/>
  <c r="J259"/>
  <c r="I259"/>
  <c r="G259"/>
  <c r="E259"/>
  <c r="D259"/>
  <c r="C259"/>
  <c r="W258"/>
  <c r="V258"/>
  <c r="N258"/>
  <c r="Q258" s="1"/>
  <c r="M258"/>
  <c r="L258"/>
  <c r="K258"/>
  <c r="J258"/>
  <c r="I258"/>
  <c r="G258"/>
  <c r="E258"/>
  <c r="D258"/>
  <c r="C258"/>
  <c r="W257"/>
  <c r="V257"/>
  <c r="M257"/>
  <c r="L257"/>
  <c r="K257"/>
  <c r="J257"/>
  <c r="I257"/>
  <c r="G257"/>
  <c r="N257" s="1"/>
  <c r="Q257" s="1"/>
  <c r="E257"/>
  <c r="D257"/>
  <c r="C257"/>
  <c r="W256"/>
  <c r="V256"/>
  <c r="M256"/>
  <c r="L256"/>
  <c r="K256"/>
  <c r="J256"/>
  <c r="I256"/>
  <c r="G256"/>
  <c r="N256" s="1"/>
  <c r="Q256" s="1"/>
  <c r="E256"/>
  <c r="D256"/>
  <c r="C256"/>
  <c r="W255"/>
  <c r="V255"/>
  <c r="M255"/>
  <c r="L255"/>
  <c r="K255"/>
  <c r="J255"/>
  <c r="I255"/>
  <c r="G255"/>
  <c r="N255" s="1"/>
  <c r="Q255" s="1"/>
  <c r="E255"/>
  <c r="D255"/>
  <c r="C255"/>
  <c r="W254"/>
  <c r="V254"/>
  <c r="M254"/>
  <c r="L254"/>
  <c r="K254"/>
  <c r="J254"/>
  <c r="I254"/>
  <c r="G254"/>
  <c r="N254" s="1"/>
  <c r="Q254" s="1"/>
  <c r="E254"/>
  <c r="D254"/>
  <c r="C254"/>
  <c r="W253"/>
  <c r="V253"/>
  <c r="M253"/>
  <c r="L253"/>
  <c r="K253"/>
  <c r="J253"/>
  <c r="I253"/>
  <c r="G253"/>
  <c r="N253" s="1"/>
  <c r="Q253" s="1"/>
  <c r="E253"/>
  <c r="D253"/>
  <c r="C253"/>
  <c r="W252"/>
  <c r="V252"/>
  <c r="M252"/>
  <c r="L252"/>
  <c r="K252"/>
  <c r="J252"/>
  <c r="I252"/>
  <c r="G252"/>
  <c r="N252" s="1"/>
  <c r="Q252" s="1"/>
  <c r="E252"/>
  <c r="D252"/>
  <c r="C252"/>
  <c r="W251"/>
  <c r="V251"/>
  <c r="M251"/>
  <c r="L251"/>
  <c r="K251"/>
  <c r="J251"/>
  <c r="I251"/>
  <c r="G251"/>
  <c r="N251" s="1"/>
  <c r="Q251" s="1"/>
  <c r="E251"/>
  <c r="D251"/>
  <c r="C251"/>
  <c r="W250"/>
  <c r="V250"/>
  <c r="M250"/>
  <c r="L250"/>
  <c r="K250"/>
  <c r="J250"/>
  <c r="I250"/>
  <c r="G250"/>
  <c r="N250" s="1"/>
  <c r="Q250" s="1"/>
  <c r="E250"/>
  <c r="D250"/>
  <c r="C250"/>
  <c r="W249"/>
  <c r="V249"/>
  <c r="N249"/>
  <c r="Q249" s="1"/>
  <c r="M249"/>
  <c r="L249"/>
  <c r="K249"/>
  <c r="J249"/>
  <c r="I249"/>
  <c r="H249"/>
  <c r="G249"/>
  <c r="E249"/>
  <c r="D249"/>
  <c r="C249"/>
  <c r="B249"/>
  <c r="W248"/>
  <c r="V248"/>
  <c r="N248"/>
  <c r="Q248" s="1"/>
  <c r="M248"/>
  <c r="L248"/>
  <c r="K248"/>
  <c r="J248"/>
  <c r="I248"/>
  <c r="G248"/>
  <c r="E248"/>
  <c r="D248"/>
  <c r="C248"/>
  <c r="W247"/>
  <c r="V247"/>
  <c r="N247"/>
  <c r="Q247" s="1"/>
  <c r="M247"/>
  <c r="L247"/>
  <c r="K247"/>
  <c r="J247"/>
  <c r="I247"/>
  <c r="G247"/>
  <c r="E247"/>
  <c r="D247"/>
  <c r="C247"/>
  <c r="W246"/>
  <c r="V246"/>
  <c r="N246"/>
  <c r="Q246" s="1"/>
  <c r="M246"/>
  <c r="L246"/>
  <c r="K246"/>
  <c r="J246"/>
  <c r="I246"/>
  <c r="G246"/>
  <c r="E246"/>
  <c r="D246"/>
  <c r="C246"/>
  <c r="W245"/>
  <c r="V245"/>
  <c r="N245"/>
  <c r="Q245" s="1"/>
  <c r="M245"/>
  <c r="L245"/>
  <c r="K245"/>
  <c r="J245"/>
  <c r="I245"/>
  <c r="G245"/>
  <c r="E245"/>
  <c r="D245"/>
  <c r="C245"/>
  <c r="W244"/>
  <c r="V244"/>
  <c r="N244"/>
  <c r="Q244" s="1"/>
  <c r="M244"/>
  <c r="L244"/>
  <c r="K244"/>
  <c r="J244"/>
  <c r="I244"/>
  <c r="H244"/>
  <c r="G244"/>
  <c r="E244"/>
  <c r="D244"/>
  <c r="C244"/>
  <c r="B244"/>
  <c r="W243"/>
  <c r="V243"/>
  <c r="N243"/>
  <c r="Q243" s="1"/>
  <c r="M243"/>
  <c r="L243"/>
  <c r="K243"/>
  <c r="J243"/>
  <c r="I243"/>
  <c r="H243"/>
  <c r="G243"/>
  <c r="E243"/>
  <c r="D243"/>
  <c r="C243"/>
  <c r="B243"/>
  <c r="W242"/>
  <c r="V242"/>
  <c r="N242"/>
  <c r="Q242" s="1"/>
  <c r="M242"/>
  <c r="L242"/>
  <c r="K242"/>
  <c r="J242"/>
  <c r="I242"/>
  <c r="H242"/>
  <c r="G242"/>
  <c r="E242"/>
  <c r="D242"/>
  <c r="C242"/>
  <c r="B242"/>
  <c r="W241"/>
  <c r="V241"/>
  <c r="N241"/>
  <c r="Q241" s="1"/>
  <c r="M241"/>
  <c r="L241"/>
  <c r="K241"/>
  <c r="J241"/>
  <c r="I241"/>
  <c r="H241"/>
  <c r="G241"/>
  <c r="E241"/>
  <c r="D241"/>
  <c r="C241"/>
  <c r="B241"/>
  <c r="W240"/>
  <c r="V240"/>
  <c r="N240"/>
  <c r="Q240" s="1"/>
  <c r="M240"/>
  <c r="L240"/>
  <c r="K240"/>
  <c r="J240"/>
  <c r="I240"/>
  <c r="H240"/>
  <c r="G240"/>
  <c r="E240"/>
  <c r="D240"/>
  <c r="C240"/>
  <c r="B240"/>
  <c r="W239"/>
  <c r="V239"/>
  <c r="N239"/>
  <c r="Q239" s="1"/>
  <c r="M239"/>
  <c r="L239"/>
  <c r="K239"/>
  <c r="J239"/>
  <c r="I239"/>
  <c r="H239"/>
  <c r="G239"/>
  <c r="E239"/>
  <c r="D239"/>
  <c r="C239"/>
  <c r="B239"/>
  <c r="W238"/>
  <c r="V238"/>
  <c r="N238"/>
  <c r="Q238" s="1"/>
  <c r="M238"/>
  <c r="L238"/>
  <c r="K238"/>
  <c r="J238"/>
  <c r="I238"/>
  <c r="G238"/>
  <c r="E238"/>
  <c r="D238"/>
  <c r="C238"/>
  <c r="W237"/>
  <c r="V237"/>
  <c r="N237"/>
  <c r="Q237" s="1"/>
  <c r="M237"/>
  <c r="L237"/>
  <c r="K237"/>
  <c r="J237"/>
  <c r="I237"/>
  <c r="G237"/>
  <c r="E237"/>
  <c r="D237"/>
  <c r="C237"/>
  <c r="W236"/>
  <c r="V236"/>
  <c r="N236"/>
  <c r="Q236" s="1"/>
  <c r="M236"/>
  <c r="L236"/>
  <c r="K236"/>
  <c r="J236"/>
  <c r="I236"/>
  <c r="G236"/>
  <c r="E236"/>
  <c r="D236"/>
  <c r="W235"/>
  <c r="V235"/>
  <c r="N235"/>
  <c r="Q235" s="1"/>
  <c r="M235"/>
  <c r="L235"/>
  <c r="K235"/>
  <c r="J235"/>
  <c r="I235"/>
  <c r="G235"/>
  <c r="E235"/>
  <c r="D235"/>
  <c r="C235"/>
  <c r="W234"/>
  <c r="V234"/>
  <c r="N234"/>
  <c r="Q234" s="1"/>
  <c r="M234"/>
  <c r="L234"/>
  <c r="K234"/>
  <c r="J234"/>
  <c r="I234"/>
  <c r="G234"/>
  <c r="E234"/>
  <c r="D234"/>
  <c r="C234"/>
  <c r="W233"/>
  <c r="V233"/>
  <c r="N233"/>
  <c r="Q233" s="1"/>
  <c r="M233"/>
  <c r="L233"/>
  <c r="K233"/>
  <c r="J233"/>
  <c r="I233"/>
  <c r="G233"/>
  <c r="E233"/>
  <c r="D233"/>
  <c r="C233"/>
  <c r="W232"/>
  <c r="V232"/>
  <c r="N232"/>
  <c r="Q232" s="1"/>
  <c r="M232"/>
  <c r="L232"/>
  <c r="K232"/>
  <c r="J232"/>
  <c r="I232"/>
  <c r="G232"/>
  <c r="E232"/>
  <c r="D232"/>
  <c r="C232"/>
  <c r="W231"/>
  <c r="V231"/>
  <c r="N231"/>
  <c r="Q231" s="1"/>
  <c r="M231"/>
  <c r="L231"/>
  <c r="K231"/>
  <c r="J231"/>
  <c r="I231"/>
  <c r="G231"/>
  <c r="E231"/>
  <c r="D231"/>
  <c r="C231"/>
  <c r="W230"/>
  <c r="V230"/>
  <c r="N230"/>
  <c r="Q230" s="1"/>
  <c r="M230"/>
  <c r="L230"/>
  <c r="K230"/>
  <c r="J230"/>
  <c r="I230"/>
  <c r="G230"/>
  <c r="E230"/>
  <c r="D230"/>
  <c r="C230"/>
  <c r="W229"/>
  <c r="V229"/>
  <c r="N229"/>
  <c r="Q229" s="1"/>
  <c r="M229"/>
  <c r="L229"/>
  <c r="K229"/>
  <c r="J229"/>
  <c r="I229"/>
  <c r="G229"/>
  <c r="E229"/>
  <c r="D229"/>
  <c r="C229"/>
  <c r="W228"/>
  <c r="V228"/>
  <c r="N228"/>
  <c r="Q228" s="1"/>
  <c r="M228"/>
  <c r="L228"/>
  <c r="K228"/>
  <c r="J228"/>
  <c r="I228"/>
  <c r="G228"/>
  <c r="E228"/>
  <c r="D228"/>
  <c r="C228"/>
  <c r="W227"/>
  <c r="V227"/>
  <c r="N227"/>
  <c r="Q227" s="1"/>
  <c r="M227"/>
  <c r="L227"/>
  <c r="K227"/>
  <c r="J227"/>
  <c r="I227"/>
  <c r="G227"/>
  <c r="E227"/>
  <c r="D227"/>
  <c r="C227"/>
  <c r="W226"/>
  <c r="V226"/>
  <c r="N226"/>
  <c r="Q226" s="1"/>
  <c r="M226"/>
  <c r="L226"/>
  <c r="K226"/>
  <c r="J226"/>
  <c r="I226"/>
  <c r="H226"/>
  <c r="G226"/>
  <c r="E226"/>
  <c r="D226"/>
  <c r="C226"/>
  <c r="W225"/>
  <c r="V225"/>
  <c r="N225"/>
  <c r="Q225" s="1"/>
  <c r="M225"/>
  <c r="L225"/>
  <c r="K225"/>
  <c r="J225"/>
  <c r="I225"/>
  <c r="G225"/>
  <c r="E225"/>
  <c r="D225"/>
  <c r="C225"/>
  <c r="W224"/>
  <c r="V224"/>
  <c r="N224"/>
  <c r="Q224" s="1"/>
  <c r="M224"/>
  <c r="L224"/>
  <c r="K224"/>
  <c r="J224"/>
  <c r="I224"/>
  <c r="G224"/>
  <c r="E224"/>
  <c r="D224"/>
  <c r="C224"/>
  <c r="W223"/>
  <c r="V223"/>
  <c r="M223"/>
  <c r="L223"/>
  <c r="K223"/>
  <c r="J223"/>
  <c r="I223"/>
  <c r="H223"/>
  <c r="G223"/>
  <c r="N223" s="1"/>
  <c r="Q223" s="1"/>
  <c r="E223"/>
  <c r="D223"/>
  <c r="C223"/>
  <c r="W222"/>
  <c r="V222"/>
  <c r="M222"/>
  <c r="L222"/>
  <c r="K222"/>
  <c r="J222"/>
  <c r="I222"/>
  <c r="H222"/>
  <c r="G222"/>
  <c r="N222" s="1"/>
  <c r="Q222" s="1"/>
  <c r="E222"/>
  <c r="D222"/>
  <c r="C222"/>
  <c r="W221"/>
  <c r="V221"/>
  <c r="M221"/>
  <c r="L221"/>
  <c r="K221"/>
  <c r="J221"/>
  <c r="I221"/>
  <c r="H221"/>
  <c r="G221"/>
  <c r="N221" s="1"/>
  <c r="Q221" s="1"/>
  <c r="E221"/>
  <c r="D221"/>
  <c r="C221"/>
  <c r="W220"/>
  <c r="V220"/>
  <c r="M220"/>
  <c r="L220"/>
  <c r="K220"/>
  <c r="J220"/>
  <c r="I220"/>
  <c r="H220"/>
  <c r="G220"/>
  <c r="N220" s="1"/>
  <c r="Q220" s="1"/>
  <c r="E220"/>
  <c r="D220"/>
  <c r="C220"/>
  <c r="W219"/>
  <c r="V219"/>
  <c r="M219"/>
  <c r="L219"/>
  <c r="K219"/>
  <c r="J219"/>
  <c r="I219"/>
  <c r="H219"/>
  <c r="G219"/>
  <c r="N219" s="1"/>
  <c r="Q219" s="1"/>
  <c r="E219"/>
  <c r="D219"/>
  <c r="C219"/>
  <c r="W218"/>
  <c r="V218"/>
  <c r="M218"/>
  <c r="L218"/>
  <c r="K218"/>
  <c r="J218"/>
  <c r="I218"/>
  <c r="H218"/>
  <c r="G218"/>
  <c r="N218" s="1"/>
  <c r="Q218" s="1"/>
  <c r="E218"/>
  <c r="D218"/>
  <c r="C218"/>
  <c r="W217"/>
  <c r="V217"/>
  <c r="M217"/>
  <c r="L217"/>
  <c r="K217"/>
  <c r="J217"/>
  <c r="I217"/>
  <c r="H217"/>
  <c r="G217"/>
  <c r="N217" s="1"/>
  <c r="Q217" s="1"/>
  <c r="E217"/>
  <c r="D217"/>
  <c r="C217"/>
  <c r="W216"/>
  <c r="V216"/>
  <c r="M216"/>
  <c r="L216"/>
  <c r="K216"/>
  <c r="J216"/>
  <c r="I216"/>
  <c r="H216"/>
  <c r="G216"/>
  <c r="N216" s="1"/>
  <c r="Q216" s="1"/>
  <c r="E216"/>
  <c r="D216"/>
  <c r="C216"/>
  <c r="W215"/>
  <c r="V215"/>
  <c r="M215"/>
  <c r="L215"/>
  <c r="K215"/>
  <c r="J215"/>
  <c r="I215"/>
  <c r="H215"/>
  <c r="G215"/>
  <c r="N215" s="1"/>
  <c r="Q215" s="1"/>
  <c r="E215"/>
  <c r="D215"/>
  <c r="C215"/>
  <c r="W214"/>
  <c r="V214"/>
  <c r="M214"/>
  <c r="L214"/>
  <c r="K214"/>
  <c r="J214"/>
  <c r="I214"/>
  <c r="H214"/>
  <c r="G214"/>
  <c r="N214" s="1"/>
  <c r="Q214" s="1"/>
  <c r="E214"/>
  <c r="D214"/>
  <c r="C214"/>
  <c r="W213"/>
  <c r="V213"/>
  <c r="M213"/>
  <c r="L213"/>
  <c r="K213"/>
  <c r="J213"/>
  <c r="I213"/>
  <c r="H213"/>
  <c r="G213"/>
  <c r="N213" s="1"/>
  <c r="Q213" s="1"/>
  <c r="E213"/>
  <c r="D213"/>
  <c r="C213"/>
  <c r="W212"/>
  <c r="V212"/>
  <c r="M212"/>
  <c r="L212"/>
  <c r="K212"/>
  <c r="J212"/>
  <c r="I212"/>
  <c r="H212"/>
  <c r="G212"/>
  <c r="N212" s="1"/>
  <c r="Q212" s="1"/>
  <c r="E212"/>
  <c r="D212"/>
  <c r="C212"/>
  <c r="W211"/>
  <c r="V211"/>
  <c r="M211"/>
  <c r="L211"/>
  <c r="K211"/>
  <c r="J211"/>
  <c r="I211"/>
  <c r="H211"/>
  <c r="G211"/>
  <c r="N211" s="1"/>
  <c r="Q211" s="1"/>
  <c r="E211"/>
  <c r="D211"/>
  <c r="C211"/>
  <c r="W210"/>
  <c r="V210"/>
  <c r="M210"/>
  <c r="L210"/>
  <c r="K210"/>
  <c r="J210"/>
  <c r="I210"/>
  <c r="H210"/>
  <c r="G210"/>
  <c r="N210" s="1"/>
  <c r="Q210" s="1"/>
  <c r="E210"/>
  <c r="D210"/>
  <c r="C210"/>
  <c r="W209"/>
  <c r="V209"/>
  <c r="M209"/>
  <c r="L209"/>
  <c r="K209"/>
  <c r="J209"/>
  <c r="I209"/>
  <c r="H209"/>
  <c r="G209"/>
  <c r="N209" s="1"/>
  <c r="Q209" s="1"/>
  <c r="E209"/>
  <c r="D209"/>
  <c r="C209"/>
  <c r="W208"/>
  <c r="V208"/>
  <c r="M208"/>
  <c r="L208"/>
  <c r="K208"/>
  <c r="J208"/>
  <c r="I208"/>
  <c r="H208"/>
  <c r="G208"/>
  <c r="N208" s="1"/>
  <c r="Q208" s="1"/>
  <c r="E208"/>
  <c r="D208"/>
  <c r="C208"/>
  <c r="W207"/>
  <c r="V207"/>
  <c r="M207"/>
  <c r="L207"/>
  <c r="K207"/>
  <c r="J207"/>
  <c r="I207"/>
  <c r="H207"/>
  <c r="G207"/>
  <c r="N207" s="1"/>
  <c r="Q207" s="1"/>
  <c r="E207"/>
  <c r="D207"/>
  <c r="C207"/>
  <c r="W206"/>
  <c r="V206"/>
  <c r="M206"/>
  <c r="L206"/>
  <c r="K206"/>
  <c r="J206"/>
  <c r="I206"/>
  <c r="H206"/>
  <c r="G206"/>
  <c r="N206" s="1"/>
  <c r="Q206" s="1"/>
  <c r="E206"/>
  <c r="D206"/>
  <c r="C206"/>
  <c r="W205"/>
  <c r="V205"/>
  <c r="M205"/>
  <c r="L205"/>
  <c r="K205"/>
  <c r="J205"/>
  <c r="I205"/>
  <c r="H205"/>
  <c r="G205"/>
  <c r="N205" s="1"/>
  <c r="Q205" s="1"/>
  <c r="E205"/>
  <c r="D205"/>
  <c r="C205"/>
  <c r="W204"/>
  <c r="V204"/>
  <c r="M204"/>
  <c r="L204"/>
  <c r="K204"/>
  <c r="J204"/>
  <c r="I204"/>
  <c r="H204"/>
  <c r="G204"/>
  <c r="N204" s="1"/>
  <c r="Q204" s="1"/>
  <c r="E204"/>
  <c r="D204"/>
  <c r="C204"/>
  <c r="W203"/>
  <c r="V203"/>
  <c r="M203"/>
  <c r="L203"/>
  <c r="K203"/>
  <c r="J203"/>
  <c r="I203"/>
  <c r="H203"/>
  <c r="G203"/>
  <c r="N203" s="1"/>
  <c r="Q203" s="1"/>
  <c r="E203"/>
  <c r="D203"/>
  <c r="C203"/>
  <c r="W202"/>
  <c r="V202"/>
  <c r="M202"/>
  <c r="L202"/>
  <c r="K202"/>
  <c r="J202"/>
  <c r="I202"/>
  <c r="H202"/>
  <c r="G202"/>
  <c r="N202" s="1"/>
  <c r="Q202" s="1"/>
  <c r="E202"/>
  <c r="D202"/>
  <c r="C202"/>
  <c r="W201"/>
  <c r="V201"/>
  <c r="M201"/>
  <c r="L201"/>
  <c r="K201"/>
  <c r="J201"/>
  <c r="I201"/>
  <c r="H201"/>
  <c r="G201"/>
  <c r="N201" s="1"/>
  <c r="Q201" s="1"/>
  <c r="E201"/>
  <c r="D201"/>
  <c r="C201"/>
  <c r="W200"/>
  <c r="V200"/>
  <c r="N200"/>
  <c r="Q200" s="1"/>
  <c r="M200"/>
  <c r="L200"/>
  <c r="K200"/>
  <c r="J200"/>
  <c r="I200"/>
  <c r="G200"/>
  <c r="E200"/>
  <c r="D200"/>
  <c r="C200"/>
  <c r="W199"/>
  <c r="V199"/>
  <c r="N199"/>
  <c r="Q199" s="1"/>
  <c r="M199"/>
  <c r="L199"/>
  <c r="K199"/>
  <c r="J199"/>
  <c r="I199"/>
  <c r="G199"/>
  <c r="E199"/>
  <c r="D199"/>
  <c r="C199"/>
  <c r="W198"/>
  <c r="V198"/>
  <c r="N198"/>
  <c r="Q198" s="1"/>
  <c r="M198"/>
  <c r="L198"/>
  <c r="K198"/>
  <c r="J198"/>
  <c r="I198"/>
  <c r="G198"/>
  <c r="E198"/>
  <c r="D198"/>
  <c r="C198"/>
  <c r="W197"/>
  <c r="V197"/>
  <c r="N197"/>
  <c r="Q197" s="1"/>
  <c r="M197"/>
  <c r="L197"/>
  <c r="K197"/>
  <c r="J197"/>
  <c r="I197"/>
  <c r="G197"/>
  <c r="E197"/>
  <c r="D197"/>
  <c r="C197"/>
  <c r="W196"/>
  <c r="V196"/>
  <c r="N196"/>
  <c r="Q196" s="1"/>
  <c r="M196"/>
  <c r="L196"/>
  <c r="K196"/>
  <c r="J196"/>
  <c r="I196"/>
  <c r="G196"/>
  <c r="E196"/>
  <c r="D196"/>
  <c r="C196"/>
  <c r="W195"/>
  <c r="V195"/>
  <c r="N195"/>
  <c r="Q195" s="1"/>
  <c r="M195"/>
  <c r="L195"/>
  <c r="K195"/>
  <c r="J195"/>
  <c r="I195"/>
  <c r="G195"/>
  <c r="E195"/>
  <c r="D195"/>
  <c r="C195"/>
  <c r="W194"/>
  <c r="V194"/>
  <c r="N194"/>
  <c r="Q194" s="1"/>
  <c r="M194"/>
  <c r="L194"/>
  <c r="K194"/>
  <c r="J194"/>
  <c r="I194"/>
  <c r="G194"/>
  <c r="E194"/>
  <c r="D194"/>
  <c r="C194"/>
  <c r="W193"/>
  <c r="V193"/>
  <c r="N193"/>
  <c r="Q193" s="1"/>
  <c r="M193"/>
  <c r="L193"/>
  <c r="K193"/>
  <c r="J193"/>
  <c r="I193"/>
  <c r="H193"/>
  <c r="G193"/>
  <c r="E193"/>
  <c r="D193"/>
  <c r="C193"/>
  <c r="B193"/>
  <c r="W192"/>
  <c r="V192"/>
  <c r="N192"/>
  <c r="Q192" s="1"/>
  <c r="M192"/>
  <c r="L192"/>
  <c r="K192"/>
  <c r="J192"/>
  <c r="I192"/>
  <c r="H192"/>
  <c r="G192"/>
  <c r="E192"/>
  <c r="D192"/>
  <c r="C192"/>
  <c r="B192"/>
  <c r="W191"/>
  <c r="V191"/>
  <c r="N191"/>
  <c r="Q191" s="1"/>
  <c r="M191"/>
  <c r="L191"/>
  <c r="K191"/>
  <c r="J191"/>
  <c r="I191"/>
  <c r="H191"/>
  <c r="G191"/>
  <c r="E191"/>
  <c r="D191"/>
  <c r="C191"/>
  <c r="B191"/>
  <c r="W190"/>
  <c r="V190"/>
  <c r="N190"/>
  <c r="Q190" s="1"/>
  <c r="M190"/>
  <c r="L190"/>
  <c r="K190"/>
  <c r="J190"/>
  <c r="I190"/>
  <c r="H190"/>
  <c r="G190"/>
  <c r="E190"/>
  <c r="D190"/>
  <c r="C190"/>
  <c r="B190"/>
  <c r="W189"/>
  <c r="V189"/>
  <c r="N189"/>
  <c r="Q189" s="1"/>
  <c r="M189"/>
  <c r="L189"/>
  <c r="K189"/>
  <c r="J189"/>
  <c r="I189"/>
  <c r="H189"/>
  <c r="G189"/>
  <c r="E189"/>
  <c r="D189"/>
  <c r="C189"/>
  <c r="B189"/>
  <c r="W188"/>
  <c r="V188"/>
  <c r="N188"/>
  <c r="Q188" s="1"/>
  <c r="M188"/>
  <c r="L188"/>
  <c r="K188"/>
  <c r="J188"/>
  <c r="I188"/>
  <c r="H188"/>
  <c r="G188"/>
  <c r="E188"/>
  <c r="D188"/>
  <c r="C188"/>
  <c r="B188"/>
  <c r="W187"/>
  <c r="V187"/>
  <c r="N187"/>
  <c r="Q187" s="1"/>
  <c r="M187"/>
  <c r="L187"/>
  <c r="K187"/>
  <c r="J187"/>
  <c r="I187"/>
  <c r="H187"/>
  <c r="G187"/>
  <c r="E187"/>
  <c r="D187"/>
  <c r="C187"/>
  <c r="B187"/>
  <c r="W186"/>
  <c r="V186"/>
  <c r="N186"/>
  <c r="Q186" s="1"/>
  <c r="M186"/>
  <c r="L186"/>
  <c r="K186"/>
  <c r="J186"/>
  <c r="I186"/>
  <c r="H186"/>
  <c r="G186"/>
  <c r="E186"/>
  <c r="D186"/>
  <c r="C186"/>
  <c r="B186"/>
  <c r="W185"/>
  <c r="V185"/>
  <c r="N185"/>
  <c r="Q185" s="1"/>
  <c r="M185"/>
  <c r="L185"/>
  <c r="K185"/>
  <c r="J185"/>
  <c r="I185"/>
  <c r="G185"/>
  <c r="E185"/>
  <c r="D185"/>
  <c r="C185"/>
  <c r="W184"/>
  <c r="V184"/>
  <c r="N184"/>
  <c r="Q184" s="1"/>
  <c r="M184"/>
  <c r="L184"/>
  <c r="K184"/>
  <c r="J184"/>
  <c r="I184"/>
  <c r="G184"/>
  <c r="E184"/>
  <c r="D184"/>
  <c r="C184"/>
  <c r="W183"/>
  <c r="V183"/>
  <c r="N183"/>
  <c r="Q183" s="1"/>
  <c r="M183"/>
  <c r="L183"/>
  <c r="K183"/>
  <c r="J183"/>
  <c r="I183"/>
  <c r="G183"/>
  <c r="E183"/>
  <c r="D183"/>
  <c r="C183"/>
  <c r="W182"/>
  <c r="V182"/>
  <c r="N182"/>
  <c r="Q182" s="1"/>
  <c r="M182"/>
  <c r="L182"/>
  <c r="K182"/>
  <c r="J182"/>
  <c r="I182"/>
  <c r="G182"/>
  <c r="E182"/>
  <c r="D182"/>
  <c r="C182"/>
  <c r="W181"/>
  <c r="V181"/>
  <c r="N181"/>
  <c r="Q181" s="1"/>
  <c r="M181"/>
  <c r="L181"/>
  <c r="K181"/>
  <c r="J181"/>
  <c r="I181"/>
  <c r="G181"/>
  <c r="E181"/>
  <c r="D181"/>
  <c r="C181"/>
  <c r="W180"/>
  <c r="V180"/>
  <c r="N180"/>
  <c r="Q180" s="1"/>
  <c r="M180"/>
  <c r="L180"/>
  <c r="K180"/>
  <c r="J180"/>
  <c r="I180"/>
  <c r="G180"/>
  <c r="E180"/>
  <c r="D180"/>
  <c r="C180"/>
  <c r="W179"/>
  <c r="V179"/>
  <c r="N179"/>
  <c r="Q179" s="1"/>
  <c r="M179"/>
  <c r="L179"/>
  <c r="K179"/>
  <c r="J179"/>
  <c r="I179"/>
  <c r="G179"/>
  <c r="E179"/>
  <c r="D179"/>
  <c r="C179"/>
  <c r="W178"/>
  <c r="V178"/>
  <c r="N178"/>
  <c r="Q178" s="1"/>
  <c r="M178"/>
  <c r="L178"/>
  <c r="K178"/>
  <c r="J178"/>
  <c r="I178"/>
  <c r="G178"/>
  <c r="E178"/>
  <c r="D178"/>
  <c r="C178"/>
  <c r="W177"/>
  <c r="V177"/>
  <c r="N177"/>
  <c r="Q177" s="1"/>
  <c r="M177"/>
  <c r="L177"/>
  <c r="K177"/>
  <c r="J177"/>
  <c r="I177"/>
  <c r="G177"/>
  <c r="E177"/>
  <c r="D177"/>
  <c r="C177"/>
  <c r="W176"/>
  <c r="V176"/>
  <c r="N176"/>
  <c r="Q176" s="1"/>
  <c r="M176"/>
  <c r="L176"/>
  <c r="K176"/>
  <c r="J176"/>
  <c r="I176"/>
  <c r="G176"/>
  <c r="E176"/>
  <c r="D176"/>
  <c r="C176"/>
  <c r="W175"/>
  <c r="V175"/>
  <c r="N175"/>
  <c r="Q175" s="1"/>
  <c r="M175"/>
  <c r="L175"/>
  <c r="K175"/>
  <c r="J175"/>
  <c r="I175"/>
  <c r="G175"/>
  <c r="E175"/>
  <c r="D175"/>
  <c r="C175"/>
  <c r="W174"/>
  <c r="V174"/>
  <c r="N174"/>
  <c r="Q174" s="1"/>
  <c r="M174"/>
  <c r="L174"/>
  <c r="K174"/>
  <c r="J174"/>
  <c r="I174"/>
  <c r="G174"/>
  <c r="E174"/>
  <c r="D174"/>
  <c r="C174"/>
  <c r="W173"/>
  <c r="V173"/>
  <c r="N173"/>
  <c r="Q173" s="1"/>
  <c r="M173"/>
  <c r="L173"/>
  <c r="K173"/>
  <c r="J173"/>
  <c r="I173"/>
  <c r="G173"/>
  <c r="E173"/>
  <c r="D173"/>
  <c r="C173"/>
  <c r="W172"/>
  <c r="V172"/>
  <c r="N172"/>
  <c r="Q172" s="1"/>
  <c r="M172"/>
  <c r="L172"/>
  <c r="K172"/>
  <c r="J172"/>
  <c r="I172"/>
  <c r="G172"/>
  <c r="E172"/>
  <c r="D172"/>
  <c r="C172"/>
  <c r="W171"/>
  <c r="V171"/>
  <c r="M171"/>
  <c r="L171"/>
  <c r="K171"/>
  <c r="J171"/>
  <c r="I171"/>
  <c r="H171"/>
  <c r="G171"/>
  <c r="N171" s="1"/>
  <c r="Q171" s="1"/>
  <c r="E171"/>
  <c r="D171"/>
  <c r="C171"/>
  <c r="B171"/>
  <c r="W170"/>
  <c r="V170"/>
  <c r="M170"/>
  <c r="L170"/>
  <c r="K170"/>
  <c r="J170"/>
  <c r="I170"/>
  <c r="H170"/>
  <c r="G170"/>
  <c r="N170" s="1"/>
  <c r="Q170" s="1"/>
  <c r="E170"/>
  <c r="D170"/>
  <c r="C170"/>
  <c r="B170"/>
  <c r="W169"/>
  <c r="V169"/>
  <c r="M169"/>
  <c r="L169"/>
  <c r="K169"/>
  <c r="J169"/>
  <c r="I169"/>
  <c r="H169"/>
  <c r="G169"/>
  <c r="N169" s="1"/>
  <c r="Q169" s="1"/>
  <c r="E169"/>
  <c r="D169"/>
  <c r="C169"/>
  <c r="B169"/>
  <c r="W168"/>
  <c r="V168"/>
  <c r="M168"/>
  <c r="L168"/>
  <c r="K168"/>
  <c r="J168"/>
  <c r="I168"/>
  <c r="H168"/>
  <c r="G168"/>
  <c r="N168" s="1"/>
  <c r="Q168" s="1"/>
  <c r="E168"/>
  <c r="D168"/>
  <c r="C168"/>
  <c r="B168"/>
  <c r="W167"/>
  <c r="V167"/>
  <c r="M167"/>
  <c r="L167"/>
  <c r="K167"/>
  <c r="J167"/>
  <c r="I167"/>
  <c r="H167"/>
  <c r="G167"/>
  <c r="N167" s="1"/>
  <c r="Q167" s="1"/>
  <c r="E167"/>
  <c r="D167"/>
  <c r="C167"/>
  <c r="B167"/>
  <c r="W166"/>
  <c r="V166"/>
  <c r="M166"/>
  <c r="L166"/>
  <c r="K166"/>
  <c r="J166"/>
  <c r="I166"/>
  <c r="H166"/>
  <c r="G166"/>
  <c r="N166" s="1"/>
  <c r="Q166" s="1"/>
  <c r="E166"/>
  <c r="D166"/>
  <c r="C166"/>
  <c r="B166"/>
  <c r="W165"/>
  <c r="V165"/>
  <c r="M165"/>
  <c r="L165"/>
  <c r="K165"/>
  <c r="J165"/>
  <c r="I165"/>
  <c r="H165"/>
  <c r="G165"/>
  <c r="N165" s="1"/>
  <c r="Q165" s="1"/>
  <c r="E165"/>
  <c r="D165"/>
  <c r="C165"/>
  <c r="B165"/>
  <c r="W164"/>
  <c r="V164"/>
  <c r="M164"/>
  <c r="L164"/>
  <c r="K164"/>
  <c r="J164"/>
  <c r="I164"/>
  <c r="H164"/>
  <c r="G164"/>
  <c r="N164" s="1"/>
  <c r="Q164" s="1"/>
  <c r="E164"/>
  <c r="D164"/>
  <c r="C164"/>
  <c r="B164"/>
  <c r="W163"/>
  <c r="V163"/>
  <c r="M163"/>
  <c r="L163"/>
  <c r="K163"/>
  <c r="J163"/>
  <c r="I163"/>
  <c r="H163"/>
  <c r="G163"/>
  <c r="N163" s="1"/>
  <c r="Q163" s="1"/>
  <c r="E163"/>
  <c r="D163"/>
  <c r="C163"/>
  <c r="B163"/>
  <c r="W162"/>
  <c r="V162"/>
  <c r="M162"/>
  <c r="L162"/>
  <c r="K162"/>
  <c r="J162"/>
  <c r="I162"/>
  <c r="H162"/>
  <c r="G162"/>
  <c r="N162" s="1"/>
  <c r="Q162" s="1"/>
  <c r="E162"/>
  <c r="D162"/>
  <c r="C162"/>
  <c r="B162"/>
  <c r="W161"/>
  <c r="V161"/>
  <c r="M161"/>
  <c r="L161"/>
  <c r="K161"/>
  <c r="J161"/>
  <c r="I161"/>
  <c r="H161"/>
  <c r="G161"/>
  <c r="N161" s="1"/>
  <c r="Q161" s="1"/>
  <c r="E161"/>
  <c r="D161"/>
  <c r="C161"/>
  <c r="B161"/>
  <c r="W160"/>
  <c r="V160"/>
  <c r="M160"/>
  <c r="L160"/>
  <c r="K160"/>
  <c r="J160"/>
  <c r="I160"/>
  <c r="H160"/>
  <c r="G160"/>
  <c r="N160" s="1"/>
  <c r="Q160" s="1"/>
  <c r="E160"/>
  <c r="D160"/>
  <c r="C160"/>
  <c r="B160"/>
  <c r="W159"/>
  <c r="V159"/>
  <c r="M159"/>
  <c r="L159"/>
  <c r="K159"/>
  <c r="J159"/>
  <c r="I159"/>
  <c r="H159"/>
  <c r="G159"/>
  <c r="N159" s="1"/>
  <c r="Q159" s="1"/>
  <c r="E159"/>
  <c r="D159"/>
  <c r="C159"/>
  <c r="B159"/>
  <c r="W158"/>
  <c r="V158"/>
  <c r="M158"/>
  <c r="L158"/>
  <c r="K158"/>
  <c r="J158"/>
  <c r="I158"/>
  <c r="H158"/>
  <c r="G158"/>
  <c r="N158" s="1"/>
  <c r="Q158" s="1"/>
  <c r="E158"/>
  <c r="D158"/>
  <c r="C158"/>
  <c r="B158"/>
  <c r="W157"/>
  <c r="V157"/>
  <c r="M157"/>
  <c r="L157"/>
  <c r="K157"/>
  <c r="J157"/>
  <c r="I157"/>
  <c r="H157"/>
  <c r="G157"/>
  <c r="N157" s="1"/>
  <c r="Q157" s="1"/>
  <c r="E157"/>
  <c r="D157"/>
  <c r="C157"/>
  <c r="B157"/>
  <c r="W156"/>
  <c r="V156"/>
  <c r="M156"/>
  <c r="L156"/>
  <c r="K156"/>
  <c r="J156"/>
  <c r="I156"/>
  <c r="H156"/>
  <c r="G156"/>
  <c r="N156" s="1"/>
  <c r="Q156" s="1"/>
  <c r="E156"/>
  <c r="D156"/>
  <c r="C156"/>
  <c r="B156"/>
  <c r="W155"/>
  <c r="V155"/>
  <c r="M155"/>
  <c r="L155"/>
  <c r="K155"/>
  <c r="J155"/>
  <c r="I155"/>
  <c r="H155"/>
  <c r="G155"/>
  <c r="N155" s="1"/>
  <c r="Q155" s="1"/>
  <c r="E155"/>
  <c r="D155"/>
  <c r="C155"/>
  <c r="B155"/>
  <c r="W154"/>
  <c r="V154"/>
  <c r="M154"/>
  <c r="L154"/>
  <c r="K154"/>
  <c r="J154"/>
  <c r="I154"/>
  <c r="H154"/>
  <c r="G154"/>
  <c r="N154" s="1"/>
  <c r="Q154" s="1"/>
  <c r="E154"/>
  <c r="D154"/>
  <c r="C154"/>
  <c r="B154"/>
  <c r="W153"/>
  <c r="V153"/>
  <c r="L153"/>
  <c r="H153"/>
  <c r="G153"/>
  <c r="N153" s="1"/>
  <c r="Q153" s="1"/>
  <c r="E153"/>
  <c r="D153"/>
  <c r="C153"/>
  <c r="W152"/>
  <c r="V152"/>
  <c r="N152"/>
  <c r="Q152" s="1"/>
  <c r="M152"/>
  <c r="L152"/>
  <c r="K152"/>
  <c r="J152"/>
  <c r="I152"/>
  <c r="G152"/>
  <c r="E152"/>
  <c r="D152"/>
  <c r="C152"/>
  <c r="W151"/>
  <c r="V151"/>
  <c r="N151"/>
  <c r="Q151" s="1"/>
  <c r="M151"/>
  <c r="L151"/>
  <c r="K151"/>
  <c r="J151"/>
  <c r="I151"/>
  <c r="G151"/>
  <c r="E151"/>
  <c r="D151"/>
  <c r="C151"/>
  <c r="W150"/>
  <c r="V150"/>
  <c r="N150"/>
  <c r="Q150" s="1"/>
  <c r="M150"/>
  <c r="L150"/>
  <c r="K150"/>
  <c r="J150"/>
  <c r="I150"/>
  <c r="G150"/>
  <c r="E150"/>
  <c r="D150"/>
  <c r="C150"/>
  <c r="W149"/>
  <c r="V149"/>
  <c r="N149"/>
  <c r="M149"/>
  <c r="L149"/>
  <c r="K149"/>
  <c r="J149"/>
  <c r="I149"/>
  <c r="G149"/>
  <c r="E149"/>
  <c r="D149"/>
  <c r="C149"/>
  <c r="W148"/>
  <c r="V148"/>
  <c r="N148"/>
  <c r="Q148" s="1"/>
  <c r="M148"/>
  <c r="L148"/>
  <c r="K148"/>
  <c r="J148"/>
  <c r="I148"/>
  <c r="G148"/>
  <c r="E148"/>
  <c r="D148"/>
  <c r="C148"/>
  <c r="W147"/>
  <c r="V147"/>
  <c r="M147"/>
  <c r="L147"/>
  <c r="K147"/>
  <c r="J147"/>
  <c r="I147"/>
  <c r="G147"/>
  <c r="N147" s="1"/>
  <c r="Q147" s="1"/>
  <c r="E147"/>
  <c r="D147"/>
  <c r="C147"/>
  <c r="W146"/>
  <c r="V146"/>
  <c r="M146"/>
  <c r="L146"/>
  <c r="K146"/>
  <c r="J146"/>
  <c r="I146"/>
  <c r="G146"/>
  <c r="N146" s="1"/>
  <c r="Q146" s="1"/>
  <c r="E146"/>
  <c r="D146"/>
  <c r="C146"/>
  <c r="W145"/>
  <c r="V145"/>
  <c r="M145"/>
  <c r="L145"/>
  <c r="K145"/>
  <c r="J145"/>
  <c r="I145"/>
  <c r="G145"/>
  <c r="N145" s="1"/>
  <c r="Q145" s="1"/>
  <c r="E145"/>
  <c r="D145"/>
  <c r="C145"/>
  <c r="W144"/>
  <c r="V144"/>
  <c r="M144"/>
  <c r="L144"/>
  <c r="K144"/>
  <c r="J144"/>
  <c r="I144"/>
  <c r="G144"/>
  <c r="N144" s="1"/>
  <c r="Q144" s="1"/>
  <c r="E144"/>
  <c r="D144"/>
  <c r="C144"/>
  <c r="W143"/>
  <c r="V143"/>
  <c r="M143"/>
  <c r="L143"/>
  <c r="K143"/>
  <c r="J143"/>
  <c r="I143"/>
  <c r="G143"/>
  <c r="N143" s="1"/>
  <c r="Q143" s="1"/>
  <c r="E143"/>
  <c r="D143"/>
  <c r="C143"/>
  <c r="W142"/>
  <c r="V142"/>
  <c r="M142"/>
  <c r="L142"/>
  <c r="K142"/>
  <c r="J142"/>
  <c r="I142"/>
  <c r="G142"/>
  <c r="N142" s="1"/>
  <c r="Q142" s="1"/>
  <c r="E142"/>
  <c r="D142"/>
  <c r="C142"/>
  <c r="W141"/>
  <c r="V141"/>
  <c r="M141"/>
  <c r="L141"/>
  <c r="K141"/>
  <c r="J141"/>
  <c r="I141"/>
  <c r="G141"/>
  <c r="N141" s="1"/>
  <c r="Q141" s="1"/>
  <c r="E141"/>
  <c r="D141"/>
  <c r="C141"/>
  <c r="W140"/>
  <c r="V140"/>
  <c r="M140"/>
  <c r="L140"/>
  <c r="K140"/>
  <c r="J140"/>
  <c r="I140"/>
  <c r="G140"/>
  <c r="N140" s="1"/>
  <c r="Q140" s="1"/>
  <c r="E140"/>
  <c r="D140"/>
  <c r="C140"/>
  <c r="W139"/>
  <c r="V139"/>
  <c r="M139"/>
  <c r="L139"/>
  <c r="K139"/>
  <c r="J139"/>
  <c r="I139"/>
  <c r="G139"/>
  <c r="N139" s="1"/>
  <c r="Q139" s="1"/>
  <c r="E139"/>
  <c r="D139"/>
  <c r="C139"/>
  <c r="W138"/>
  <c r="V138"/>
  <c r="M138"/>
  <c r="L138"/>
  <c r="K138"/>
  <c r="J138"/>
  <c r="I138"/>
  <c r="H138"/>
  <c r="G138"/>
  <c r="N138" s="1"/>
  <c r="Q138" s="1"/>
  <c r="E138"/>
  <c r="D138"/>
  <c r="C138"/>
  <c r="W137"/>
  <c r="V137"/>
  <c r="M137"/>
  <c r="L137"/>
  <c r="K137"/>
  <c r="J137"/>
  <c r="I137"/>
  <c r="H137"/>
  <c r="G137"/>
  <c r="N137" s="1"/>
  <c r="Q137" s="1"/>
  <c r="E137"/>
  <c r="D137"/>
  <c r="C137"/>
  <c r="W136"/>
  <c r="V136"/>
  <c r="M136"/>
  <c r="L136"/>
  <c r="K136"/>
  <c r="J136"/>
  <c r="I136"/>
  <c r="H136"/>
  <c r="G136"/>
  <c r="N136" s="1"/>
  <c r="Q136" s="1"/>
  <c r="E136"/>
  <c r="D136"/>
  <c r="C136"/>
  <c r="W135"/>
  <c r="V135"/>
  <c r="M135"/>
  <c r="L135"/>
  <c r="K135"/>
  <c r="J135"/>
  <c r="I135"/>
  <c r="H135"/>
  <c r="G135"/>
  <c r="N135" s="1"/>
  <c r="Q135" s="1"/>
  <c r="E135"/>
  <c r="D135"/>
  <c r="C135"/>
  <c r="W134"/>
  <c r="V134"/>
  <c r="M134"/>
  <c r="L134"/>
  <c r="K134"/>
  <c r="J134"/>
  <c r="I134"/>
  <c r="H134"/>
  <c r="G134"/>
  <c r="N134" s="1"/>
  <c r="Q134" s="1"/>
  <c r="E134"/>
  <c r="D134"/>
  <c r="C134"/>
  <c r="W133"/>
  <c r="V133"/>
  <c r="M133"/>
  <c r="L133"/>
  <c r="K133"/>
  <c r="J133"/>
  <c r="I133"/>
  <c r="H133"/>
  <c r="G133"/>
  <c r="N133" s="1"/>
  <c r="Q133" s="1"/>
  <c r="E133"/>
  <c r="D133"/>
  <c r="C133"/>
  <c r="W132"/>
  <c r="V132"/>
  <c r="M132"/>
  <c r="L132"/>
  <c r="K132"/>
  <c r="J132"/>
  <c r="I132"/>
  <c r="H132"/>
  <c r="G132"/>
  <c r="N132" s="1"/>
  <c r="Q132" s="1"/>
  <c r="E132"/>
  <c r="D132"/>
  <c r="C132"/>
  <c r="W131"/>
  <c r="V131"/>
  <c r="M131"/>
  <c r="L131"/>
  <c r="K131"/>
  <c r="J131"/>
  <c r="I131"/>
  <c r="H131"/>
  <c r="G131"/>
  <c r="N131" s="1"/>
  <c r="Q131" s="1"/>
  <c r="E131"/>
  <c r="D131"/>
  <c r="C131"/>
  <c r="W130"/>
  <c r="V130"/>
  <c r="M130"/>
  <c r="L130"/>
  <c r="K130"/>
  <c r="J130"/>
  <c r="I130"/>
  <c r="H130"/>
  <c r="G130"/>
  <c r="N130" s="1"/>
  <c r="Q130" s="1"/>
  <c r="E130"/>
  <c r="D130"/>
  <c r="C130"/>
  <c r="W129"/>
  <c r="V129"/>
  <c r="M129"/>
  <c r="L129"/>
  <c r="K129"/>
  <c r="J129"/>
  <c r="I129"/>
  <c r="H129"/>
  <c r="G129"/>
  <c r="N129" s="1"/>
  <c r="Q129" s="1"/>
  <c r="E129"/>
  <c r="D129"/>
  <c r="C129"/>
  <c r="W128"/>
  <c r="V128"/>
  <c r="M128"/>
  <c r="L128"/>
  <c r="K128"/>
  <c r="J128"/>
  <c r="I128"/>
  <c r="H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H124"/>
  <c r="G124"/>
  <c r="N124" s="1"/>
  <c r="Q124" s="1"/>
  <c r="E124"/>
  <c r="D124"/>
  <c r="C124"/>
  <c r="W123"/>
  <c r="V123"/>
  <c r="M123"/>
  <c r="L123"/>
  <c r="K123"/>
  <c r="J123"/>
  <c r="I123"/>
  <c r="H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W110"/>
  <c r="V110"/>
  <c r="M110"/>
  <c r="L110"/>
  <c r="K110"/>
  <c r="J110"/>
  <c r="I110"/>
  <c r="H110"/>
  <c r="G110"/>
  <c r="N110" s="1"/>
  <c r="Q110" s="1"/>
  <c r="E110"/>
  <c r="D110"/>
  <c r="C110"/>
  <c r="W109"/>
  <c r="V109"/>
  <c r="M109"/>
  <c r="L109"/>
  <c r="K109"/>
  <c r="J109"/>
  <c r="I109"/>
  <c r="H109"/>
  <c r="G109"/>
  <c r="N109" s="1"/>
  <c r="Q109" s="1"/>
  <c r="E109"/>
  <c r="D109"/>
  <c r="C109"/>
  <c r="W108"/>
  <c r="V108"/>
  <c r="M108"/>
  <c r="L108"/>
  <c r="K108"/>
  <c r="J108"/>
  <c r="I108"/>
  <c r="H108"/>
  <c r="G108"/>
  <c r="N108" s="1"/>
  <c r="Q108" s="1"/>
  <c r="E108"/>
  <c r="D108"/>
  <c r="C108"/>
  <c r="W107"/>
  <c r="V107"/>
  <c r="M107"/>
  <c r="L107"/>
  <c r="K107"/>
  <c r="J107"/>
  <c r="I107"/>
  <c r="H107"/>
  <c r="G107"/>
  <c r="N107" s="1"/>
  <c r="Q107" s="1"/>
  <c r="E107"/>
  <c r="D107"/>
  <c r="C107"/>
  <c r="W106"/>
  <c r="V106"/>
  <c r="M106"/>
  <c r="L106"/>
  <c r="K106"/>
  <c r="J106"/>
  <c r="I106"/>
  <c r="H106"/>
  <c r="G106"/>
  <c r="N106" s="1"/>
  <c r="Q106" s="1"/>
  <c r="E106"/>
  <c r="D106"/>
  <c r="C106"/>
  <c r="W105"/>
  <c r="V105"/>
  <c r="M105"/>
  <c r="L105"/>
  <c r="K105"/>
  <c r="J105"/>
  <c r="I105"/>
  <c r="H105"/>
  <c r="G105"/>
  <c r="N105" s="1"/>
  <c r="Q105" s="1"/>
  <c r="E105"/>
  <c r="D105"/>
  <c r="C105"/>
  <c r="W104"/>
  <c r="V104"/>
  <c r="M104"/>
  <c r="L104"/>
  <c r="K104"/>
  <c r="J104"/>
  <c r="I104"/>
  <c r="H104"/>
  <c r="G104"/>
  <c r="N104" s="1"/>
  <c r="Q104" s="1"/>
  <c r="E104"/>
  <c r="D104"/>
  <c r="C104"/>
  <c r="W103"/>
  <c r="V103"/>
  <c r="M103"/>
  <c r="L103"/>
  <c r="K103"/>
  <c r="J103"/>
  <c r="I103"/>
  <c r="H103"/>
  <c r="G103"/>
  <c r="N103" s="1"/>
  <c r="Q103" s="1"/>
  <c r="E103"/>
  <c r="D103"/>
  <c r="C103"/>
  <c r="W102"/>
  <c r="V102"/>
  <c r="M102"/>
  <c r="L102"/>
  <c r="K102"/>
  <c r="J102"/>
  <c r="I102"/>
  <c r="H102"/>
  <c r="G102"/>
  <c r="N102" s="1"/>
  <c r="Q102" s="1"/>
  <c r="E102"/>
  <c r="D102"/>
  <c r="C102"/>
  <c r="W101"/>
  <c r="V101"/>
  <c r="M101"/>
  <c r="L101"/>
  <c r="K101"/>
  <c r="J101"/>
  <c r="I101"/>
  <c r="H101"/>
  <c r="G101"/>
  <c r="N101" s="1"/>
  <c r="Q101" s="1"/>
  <c r="E101"/>
  <c r="D101"/>
  <c r="C101"/>
  <c r="W100"/>
  <c r="V100"/>
  <c r="M100"/>
  <c r="L100"/>
  <c r="K100"/>
  <c r="J100"/>
  <c r="I100"/>
  <c r="H100"/>
  <c r="G100"/>
  <c r="N100" s="1"/>
  <c r="Q100" s="1"/>
  <c r="E100"/>
  <c r="D100"/>
  <c r="C100"/>
  <c r="W99"/>
  <c r="V99"/>
  <c r="M99"/>
  <c r="L99"/>
  <c r="K99"/>
  <c r="J99"/>
  <c r="I99"/>
  <c r="H99"/>
  <c r="G99"/>
  <c r="N99" s="1"/>
  <c r="Q99" s="1"/>
  <c r="E99"/>
  <c r="D99"/>
  <c r="C99"/>
  <c r="W98"/>
  <c r="V98"/>
  <c r="M98"/>
  <c r="L98"/>
  <c r="K98"/>
  <c r="J98"/>
  <c r="I98"/>
  <c r="H98"/>
  <c r="G98"/>
  <c r="N98" s="1"/>
  <c r="Q98" s="1"/>
  <c r="E98"/>
  <c r="D98"/>
  <c r="C98"/>
  <c r="W97"/>
  <c r="V97"/>
  <c r="M97"/>
  <c r="L97"/>
  <c r="K97"/>
  <c r="J97"/>
  <c r="I97"/>
  <c r="H97"/>
  <c r="G97"/>
  <c r="N97" s="1"/>
  <c r="Q97" s="1"/>
  <c r="E97"/>
  <c r="D97"/>
  <c r="C97"/>
  <c r="W96"/>
  <c r="V96"/>
  <c r="M96"/>
  <c r="L96"/>
  <c r="K96"/>
  <c r="J96"/>
  <c r="I96"/>
  <c r="G96"/>
  <c r="N96" s="1"/>
  <c r="Q96" s="1"/>
  <c r="E96"/>
  <c r="D96"/>
  <c r="C96"/>
  <c r="W95"/>
  <c r="V95"/>
  <c r="M95"/>
  <c r="L95"/>
  <c r="K95"/>
  <c r="J95"/>
  <c r="I95"/>
  <c r="G95"/>
  <c r="N95" s="1"/>
  <c r="Q95" s="1"/>
  <c r="E95"/>
  <c r="D95"/>
  <c r="C95"/>
  <c r="W94"/>
  <c r="V94"/>
  <c r="M94"/>
  <c r="L94"/>
  <c r="K94"/>
  <c r="J94"/>
  <c r="I94"/>
  <c r="G94"/>
  <c r="N94" s="1"/>
  <c r="Q94" s="1"/>
  <c r="E94"/>
  <c r="D94"/>
  <c r="C94"/>
  <c r="W93"/>
  <c r="V93"/>
  <c r="M93"/>
  <c r="L93"/>
  <c r="K93"/>
  <c r="J93"/>
  <c r="I93"/>
  <c r="G93"/>
  <c r="N93" s="1"/>
  <c r="E93"/>
  <c r="D93"/>
  <c r="C93"/>
  <c r="W92"/>
  <c r="V92"/>
  <c r="M92"/>
  <c r="L92"/>
  <c r="K92"/>
  <c r="J92"/>
  <c r="I92"/>
  <c r="G92"/>
  <c r="N92" s="1"/>
  <c r="E92"/>
  <c r="D92"/>
  <c r="C92"/>
  <c r="W91"/>
  <c r="V91"/>
  <c r="M91"/>
  <c r="L91"/>
  <c r="K91"/>
  <c r="J91"/>
  <c r="I91"/>
  <c r="G91"/>
  <c r="N91" s="1"/>
  <c r="Q91" s="1"/>
  <c r="E91"/>
  <c r="D91"/>
  <c r="C91"/>
  <c r="Z89"/>
  <c r="Y89"/>
  <c r="X89"/>
  <c r="Q89"/>
  <c r="Q88"/>
  <c r="Q87"/>
  <c r="W86"/>
  <c r="V86"/>
  <c r="M86"/>
  <c r="L86"/>
  <c r="K86"/>
  <c r="J86"/>
  <c r="I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Q83" s="1"/>
  <c r="E83"/>
  <c r="D83"/>
  <c r="C83"/>
  <c r="W82"/>
  <c r="V82"/>
  <c r="M82"/>
  <c r="L82"/>
  <c r="K82"/>
  <c r="J82"/>
  <c r="I82"/>
  <c r="G82"/>
  <c r="N82" s="1"/>
  <c r="Q82" s="1"/>
  <c r="E82"/>
  <c r="D82"/>
  <c r="C82"/>
  <c r="W81"/>
  <c r="V81"/>
  <c r="M81"/>
  <c r="L81"/>
  <c r="K81"/>
  <c r="J81"/>
  <c r="I81"/>
  <c r="G81"/>
  <c r="N81" s="1"/>
  <c r="Q81" s="1"/>
  <c r="E81"/>
  <c r="D81"/>
  <c r="C81"/>
  <c r="W80"/>
  <c r="V80"/>
  <c r="M80"/>
  <c r="L80"/>
  <c r="K80"/>
  <c r="J80"/>
  <c r="I80"/>
  <c r="H80"/>
  <c r="G80"/>
  <c r="N80" s="1"/>
  <c r="Q80" s="1"/>
  <c r="E80"/>
  <c r="D80"/>
  <c r="C80"/>
  <c r="W79"/>
  <c r="V79"/>
  <c r="M79"/>
  <c r="L79"/>
  <c r="K79"/>
  <c r="J79"/>
  <c r="I79"/>
  <c r="H79"/>
  <c r="G79"/>
  <c r="N79" s="1"/>
  <c r="Q79" s="1"/>
  <c r="E79"/>
  <c r="D79"/>
  <c r="C79"/>
  <c r="W78"/>
  <c r="V78"/>
  <c r="M78"/>
  <c r="L78"/>
  <c r="K78"/>
  <c r="J78"/>
  <c r="I78"/>
  <c r="H78"/>
  <c r="G78"/>
  <c r="N78" s="1"/>
  <c r="Q78" s="1"/>
  <c r="E78"/>
  <c r="D78"/>
  <c r="C78"/>
  <c r="W77"/>
  <c r="V77"/>
  <c r="M77"/>
  <c r="L77"/>
  <c r="K77"/>
  <c r="J77"/>
  <c r="I77"/>
  <c r="G77"/>
  <c r="N77" s="1"/>
  <c r="Q77" s="1"/>
  <c r="E77"/>
  <c r="D77"/>
  <c r="C77"/>
  <c r="W76"/>
  <c r="V76"/>
  <c r="M76"/>
  <c r="L76"/>
  <c r="K76"/>
  <c r="J76"/>
  <c r="I76"/>
  <c r="G76"/>
  <c r="N76" s="1"/>
  <c r="Q76" s="1"/>
  <c r="E76"/>
  <c r="D76"/>
  <c r="C76"/>
  <c r="W75"/>
  <c r="V75"/>
  <c r="M75"/>
  <c r="L75"/>
  <c r="K75"/>
  <c r="J75"/>
  <c r="I75"/>
  <c r="H75"/>
  <c r="G75"/>
  <c r="N75" s="1"/>
  <c r="Q75" s="1"/>
  <c r="E75"/>
  <c r="D75"/>
  <c r="C75"/>
  <c r="W74"/>
  <c r="V74"/>
  <c r="M74"/>
  <c r="L74"/>
  <c r="K74"/>
  <c r="J74"/>
  <c r="I74"/>
  <c r="H74"/>
  <c r="G74"/>
  <c r="N74" s="1"/>
  <c r="Q74" s="1"/>
  <c r="E74"/>
  <c r="D74"/>
  <c r="C74"/>
  <c r="W73"/>
  <c r="V73"/>
  <c r="M73"/>
  <c r="L73"/>
  <c r="K73"/>
  <c r="J73"/>
  <c r="I73"/>
  <c r="H73"/>
  <c r="G73"/>
  <c r="N73" s="1"/>
  <c r="Q73" s="1"/>
  <c r="E73"/>
  <c r="D73"/>
  <c r="C73"/>
  <c r="W72"/>
  <c r="V72"/>
  <c r="M72"/>
  <c r="L72"/>
  <c r="K72"/>
  <c r="J72"/>
  <c r="I72"/>
  <c r="H72"/>
  <c r="G72"/>
  <c r="N72" s="1"/>
  <c r="Q72" s="1"/>
  <c r="E72"/>
  <c r="D72"/>
  <c r="C72"/>
  <c r="W71"/>
  <c r="V71"/>
  <c r="M71"/>
  <c r="L71"/>
  <c r="K71"/>
  <c r="J71"/>
  <c r="I71"/>
  <c r="H71"/>
  <c r="G71"/>
  <c r="N71" s="1"/>
  <c r="Q71" s="1"/>
  <c r="E71"/>
  <c r="D71"/>
  <c r="C71"/>
  <c r="W70"/>
  <c r="V70"/>
  <c r="M70"/>
  <c r="L70"/>
  <c r="K70"/>
  <c r="J70"/>
  <c r="I70"/>
  <c r="H70"/>
  <c r="G70"/>
  <c r="N70" s="1"/>
  <c r="Q70" s="1"/>
  <c r="E70"/>
  <c r="D70"/>
  <c r="C70"/>
  <c r="W69"/>
  <c r="V69"/>
  <c r="M69"/>
  <c r="L69"/>
  <c r="K69"/>
  <c r="J69"/>
  <c r="I69"/>
  <c r="H69"/>
  <c r="G69"/>
  <c r="N69" s="1"/>
  <c r="Q69" s="1"/>
  <c r="E69"/>
  <c r="D69"/>
  <c r="C69"/>
  <c r="W68"/>
  <c r="V68"/>
  <c r="M68"/>
  <c r="L68"/>
  <c r="K68"/>
  <c r="J68"/>
  <c r="I68"/>
  <c r="H68"/>
  <c r="G68"/>
  <c r="N68" s="1"/>
  <c r="Q68" s="1"/>
  <c r="E68"/>
  <c r="D68"/>
  <c r="C68"/>
  <c r="W67"/>
  <c r="V67"/>
  <c r="M67"/>
  <c r="L67"/>
  <c r="K67"/>
  <c r="J67"/>
  <c r="I67"/>
  <c r="H67"/>
  <c r="G67"/>
  <c r="N67" s="1"/>
  <c r="Q67" s="1"/>
  <c r="E67"/>
  <c r="D67"/>
  <c r="C67"/>
  <c r="W66"/>
  <c r="V66"/>
  <c r="M66"/>
  <c r="L66"/>
  <c r="K66"/>
  <c r="J66"/>
  <c r="I66"/>
  <c r="H66"/>
  <c r="G66"/>
  <c r="N66" s="1"/>
  <c r="Q66" s="1"/>
  <c r="E66"/>
  <c r="D66"/>
  <c r="C66"/>
  <c r="W65"/>
  <c r="V65"/>
  <c r="M65"/>
  <c r="L65"/>
  <c r="K65"/>
  <c r="J65"/>
  <c r="I65"/>
  <c r="H65"/>
  <c r="G65"/>
  <c r="N65" s="1"/>
  <c r="Q65" s="1"/>
  <c r="E65"/>
  <c r="D65"/>
  <c r="C65"/>
  <c r="W64"/>
  <c r="V64"/>
  <c r="M64"/>
  <c r="L64"/>
  <c r="K64"/>
  <c r="J64"/>
  <c r="I64"/>
  <c r="H64"/>
  <c r="G64"/>
  <c r="N64" s="1"/>
  <c r="Q64" s="1"/>
  <c r="E64"/>
  <c r="D64"/>
  <c r="C64"/>
  <c r="Q63"/>
  <c r="H63"/>
  <c r="G63"/>
  <c r="E63"/>
  <c r="Q62"/>
  <c r="H62"/>
  <c r="G62"/>
  <c r="E62"/>
  <c r="Q61"/>
  <c r="H61"/>
  <c r="G61"/>
  <c r="E61"/>
  <c r="Q60"/>
  <c r="H60"/>
  <c r="G60"/>
  <c r="E60"/>
  <c r="Q59"/>
  <c r="H59"/>
  <c r="G59"/>
  <c r="E59"/>
  <c r="Q58"/>
  <c r="H58"/>
  <c r="G58"/>
  <c r="E58"/>
  <c r="M57"/>
  <c r="L57"/>
  <c r="K57"/>
  <c r="J57"/>
  <c r="I57"/>
  <c r="M56"/>
  <c r="L56"/>
  <c r="K56"/>
  <c r="J56"/>
  <c r="I56"/>
  <c r="Q55"/>
  <c r="Q54"/>
  <c r="Q53"/>
  <c r="Q52"/>
  <c r="Q51"/>
  <c r="Q50"/>
  <c r="Q49"/>
  <c r="Q48"/>
  <c r="Q47"/>
  <c r="Q46"/>
  <c r="N45"/>
  <c r="Q45" s="1"/>
  <c r="N44"/>
  <c r="Q44" s="1"/>
  <c r="Q43"/>
  <c r="N42"/>
  <c r="Q42" s="1"/>
  <c r="N41"/>
  <c r="Q41" s="1"/>
  <c r="N40"/>
  <c r="Q40" s="1"/>
  <c r="N39"/>
  <c r="Q39" s="1"/>
  <c r="N38"/>
  <c r="Q38" s="1"/>
  <c r="N37"/>
  <c r="Q37" s="1"/>
  <c r="N36"/>
  <c r="Q36" s="1"/>
  <c r="N35"/>
  <c r="Q35" s="1"/>
  <c r="N34"/>
  <c r="N33"/>
  <c r="N32"/>
  <c r="Q32" s="1"/>
  <c r="N31"/>
  <c r="Q31" s="1"/>
  <c r="N30"/>
  <c r="N29"/>
  <c r="N28"/>
  <c r="N27"/>
  <c r="N26"/>
  <c r="N25"/>
  <c r="N24"/>
  <c r="N23"/>
  <c r="Q23" s="1"/>
  <c r="N22"/>
  <c r="Q22" s="1"/>
  <c r="N21"/>
  <c r="Q21" s="1"/>
  <c r="N20"/>
  <c r="Q20" s="1"/>
  <c r="N19"/>
  <c r="Q19" s="1"/>
  <c r="N18"/>
  <c r="Q18" s="1"/>
  <c r="N17"/>
  <c r="Q17" s="1"/>
  <c r="N16"/>
  <c r="Q16" s="1"/>
  <c r="N15"/>
  <c r="Q15" s="1"/>
  <c r="N14"/>
  <c r="Q14" s="1"/>
  <c r="N13"/>
  <c r="Q13" s="1"/>
  <c r="N12"/>
  <c r="Q12" s="1"/>
  <c r="Q11"/>
  <c r="Q10"/>
  <c r="Q9"/>
  <c r="Q8"/>
  <c r="Q7"/>
  <c r="Q6"/>
</calcChain>
</file>

<file path=xl/sharedStrings.xml><?xml version="1.0" encoding="utf-8"?>
<sst xmlns="http://schemas.openxmlformats.org/spreadsheetml/2006/main" count="9465" uniqueCount="2311">
  <si>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</si>
  <si>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</si>
  <si>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</si>
  <si>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</si>
  <si>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</si>
  <si>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</si>
  <si>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</si>
  <si>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</si>
  <si>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</si>
  <si>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</si>
  <si>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</si>
  <si>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</si>
  <si>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</si>
  <si>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</si>
  <si>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</si>
  <si>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</si>
  <si>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</si>
  <si>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</si>
  <si>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</si>
  <si>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</si>
  <si>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</si>
  <si>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</si>
  <si>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</si>
  <si>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</si>
  <si>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</si>
  <si>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</si>
  <si>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</si>
  <si>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</si>
  <si>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</si>
  <si>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</si>
  <si>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</si>
  <si>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</si>
  <si>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</si>
  <si>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</si>
  <si>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</si>
  <si>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</si>
  <si>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</si>
  <si>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</si>
  <si>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</si>
  <si>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</si>
  <si>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</si>
  <si>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</si>
  <si>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</si>
  <si>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</si>
  <si>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</si>
  <si>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</si>
  <si>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</si>
  <si>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</si>
  <si>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</si>
  <si>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</si>
  <si>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</si>
  <si>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</si>
  <si>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</si>
  <si>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</si>
  <si>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</si>
  <si>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</si>
  <si>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</si>
  <si>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</si>
  <si>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</si>
  <si>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</si>
  <si>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</si>
  <si>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</si>
  <si>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</si>
  <si>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</si>
  <si>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</si>
  <si>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</si>
  <si>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</si>
  <si>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</si>
  <si>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</si>
  <si>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</si>
  <si>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</si>
  <si>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</si>
  <si>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</si>
  <si>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</si>
  <si>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</si>
  <si>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</si>
  <si>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</si>
  <si>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</si>
  <si>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</si>
  <si>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</si>
  <si>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</si>
  <si>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</si>
  <si>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</si>
  <si>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</si>
  <si>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</si>
  <si>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</si>
  <si>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</si>
  <si>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</si>
  <si>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</si>
  <si>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</si>
  <si>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</si>
  <si>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</si>
  <si>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</si>
  <si>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</si>
  <si>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</si>
  <si>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</si>
  <si>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</si>
  <si>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</si>
  <si>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</si>
  <si>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</si>
  <si>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</si>
  <si>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</si>
  <si>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</si>
  <si>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</si>
  <si>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</si>
  <si>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</si>
  <si>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</si>
  <si>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</si>
  <si>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</si>
  <si>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</si>
  <si>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</si>
  <si>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</si>
  <si>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</si>
  <si>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</si>
  <si>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</si>
  <si>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</si>
  <si>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</si>
  <si>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</si>
  <si>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</si>
  <si>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</si>
  <si>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</si>
  <si>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</si>
  <si>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</si>
  <si>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</si>
  <si>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</si>
  <si>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</si>
  <si>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</si>
  <si>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</si>
  <si>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</si>
  <si>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</si>
  <si>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</si>
  <si>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</si>
  <si>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</si>
  <si>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</si>
  <si>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</si>
  <si>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</si>
  <si>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</si>
  <si>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</si>
  <si>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</si>
  <si>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</si>
  <si>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</si>
  <si>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</si>
  <si>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</si>
  <si>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</si>
  <si>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</si>
  <si>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</si>
  <si>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</si>
  <si>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</si>
  <si>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</si>
  <si>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</si>
  <si>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</si>
  <si>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</si>
  <si>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</si>
  <si>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</si>
  <si>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</si>
  <si>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</si>
  <si>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</si>
  <si>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</si>
  <si>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</si>
  <si>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</si>
  <si>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</si>
  <si>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</si>
  <si>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</si>
  <si>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</si>
  <si>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</si>
  <si>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</si>
  <si>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</si>
  <si>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</si>
  <si>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</si>
  <si>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</si>
  <si>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</si>
  <si>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</si>
  <si>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</si>
  <si>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</si>
  <si>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</si>
  <si>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</si>
  <si>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</si>
  <si>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</si>
  <si>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</si>
  <si>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</si>
  <si>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</si>
  <si>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</si>
  <si>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</si>
  <si>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</si>
  <si>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</si>
  <si>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</si>
  <si>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</si>
  <si>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</si>
  <si>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</si>
  <si>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</si>
  <si>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</si>
  <si>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</si>
  <si>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</si>
  <si>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</si>
  <si>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</si>
  <si>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</si>
  <si>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</si>
  <si>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</si>
  <si>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</si>
  <si>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</si>
  <si>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</si>
  <si>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</si>
  <si>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</si>
  <si>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</si>
  <si>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</si>
  <si>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</si>
  <si>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</si>
  <si>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</si>
  <si>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</si>
  <si>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</si>
  <si>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</si>
  <si>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</si>
  <si>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</si>
  <si>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</si>
  <si>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</si>
  <si>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</si>
  <si>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</si>
  <si>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</si>
  <si>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</si>
  <si>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</si>
  <si>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</si>
  <si>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</si>
  <si>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</si>
  <si>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</si>
  <si>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</si>
  <si>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</si>
  <si>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</si>
  <si>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</si>
  <si>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</si>
  <si>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</si>
  <si>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</si>
  <si>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</si>
  <si>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</si>
  <si>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</si>
  <si>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</si>
  <si>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</si>
  <si>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</si>
  <si>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</si>
  <si>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</si>
  <si>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</si>
  <si>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</si>
  <si>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</si>
  <si>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</si>
  <si>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</si>
  <si>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</si>
  <si>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</si>
  <si>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</si>
  <si>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</si>
  <si>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</si>
  <si>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</si>
  <si>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</si>
  <si>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</si>
  <si>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</si>
  <si>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</si>
  <si>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</si>
  <si>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</si>
  <si>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</si>
  <si>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</si>
  <si>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</si>
  <si>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</si>
  <si>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</si>
  <si>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</si>
  <si>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</si>
  <si>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</si>
  <si>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</si>
  <si>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</si>
  <si>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</si>
  <si>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</si>
  <si>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</si>
  <si>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</si>
  <si>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</si>
  <si>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</si>
  <si>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</si>
  <si>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</si>
  <si>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</si>
  <si>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</si>
  <si>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</si>
  <si>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</si>
  <si>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</si>
  <si>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</si>
  <si>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</si>
  <si>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</si>
  <si>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</si>
  <si>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</si>
  <si>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</si>
  <si>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</si>
  <si>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</si>
  <si>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</si>
  <si>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</si>
  <si>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</si>
  <si>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</si>
  <si>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</si>
  <si>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</si>
  <si>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</si>
  <si>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</si>
  <si>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</si>
  <si>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Licitación por 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</si>
  <si>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</si>
  <si>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</si>
  <si>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</si>
  <si>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</si>
  <si>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</si>
  <si>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</si>
  <si>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</si>
  <si>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</si>
  <si>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</si>
  <si>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</si>
  <si>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</si>
  <si>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</si>
  <si>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</si>
  <si>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</si>
  <si>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</si>
  <si>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</si>
  <si>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</si>
  <si>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</si>
  <si>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</si>
  <si>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</si>
  <si>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</si>
  <si>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</si>
  <si>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</si>
  <si>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</si>
  <si>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</si>
  <si>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</si>
  <si>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</si>
  <si>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</si>
  <si>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</si>
  <si>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</si>
  <si>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</si>
  <si>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</si>
  <si>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</si>
  <si>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</si>
  <si>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</si>
  <si>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</si>
  <si>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</si>
  <si>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</si>
  <si>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</si>
  <si>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</si>
  <si>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</si>
  <si>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</si>
  <si>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</si>
  <si>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</si>
  <si>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</si>
  <si>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</si>
  <si>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</si>
  <si>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</si>
  <si>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</si>
  <si>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</si>
  <si>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</si>
  <si>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</si>
  <si>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</si>
  <si>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</si>
  <si>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</si>
  <si>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</si>
  <si>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</si>
  <si>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</si>
  <si>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</si>
  <si>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</si>
  <si>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</si>
  <si>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</si>
  <si>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</si>
  <si>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</si>
  <si>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</si>
  <si>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</si>
  <si>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</si>
  <si>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</si>
  <si>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</si>
  <si>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</si>
  <si>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</si>
  <si>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</si>
  <si>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</si>
  <si>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</si>
  <si>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</si>
  <si>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</si>
  <si>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</si>
  <si>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</si>
  <si>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</si>
  <si>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</si>
  <si>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</si>
  <si>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</si>
  <si>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</si>
  <si>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</si>
  <si>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</si>
  <si>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</si>
  <si>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</si>
  <si>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</si>
  <si>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</si>
  <si>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</si>
  <si>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</si>
  <si>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</si>
  <si>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</si>
  <si>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</si>
  <si>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</si>
  <si>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</si>
  <si>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</si>
  <si>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</si>
  <si>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</si>
  <si>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</si>
  <si>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</si>
  <si>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</si>
  <si>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</si>
  <si>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</si>
  <si>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</si>
  <si>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</si>
  <si>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</si>
  <si>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</si>
  <si>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</si>
  <si>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</si>
  <si>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</si>
  <si>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</si>
  <si>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</si>
  <si>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</si>
  <si>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</si>
  <si>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</si>
  <si>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</si>
  <si>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</si>
  <si>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</si>
  <si>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</si>
  <si>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</si>
  <si>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</si>
  <si>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</si>
  <si>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</si>
  <si>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</si>
  <si>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</si>
  <si>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</si>
  <si>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</si>
  <si>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</si>
  <si>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</si>
  <si>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</si>
  <si>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</si>
  <si>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</si>
  <si>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</si>
  <si>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</si>
  <si>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</si>
  <si>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</si>
  <si>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</si>
  <si>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</si>
  <si>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</si>
  <si>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</si>
  <si>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</si>
  <si>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</si>
  <si>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</si>
  <si>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</si>
  <si>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</si>
  <si>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</si>
  <si>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</si>
  <si>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</si>
  <si>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</si>
  <si>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</si>
  <si>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</si>
  <si>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</si>
  <si>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</si>
  <si>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</si>
  <si>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</si>
  <si>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</si>
  <si>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</si>
  <si>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</si>
  <si>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</si>
  <si>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</si>
  <si>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</si>
  <si>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</si>
  <si>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</si>
  <si>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</si>
  <si>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</si>
  <si>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</si>
  <si>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</si>
  <si>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</si>
  <si>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</si>
  <si>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</si>
  <si>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</si>
  <si>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</si>
  <si>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</si>
  <si>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</si>
  <si>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</si>
  <si>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</si>
  <si>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</si>
  <si>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</si>
  <si>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</si>
  <si>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</si>
  <si>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</si>
  <si>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</si>
  <si>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</si>
  <si>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</si>
  <si>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</si>
  <si>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</si>
  <si>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</si>
  <si>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</si>
  <si>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</si>
  <si>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</si>
  <si>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</si>
  <si>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</si>
  <si>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</si>
  <si>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</si>
  <si>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</si>
  <si>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</si>
  <si>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</si>
  <si>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</si>
  <si>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</si>
  <si>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</si>
  <si>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</si>
  <si>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</si>
  <si>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</si>
  <si>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</si>
  <si>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</si>
  <si>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</si>
  <si>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</si>
  <si>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</si>
  <si>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</si>
  <si>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</si>
  <si>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</si>
  <si>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</si>
  <si>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</si>
  <si>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</si>
  <si>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</si>
  <si>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</si>
  <si>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</si>
  <si>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</si>
  <si>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</si>
  <si>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</si>
  <si>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</si>
  <si>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</si>
  <si>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</si>
  <si>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</si>
  <si>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</si>
  <si>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</si>
  <si>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</si>
  <si>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</si>
  <si>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</si>
  <si>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</si>
  <si>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</si>
  <si>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</si>
  <si>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</si>
  <si>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</si>
  <si>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</si>
  <si>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</si>
  <si>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</si>
  <si>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</si>
  <si>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</si>
  <si>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</si>
  <si>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</si>
  <si>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</si>
  <si>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</si>
  <si>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</si>
  <si>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</si>
  <si>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</si>
  <si>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</si>
  <si>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</si>
  <si>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</si>
  <si>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</si>
  <si>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</si>
  <si>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</si>
  <si>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</si>
  <si>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</si>
  <si>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</si>
  <si>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</si>
  <si>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</si>
  <si>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</si>
  <si>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</si>
  <si>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</si>
  <si>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</si>
  <si>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</si>
  <si>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</si>
  <si>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</si>
  <si>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</si>
  <si>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</si>
  <si>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</si>
  <si>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</si>
  <si>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</si>
  <si>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</si>
  <si>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</si>
  <si>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</si>
  <si>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</si>
  <si>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</si>
  <si>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</si>
  <si>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</si>
  <si>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</si>
  <si>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</si>
  <si>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</si>
  <si>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</si>
  <si>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</si>
  <si>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</si>
  <si>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</si>
  <si>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</si>
  <si>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</si>
  <si>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</si>
  <si>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En Proceso</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</si>
  <si>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</si>
  <si>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</si>
  <si>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</si>
  <si>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</si>
  <si>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</si>
  <si>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</si>
  <si>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</si>
  <si>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</si>
  <si>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</si>
  <si>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</si>
  <si>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</si>
  <si>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</si>
  <si>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</si>
  <si>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</si>
  <si>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</si>
  <si>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</si>
  <si>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</si>
  <si>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</si>
  <si>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</si>
  <si>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</si>
  <si>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</si>
  <si>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</si>
  <si>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</si>
  <si>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</si>
  <si>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</si>
  <si>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</si>
  <si>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</si>
  <si>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</si>
  <si>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</si>
  <si>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</si>
  <si>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</si>
  <si>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</si>
  <si>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</si>
  <si>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</si>
  <si>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</si>
  <si>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</si>
  <si>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</si>
  <si>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</si>
  <si>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</si>
  <si>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</si>
  <si>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</si>
  <si>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</si>
  <si>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</si>
  <si>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</si>
  <si>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</si>
  <si>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</si>
  <si>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</si>
  <si>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</si>
  <si>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</si>
  <si>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</si>
  <si>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</si>
  <si>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</si>
  <si>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</si>
  <si>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</si>
  <si>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</si>
  <si>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</si>
  <si>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</si>
  <si>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</si>
  <si>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</si>
  <si>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</si>
  <si>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</si>
  <si>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</si>
  <si>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</si>
  <si>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</si>
  <si>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</si>
  <si>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</si>
  <si>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</si>
  <si>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</si>
  <si>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</si>
  <si>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</si>
  <si>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</si>
  <si>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</si>
  <si>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</si>
  <si>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</si>
  <si>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</si>
  <si>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</si>
  <si>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</si>
  <si>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</si>
  <si>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</si>
  <si>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</si>
  <si>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</si>
  <si>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</si>
  <si>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</si>
  <si>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</si>
  <si>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</si>
  <si>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</si>
  <si>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</si>
  <si>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</si>
  <si>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</si>
  <si>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</si>
  <si>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</si>
  <si>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</si>
  <si>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</si>
  <si>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</si>
  <si>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</si>
  <si>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</si>
  <si>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</si>
  <si>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</si>
  <si>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</si>
  <si>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</si>
  <si>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</si>
  <si>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</si>
  <si>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</si>
  <si>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</si>
  <si>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</si>
  <si>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</si>
  <si>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</si>
  <si>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</si>
  <si>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</si>
  <si>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</si>
  <si>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</si>
  <si>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</si>
  <si>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</si>
  <si>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</si>
  <si>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</si>
  <si>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</si>
  <si>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</si>
  <si>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</si>
  <si>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</si>
  <si>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</si>
  <si>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</si>
  <si>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</si>
  <si>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</si>
  <si>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</si>
  <si>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</si>
  <si>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</si>
  <si>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</si>
  <si>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</si>
  <si>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</si>
  <si>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</si>
  <si>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</si>
  <si>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</si>
  <si>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</si>
  <si>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</si>
  <si>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</si>
  <si>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</si>
  <si>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</si>
  <si>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</si>
  <si>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</si>
  <si>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</si>
  <si>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</si>
  <si>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</si>
  <si>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</si>
  <si>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</si>
  <si>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</si>
  <si>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Recurso Propio</t>
  </si>
  <si>
    <t>JAIME ANDRÉS
ARMANDO</t>
  </si>
  <si>
    <t>RAMAL
GONZÁLEZ</t>
  </si>
  <si>
    <t>ABOUMRAD
FARAH</t>
  </si>
  <si>
    <t>CSS8303089S9
DVV121012433</t>
  </si>
  <si>
    <t>19,257 M2</t>
  </si>
  <si>
    <t xml:space="preserve">Ing. Victor </t>
  </si>
  <si>
    <t xml:space="preserve">Ramirez </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</si>
  <si>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</si>
  <si>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</si>
  <si>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</si>
  <si>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</si>
  <si>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</si>
  <si>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</si>
  <si>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</si>
  <si>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</si>
  <si>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</si>
  <si>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</si>
  <si>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</si>
  <si>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</si>
  <si>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</si>
  <si>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</si>
  <si>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</si>
  <si>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</si>
  <si>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</si>
  <si>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</si>
  <si>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</si>
  <si>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</si>
  <si>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</si>
  <si>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</si>
  <si>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</si>
  <si>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</si>
  <si>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</si>
  <si>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</si>
  <si>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</si>
  <si>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</si>
  <si>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</si>
  <si>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</si>
  <si>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</si>
  <si>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</si>
  <si>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</si>
  <si>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</si>
  <si>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</si>
  <si>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</si>
  <si>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</si>
  <si>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</si>
  <si>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</si>
  <si>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</si>
  <si>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</si>
  <si>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</si>
  <si>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</si>
  <si>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</si>
  <si>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</si>
  <si>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</si>
  <si>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</si>
  <si>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</si>
  <si>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</si>
  <si>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</si>
  <si>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</si>
  <si>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</si>
  <si>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</si>
  <si>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</si>
  <si>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</si>
  <si>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</si>
  <si>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</si>
  <si>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</si>
  <si>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</si>
  <si>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</si>
  <si>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</si>
  <si>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</si>
  <si>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</si>
  <si>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</si>
  <si>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</si>
  <si>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</si>
  <si>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</si>
  <si>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</si>
  <si>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</si>
  <si>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</si>
  <si>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</si>
  <si>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</si>
  <si>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</si>
  <si>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</si>
  <si>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</si>
  <si>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</si>
  <si>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</si>
  <si>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</si>
  <si>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</si>
  <si>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</si>
  <si>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</si>
  <si>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</si>
  <si>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</si>
  <si>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</si>
  <si>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</si>
  <si>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</si>
  <si>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</si>
  <si>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</si>
  <si>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</si>
  <si>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</si>
  <si>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</si>
  <si>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</si>
  <si>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</si>
  <si>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</si>
  <si>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</si>
  <si>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</si>
  <si>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</si>
  <si>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</si>
  <si>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</si>
  <si>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</si>
  <si>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</si>
  <si>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</si>
  <si>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</si>
  <si>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</si>
  <si>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</si>
  <si>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</si>
  <si>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</si>
  <si>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</si>
  <si>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</si>
  <si>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</si>
  <si>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</si>
  <si>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</si>
  <si>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</si>
  <si>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 xml:space="preserve">DOPI-MUN-RM-IM-CI-225-2016
</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</si>
  <si>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</si>
  <si>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</si>
  <si>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</si>
  <si>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</si>
  <si>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</si>
  <si>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</si>
  <si>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</si>
  <si>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</si>
  <si>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</si>
  <si>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</si>
  <si>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</si>
  <si>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</si>
  <si>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</si>
  <si>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</si>
  <si>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</si>
  <si>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</si>
  <si>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</si>
  <si>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</si>
  <si>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</si>
  <si>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</si>
  <si>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</si>
  <si>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</si>
  <si>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</si>
  <si>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</si>
  <si>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</si>
  <si>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</si>
  <si>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</si>
  <si>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</si>
  <si>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</si>
  <si>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</si>
  <si>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</si>
  <si>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</si>
  <si>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</si>
  <si>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</si>
  <si>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</si>
  <si>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</si>
  <si>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</si>
  <si>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</si>
  <si>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</si>
  <si>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Colonia La Coronilla</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</si>
  <si>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</si>
  <si>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</si>
  <si>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</si>
  <si>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</si>
  <si>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</si>
  <si>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</si>
  <si>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</si>
  <si>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</si>
  <si>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</si>
  <si>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</si>
  <si>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</si>
  <si>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</si>
  <si>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</si>
  <si>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</si>
  <si>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</si>
  <si>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</si>
  <si>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</si>
  <si>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</si>
  <si>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</si>
  <si>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</si>
  <si>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</si>
  <si>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</si>
  <si>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</si>
  <si>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</si>
  <si>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</si>
  <si>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</si>
  <si>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</si>
  <si>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</si>
  <si>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</si>
  <si>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</si>
  <si>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</si>
  <si>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</si>
  <si>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</si>
  <si>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</si>
  <si>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Col. Prados de Santa Lucia</t>
  </si>
  <si>
    <t>564 ML</t>
  </si>
  <si>
    <t>Col. Agua Fría</t>
  </si>
  <si>
    <t>1,031 M2</t>
  </si>
  <si>
    <t>1,027 M2</t>
  </si>
  <si>
    <t>Col. Indígena de Mezquitán Sección I</t>
  </si>
  <si>
    <t>355 ML</t>
  </si>
  <si>
    <t>Localidad de Copalita</t>
  </si>
  <si>
    <t>17,660 M2</t>
  </si>
  <si>
    <t>Ing. Fernando</t>
  </si>
  <si>
    <t>1,700 ML</t>
  </si>
  <si>
    <t>Arq. Alheli Guadalupe</t>
  </si>
  <si>
    <t>691 M2</t>
  </si>
  <si>
    <t>Fortamun 2017</t>
  </si>
  <si>
    <t>21 PZAS</t>
  </si>
  <si>
    <t>Colonia El Tigre</t>
  </si>
  <si>
    <t>600 ML</t>
  </si>
  <si>
    <t>Ing. Camilo</t>
  </si>
  <si>
    <t xml:space="preserve">Ing. Fernando  </t>
  </si>
  <si>
    <t>Colonia Chapalita</t>
  </si>
  <si>
    <t>1 PROYECTO</t>
  </si>
  <si>
    <t>490 M2</t>
  </si>
  <si>
    <t>Arq. Eduardo</t>
  </si>
  <si>
    <t>80 ML</t>
  </si>
  <si>
    <t>L.u.m.a. Juan José</t>
  </si>
  <si>
    <t>40 PIEZAS</t>
  </si>
  <si>
    <t>504 M2</t>
  </si>
  <si>
    <t>1,136 M2</t>
  </si>
  <si>
    <t>Ing.Arq. Karina Fabiola</t>
  </si>
  <si>
    <t>5,662 M2</t>
  </si>
  <si>
    <t>Ing. Oscar Ivan</t>
  </si>
  <si>
    <t>6,946 M2</t>
  </si>
  <si>
    <t>Colonias Villas Universidad, Royal Country y Puerta Plata</t>
  </si>
  <si>
    <t>2,162 ML</t>
  </si>
  <si>
    <t xml:space="preserve">Villa </t>
  </si>
  <si>
    <t>Colonia Las Agujas</t>
  </si>
  <si>
    <t>3,645 ML</t>
  </si>
  <si>
    <t>Ing. Juan José</t>
  </si>
  <si>
    <t>260 ML</t>
  </si>
  <si>
    <t>Colonia El Briseño</t>
  </si>
  <si>
    <t>4,523 ML</t>
  </si>
  <si>
    <t xml:space="preserve">Ing. José Rafael </t>
  </si>
  <si>
    <t>Colonia Colomos II</t>
  </si>
  <si>
    <t>643 ML</t>
  </si>
  <si>
    <t>Relleno Sanitario de Picachos</t>
  </si>
  <si>
    <t>3 PIEZAS</t>
  </si>
  <si>
    <t>Colonias Las Aguilas y Las Fuentes</t>
  </si>
  <si>
    <t>93 ML</t>
  </si>
  <si>
    <t>Arq. Daniel</t>
  </si>
  <si>
    <t xml:space="preserve">Torres </t>
  </si>
  <si>
    <t>Covarrubias</t>
  </si>
  <si>
    <t>Colonias Arcos de Zapopan y Loma Bonita Ejidal</t>
  </si>
  <si>
    <t>963 M2</t>
  </si>
  <si>
    <t>Suministro y colocación de estructuras de protección de rayos ultravioleta en los planteles educativos: Secundaria José Antonio Torres (14DE50017T) y Carlos González Peña (14EPR1341C), municipio de Zapopan, Jalisco.</t>
  </si>
  <si>
    <t>975 M2</t>
  </si>
  <si>
    <t>Arq. Joel</t>
  </si>
  <si>
    <t>Colonia Villas Torremolinos</t>
  </si>
  <si>
    <t>4,800 ML</t>
  </si>
  <si>
    <t>Colonia Loma Bonita Ejidal</t>
  </si>
  <si>
    <t>4,000 M2</t>
  </si>
  <si>
    <t>4,232 M2</t>
  </si>
  <si>
    <t>Arq. Carlos Gerardo</t>
  </si>
  <si>
    <t>3,976 M2</t>
  </si>
  <si>
    <t>Clonia San Isidro Ejidal</t>
  </si>
  <si>
    <t>905 M2</t>
  </si>
  <si>
    <t>Colonia Industrial El Colli</t>
  </si>
  <si>
    <t>250 M2</t>
  </si>
  <si>
    <t>Ing. José Rafael</t>
  </si>
  <si>
    <t>Colonia Rinconada Del Parque</t>
  </si>
  <si>
    <t>950 M2</t>
  </si>
  <si>
    <t>129 M2</t>
  </si>
  <si>
    <t>Colonia Arcos de Guadalupe</t>
  </si>
  <si>
    <t>428 ML</t>
  </si>
  <si>
    <t xml:space="preserve">Arq. Sarahí </t>
  </si>
  <si>
    <t>Barnard</t>
  </si>
  <si>
    <t>Román</t>
  </si>
  <si>
    <t>2,633 M2</t>
  </si>
  <si>
    <t>2,533 M2</t>
  </si>
  <si>
    <t>845 M3</t>
  </si>
  <si>
    <t>145 ML</t>
  </si>
  <si>
    <t>6,141 M2</t>
  </si>
  <si>
    <t>Ing. Fernando            </t>
  </si>
  <si>
    <t>3,764 M2</t>
  </si>
  <si>
    <t>2,711 M2</t>
  </si>
  <si>
    <t>90 chorros</t>
  </si>
  <si>
    <t>1,152 m2</t>
  </si>
  <si>
    <t>1,137.6 m2</t>
  </si>
  <si>
    <t>Col. San Juan de Ocotán</t>
  </si>
  <si>
    <t>4,070 M2</t>
  </si>
  <si>
    <t>Arq. Jorge Adriel</t>
  </si>
  <si>
    <t xml:space="preserve"> Guzmán </t>
  </si>
  <si>
    <t>157 ML</t>
  </si>
  <si>
    <t>823 M2</t>
  </si>
  <si>
    <t>Colonia San Juan de Ocotán</t>
  </si>
  <si>
    <t>6,829 M2</t>
  </si>
  <si>
    <t>12,250 m2</t>
  </si>
  <si>
    <t>Col. El Zapote I y Col. Hogares de Nuevo México</t>
  </si>
  <si>
    <t>2,800 ML</t>
  </si>
  <si>
    <t>Col. Paseos del Briseño</t>
  </si>
  <si>
    <t>2,492 M2</t>
  </si>
  <si>
    <t xml:space="preserve">Arq. Daniel </t>
  </si>
  <si>
    <t xml:space="preserve">Covarrubias     </t>
  </si>
  <si>
    <t>Col. Loma Chica</t>
  </si>
  <si>
    <t>Col. Villa de Guadalupe</t>
  </si>
  <si>
    <t>1,029 M2</t>
  </si>
  <si>
    <t>5,110 M2</t>
  </si>
  <si>
    <t>1,780 M2</t>
  </si>
  <si>
    <t>2,124 M2</t>
  </si>
  <si>
    <t>3,690 M2</t>
  </si>
  <si>
    <t>Col. Santa Maria del Pueblito</t>
  </si>
  <si>
    <t>500 ML</t>
  </si>
  <si>
    <t xml:space="preserve">Col. Los Paraisos, Col. Santa Margarita 1a sección y Col. Nuevo México </t>
  </si>
  <si>
    <t>6 MÓDULOS</t>
  </si>
  <si>
    <t>Col. Lomas de Tabachines</t>
  </si>
  <si>
    <t>960 M2</t>
  </si>
  <si>
    <t xml:space="preserve">Ing. Álvaro </t>
  </si>
  <si>
    <t xml:space="preserve">Orozco </t>
  </si>
  <si>
    <t>Col. Mesa Colorada</t>
  </si>
  <si>
    <t>123 ML</t>
  </si>
  <si>
    <t>Col. Miguel de la Madrid</t>
  </si>
  <si>
    <t xml:space="preserve">Ing. Jose Rafael </t>
  </si>
  <si>
    <t>295.7 M3</t>
  </si>
  <si>
    <t>Col. El Tigre II</t>
  </si>
  <si>
    <t>2,604 M2</t>
  </si>
  <si>
    <t>Col. Lomas de Tabachines I</t>
  </si>
  <si>
    <t>504 ML</t>
  </si>
  <si>
    <t xml:space="preserve"> Román</t>
  </si>
  <si>
    <t>1,517 M2</t>
  </si>
  <si>
    <t xml:space="preserve">Ing. Guillermo Joel </t>
  </si>
  <si>
    <t xml:space="preserve">Quintero </t>
  </si>
  <si>
    <t>1,422 M2</t>
  </si>
  <si>
    <t>419 M2</t>
  </si>
  <si>
    <t>Arq. Víctor Manuel</t>
  </si>
  <si>
    <t xml:space="preserve"> Lomelí </t>
  </si>
  <si>
    <t>5,106 M2</t>
  </si>
  <si>
    <t>400 ML</t>
  </si>
  <si>
    <t xml:space="preserve">Ing. Juan Pablo </t>
  </si>
  <si>
    <t xml:space="preserve">Romo </t>
  </si>
  <si>
    <t>1,670 ML</t>
  </si>
  <si>
    <t xml:space="preserve">Velasco </t>
  </si>
  <si>
    <t>555 ML</t>
  </si>
  <si>
    <t>1,360 M2</t>
  </si>
  <si>
    <t>1,712 M2</t>
  </si>
  <si>
    <t>945 ML</t>
  </si>
  <si>
    <t>31 PZA</t>
  </si>
  <si>
    <t>350 ML</t>
  </si>
  <si>
    <t>505,839 M2</t>
  </si>
  <si>
    <t>Remanentes FAISM 2010 - 2015</t>
  </si>
  <si>
    <t>663 ML</t>
  </si>
  <si>
    <t xml:space="preserve">Barnard </t>
  </si>
  <si>
    <t>715 ML</t>
  </si>
  <si>
    <t>155 ML</t>
  </si>
  <si>
    <t>812 M3</t>
  </si>
  <si>
    <t>Covarrubias </t>
  </si>
  <si>
    <t>7,080 M2</t>
  </si>
  <si>
    <t>5,225 M2</t>
  </si>
  <si>
    <t>8,317 M2</t>
  </si>
  <si>
    <t>7,420 M2</t>
  </si>
  <si>
    <t>1,734 M2</t>
  </si>
  <si>
    <t>2,120 M2</t>
  </si>
  <si>
    <t xml:space="preserve">Ing. Arq. Karina Fabiola </t>
  </si>
  <si>
    <t>4,746 M2</t>
  </si>
  <si>
    <t>441 M2</t>
  </si>
  <si>
    <t>3,145 M2</t>
  </si>
  <si>
    <t>2,112 M2</t>
  </si>
  <si>
    <t>2,238 M2</t>
  </si>
  <si>
    <t>1,973 M2</t>
  </si>
  <si>
    <t>3,358 M2</t>
  </si>
  <si>
    <t>Construcción de sistema de saneamiento primario y red de drenaje en las calles: Esmeralda, Turquesa, Obsidiana, Rubí, Roca, Zafiro, Jade y Cantera en la colonia Pedregal de Milpillas, municipio de Zapopan, Jalisco.</t>
  </si>
  <si>
    <t>536 ML</t>
  </si>
  <si>
    <t>Construcción de red de Agua Potable y Drenaje en las calles Privada Ignacio Allende, Emiliano Zapata, Revolución, Hidalgo, Venustiano Carranza y Libertad en la colonia Revolución, municipio de Zapopan, Jalisco.</t>
  </si>
  <si>
    <t>384 ML</t>
  </si>
  <si>
    <t>1,316 M2</t>
  </si>
  <si>
    <t xml:space="preserve"> García </t>
  </si>
  <si>
    <t>957 M3</t>
  </si>
  <si>
    <t>Arq. Daniel           </t>
  </si>
  <si>
    <t>Construcción de Colector y red de drenaje sanitario en las calles Naranjo, Mandarina, Chabacano, Limón, Manzano, Mango, Las Torres, Guamúchil y Capulín en la colonia Colinas del Rio, municipio de Zapopan, Jalisco. Frente 2.</t>
  </si>
  <si>
    <t>1,100 ML</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</si>
  <si>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</si>
  <si>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1,703 M2</t>
  </si>
  <si>
    <t>774 M2</t>
  </si>
  <si>
    <t xml:space="preserve">Arq. Maria Elena </t>
  </si>
  <si>
    <t xml:space="preserve">Zamago </t>
  </si>
  <si>
    <t>Osuna</t>
  </si>
  <si>
    <t>12,047 M2</t>
  </si>
  <si>
    <t>Ing. Miguel</t>
  </si>
  <si>
    <t xml:space="preserve"> Frausto </t>
  </si>
  <si>
    <t>1,504 M2</t>
  </si>
  <si>
    <t>Colonia Paseos del Sol</t>
  </si>
  <si>
    <t>14,736 M2</t>
  </si>
  <si>
    <t>Colonia Lomas del Centinela</t>
  </si>
  <si>
    <t>99 M2</t>
  </si>
  <si>
    <t>340 ML</t>
  </si>
  <si>
    <t>130 M2</t>
  </si>
  <si>
    <t>1,620 M2</t>
  </si>
  <si>
    <t>562 M2</t>
  </si>
  <si>
    <t>265 M3</t>
  </si>
  <si>
    <t>269 M3</t>
  </si>
  <si>
    <t>Colonias Constitución, El Colli y Villa de Guadalupe</t>
  </si>
  <si>
    <t>100 M2</t>
  </si>
  <si>
    <t>Colonia Atemajac del Valle</t>
  </si>
  <si>
    <t>Colonia Diaz Ordaz</t>
  </si>
  <si>
    <t>268 M3</t>
  </si>
  <si>
    <t>Colonias San Wenceslao y Villa Universitaria</t>
  </si>
  <si>
    <t>172 M3</t>
  </si>
  <si>
    <t>Colonia Loma Chica</t>
  </si>
  <si>
    <t>180 M3</t>
  </si>
  <si>
    <t>266 M3</t>
  </si>
  <si>
    <t xml:space="preserve"> Franco</t>
  </si>
  <si>
    <t>920 M2</t>
  </si>
  <si>
    <t>608 M2</t>
  </si>
  <si>
    <t>Col. Los Cajetes</t>
  </si>
  <si>
    <t>450 ML</t>
  </si>
  <si>
    <t>Arenales Tapatios</t>
  </si>
  <si>
    <t>1,063 M2</t>
  </si>
  <si>
    <t>1,335 M2</t>
  </si>
  <si>
    <t xml:space="preserve"> Peña</t>
  </si>
  <si>
    <t>Col. La Coronilla</t>
  </si>
  <si>
    <t>248 M3</t>
  </si>
  <si>
    <t>281 M3</t>
  </si>
  <si>
    <t>210 M3</t>
  </si>
  <si>
    <t>184 M3</t>
  </si>
  <si>
    <t>1,010 ML</t>
  </si>
  <si>
    <t>650 ML</t>
  </si>
  <si>
    <t>Ing. Guillermo Joel</t>
  </si>
  <si>
    <t xml:space="preserve"> Quintero </t>
  </si>
  <si>
    <t>1,045 ML</t>
  </si>
  <si>
    <t>3,205 ML</t>
  </si>
  <si>
    <t>2,122 ML</t>
  </si>
  <si>
    <t>1,709 M2</t>
  </si>
  <si>
    <t>1,897 M2</t>
  </si>
  <si>
    <t>98 ML</t>
  </si>
  <si>
    <t xml:space="preserve"> Velasco </t>
  </si>
  <si>
    <t>2,086 M2</t>
  </si>
  <si>
    <t>789 ML</t>
  </si>
  <si>
    <t>760 ML</t>
  </si>
  <si>
    <t>282 ML</t>
  </si>
  <si>
    <t>1,475 ML</t>
  </si>
  <si>
    <t>Fondo para la Infraestructura Social Municipal 2017</t>
  </si>
  <si>
    <t>Col. Lomas del Centinela 2</t>
  </si>
  <si>
    <t>740 ML</t>
  </si>
  <si>
    <t>5,692 ML</t>
  </si>
  <si>
    <t>568 M2</t>
  </si>
  <si>
    <t>16 PZA</t>
  </si>
  <si>
    <t>6 PZA</t>
  </si>
  <si>
    <t>2,640 M2</t>
  </si>
  <si>
    <t>Ing. Fernando         </t>
  </si>
  <si>
    <t>López          </t>
  </si>
  <si>
    <t>2,013 M2</t>
  </si>
  <si>
    <t>3,584 M2</t>
  </si>
  <si>
    <t xml:space="preserve"> Evangelista</t>
  </si>
  <si>
    <t>3,615 M2</t>
  </si>
  <si>
    <t>3,475 M2</t>
  </si>
  <si>
    <t>3,454 M2</t>
  </si>
  <si>
    <t>2,933 M2</t>
  </si>
  <si>
    <t>2,720 M2</t>
  </si>
  <si>
    <t>1,361 M2</t>
  </si>
  <si>
    <t>1,438 M2</t>
  </si>
  <si>
    <t>Zona de Las Mesas</t>
  </si>
  <si>
    <t>660 M2</t>
  </si>
  <si>
    <t>Cuevas</t>
  </si>
  <si>
    <t xml:space="preserve"> Murillo</t>
  </si>
  <si>
    <t>Ejido Copalita</t>
  </si>
  <si>
    <t>392 ML</t>
  </si>
  <si>
    <t>Remanentes del FAISM 2010-2015</t>
  </si>
  <si>
    <t>Colonias: La Granja, Las Agujas y Vista Hermosa</t>
  </si>
  <si>
    <t>489 ML</t>
  </si>
  <si>
    <t>Quintero</t>
  </si>
  <si>
    <t xml:space="preserve"> Padilla</t>
  </si>
  <si>
    <t>28 M2</t>
  </si>
  <si>
    <t xml:space="preserve"> Quirarte </t>
  </si>
  <si>
    <t>Colonia Miguel Hidalgo</t>
  </si>
  <si>
    <t>512 ML</t>
  </si>
  <si>
    <t>619 M2</t>
  </si>
  <si>
    <t>1,296 M2</t>
  </si>
  <si>
    <t>1,015 M2</t>
  </si>
  <si>
    <t>4,885 M2</t>
  </si>
  <si>
    <t>676 M2</t>
  </si>
  <si>
    <t>722 ML</t>
  </si>
  <si>
    <t>934 ML</t>
  </si>
  <si>
    <t>1,461 M2</t>
  </si>
  <si>
    <t>870 M2</t>
  </si>
  <si>
    <t>115 M3</t>
  </si>
  <si>
    <t>919 M2</t>
  </si>
  <si>
    <t>2,673 M2</t>
  </si>
  <si>
    <t>Cusmax 2017</t>
  </si>
  <si>
    <t>Cruz Verde Federalismo</t>
  </si>
  <si>
    <t>55 M2</t>
  </si>
  <si>
    <t>Colonia Pedregal de Zapopan</t>
  </si>
  <si>
    <t>176 M2</t>
  </si>
  <si>
    <t>Velasco</t>
  </si>
  <si>
    <t>Colonia Agrícola</t>
  </si>
  <si>
    <t>365 ML</t>
  </si>
  <si>
    <t xml:space="preserve">Ing. Alvaro </t>
  </si>
  <si>
    <t>Gutierrez</t>
  </si>
  <si>
    <t>Colonia El Mante</t>
  </si>
  <si>
    <t>82 M3</t>
  </si>
  <si>
    <t>Credito estatal 92 mdp</t>
  </si>
  <si>
    <t>297 M2</t>
  </si>
  <si>
    <t>Colonia Tepeyac</t>
  </si>
  <si>
    <t>800 ML</t>
  </si>
  <si>
    <t>Colonia Villa de los Belenes</t>
  </si>
  <si>
    <t>640 ML</t>
  </si>
  <si>
    <t>Villa               </t>
  </si>
  <si>
    <t>López    </t>
  </si>
  <si>
    <t>Mesa Colorada</t>
  </si>
  <si>
    <t>489 M2</t>
  </si>
  <si>
    <t>Colonia La Tuzania Ejidal</t>
  </si>
  <si>
    <t>1,298 M2</t>
  </si>
  <si>
    <t>Ciudad Granja</t>
  </si>
  <si>
    <t>1,201 M2</t>
  </si>
  <si>
    <t>Colonia Jarfdines de San Ignacio</t>
  </si>
  <si>
    <t>1,150 M2</t>
  </si>
  <si>
    <t>Colonia Puerta de Hierro</t>
  </si>
  <si>
    <t>Área(s) o unidad(es) administrativa(s) responsable(s) de la información: Jefatura de Informes y Control Presupuestal</t>
  </si>
  <si>
    <t>http://www.zapopan.gob.mx/wp-content/uploads/2017/06/DOPI_230_2015.pdf</t>
  </si>
  <si>
    <t>http://www.zapopan.gob.mx/wp-content/uploads/2017/06/DOPI_231_2015.pdf</t>
  </si>
  <si>
    <t>http://www.zapopan.gob.mx/wp-content/uploads/2017/06/DOPI_232_2015.pdf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</si>
  <si>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</si>
  <si>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</si>
  <si>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</si>
  <si>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</si>
  <si>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</si>
  <si>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</si>
  <si>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</si>
  <si>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</si>
  <si>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http://www.zapopan.gob.mx/wp-content/uploads/2017/06/DOPI_012_2016.pdf</t>
  </si>
  <si>
    <t>http://www.zapopan.gob.mx/wp-content/uploads/2017/05/Contrato_013_2016.pdf</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</si>
  <si>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</si>
  <si>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</si>
  <si>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</si>
  <si>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</si>
  <si>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</si>
  <si>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</si>
  <si>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</si>
  <si>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http://www.zapopan.gob.mx/wp-content/uploads/2017/06/DOPI_054_2016.pdf</t>
  </si>
  <si>
    <t>DOPI-MUN-PP-PAV-LP-055-2016</t>
  </si>
  <si>
    <t>DOPI-MUN-PP-PAV-LP-058-2016</t>
  </si>
  <si>
    <t>DOPI-MUN-PP-PAV-LP-059-2016</t>
  </si>
  <si>
    <t>DOPI-MUN-PP-PAV-LP-060-2016</t>
  </si>
  <si>
    <t>DOPI-MUN-PP-PAV-LP-061-2016</t>
  </si>
  <si>
    <t>http://www.zapopan.gob.mx/wp-content/uploads/2017/05/Contrato_064_2016.pdf</t>
  </si>
  <si>
    <t>DOPI-MUN-RM-EM-AD-068-2016</t>
  </si>
  <si>
    <t>DOPI-MUN-RM-EM-AD-069-2016</t>
  </si>
  <si>
    <t>DOPI-MUN-RM-CA-AD-070-2016</t>
  </si>
  <si>
    <t>DOPI-MUN-RM-CA-AD-071-2016</t>
  </si>
  <si>
    <t>DOPI-MUN-RM-PAV-AD-072-2016</t>
  </si>
  <si>
    <t>DOPI-MUN-RM-IM-AD-073-2016</t>
  </si>
  <si>
    <t>DOPI-MUN-RM-IM-AD-078-2016</t>
  </si>
  <si>
    <t>DOPI-MUN-RM-PROY-AD-079-2016</t>
  </si>
  <si>
    <t>DOPI-MUN-RM-MOV-AD-080-2016</t>
  </si>
  <si>
    <t>DOPI-MUN-RM-PAV-AD-081-2016</t>
  </si>
  <si>
    <t>DOPI-MUN-RM-PAV-AD-082-2016</t>
  </si>
  <si>
    <t>DOPI-FED-R23-PAV-LP-085-2016</t>
  </si>
  <si>
    <t>DOPI-FED-R23-PAV-LP-086-2016</t>
  </si>
  <si>
    <t>DOPI-FED-R23-PAV-LP-087-2016</t>
  </si>
  <si>
    <t>DOPI-FED-PR-PAV-LP-098-2016</t>
  </si>
  <si>
    <t>http://www.zapopan.gob.mx/wp-content/uploads/2017/06/DOPI_102_2016.pdf</t>
  </si>
  <si>
    <t>http://www.zapopan.gob.mx/wp-content/uploads/2017/06/DOPI_105_2016.pdf</t>
  </si>
  <si>
    <t>http://www.zapopan.gob.mx/wp-content/uploads/2017/06/DOPI_107_2016.pdf</t>
  </si>
  <si>
    <t>http://www.zapopan.gob.mx/wp-content/uploads/2017/05/Contrato_108_2016.pdf</t>
  </si>
  <si>
    <t>DOPI-EST-CR-PAV-LP-110-2016</t>
  </si>
  <si>
    <t>DOPI-EST-CR-PAV-LP-111-2016</t>
  </si>
  <si>
    <t>http://www.zapopan.gob.mx/wp-content/uploads/2017/06/DOPI_119_2016.pdf</t>
  </si>
  <si>
    <t>DOPI-MUN-RM-PAV-AD-131-2016</t>
  </si>
  <si>
    <t>DOPI-MUN-RM-PROY-AD-136-2016</t>
  </si>
  <si>
    <t>DOPI-MUN-RM-IM-AD-139-2016</t>
  </si>
  <si>
    <t>DOPI-MUN-RM-PAV-CI-151-2016</t>
  </si>
  <si>
    <t>DOPI-MUN-RM-PAV-CI-152-2016</t>
  </si>
  <si>
    <t>DOPI-MUN-RM-PAV-CI-154-2016</t>
  </si>
  <si>
    <t>DOPI-MUN-RM-IE-CI-158-2016</t>
  </si>
  <si>
    <t>DOPI-MUN-RM-PAV-AD-171-2016</t>
  </si>
  <si>
    <t>DOPI-MUN-RM-PAV-AD-181-2016</t>
  </si>
  <si>
    <t>DOPI-MUN-RM-PAV-AD-182-2016</t>
  </si>
  <si>
    <t>DOPI-MUN-RM-PROY-AD-185-2016</t>
  </si>
  <si>
    <t>DOPI-MUN-RM-IE-AD-187-2016</t>
  </si>
  <si>
    <t>DOPI-MUN-RM-PAV-CI-210-2016</t>
  </si>
  <si>
    <t>DOPI-MUN-RM-AP-AD-212-2016</t>
  </si>
  <si>
    <t>DOPI-MUN-RM-PAV-AD-218-2016</t>
  </si>
  <si>
    <t>DOPI-MUN-RM-IM-AD-220-2016</t>
  </si>
  <si>
    <t>DOPI-MUN-RM-BAN-AD-223-2016</t>
  </si>
  <si>
    <t>DOPI-MUN-RM-IM-CI-225-2016</t>
  </si>
  <si>
    <t>DOPI-MUN-RM-PAV-AD-237-2016</t>
  </si>
  <si>
    <t>DOPI-MUN-RM-IM-AD-243-2016</t>
  </si>
  <si>
    <t>DOPI-MUN-RM-PAV-AD-245-2016</t>
  </si>
  <si>
    <t>DOPI-MUN-RM-ELE-AD-248-2016</t>
  </si>
  <si>
    <t>DOPI-MUN-RM-IM-AD-272-2016</t>
  </si>
  <si>
    <t>DOPI-MUN-RM-ELE-AD-274-2016</t>
  </si>
  <si>
    <t>http://www.zapopan.gob.mx/wp-content/uploads/2017/09/014_17.pdf</t>
  </si>
  <si>
    <t>http://www.zapopan.gob.mx/wp-content/uploads/2017/09/017_17.pdf</t>
  </si>
  <si>
    <t>http://www.zapopan.gob.mx/wp-content/uploads/2017/09/027-17.pdf</t>
  </si>
  <si>
    <t>http://www.zapopan.gob.mx/wp-content/uploads/2017/09/076-17.pdf</t>
  </si>
  <si>
    <t>DOPI-MUN-CUSMAX-IU-LP-192-2017</t>
  </si>
  <si>
    <t>Construcción de Plazoleta sobre Av. Virreyes, Zona Comercial Landmark-Andares, zona Andares, primera etapa: losas de cubierta, ductería eléctrica, ajuste de geometría, adecuaciones hidrosanitarias y pluviales, municipio de Zapopan, Jalisco.</t>
  </si>
  <si>
    <t>Zona Andares</t>
  </si>
  <si>
    <t>EDWIN</t>
  </si>
  <si>
    <t>AGUIAR</t>
  </si>
  <si>
    <t>ESCATEL</t>
  </si>
  <si>
    <t>MANJARREZ URBANIZACIONES, S.A. DE C.V.</t>
  </si>
  <si>
    <t>3,975.00 M2</t>
  </si>
  <si>
    <t>Arq. Maria Elena</t>
  </si>
  <si>
    <t xml:space="preserve"> Zamago </t>
  </si>
  <si>
    <t>DOPI-MUN-CUSMAX-IU-LP-193-2017</t>
  </si>
  <si>
    <t>Construcción de Plazoleta sobre Av. Virreyes, Zona Comercial Landmark-Andares, zona Andares, segunda etapa: banquetas, accesibilidad, mobiliario urbano, iluminación y jardinería, municipio de Zapopan, Jalisco.</t>
  </si>
  <si>
    <t>JUAN JOSÉ</t>
  </si>
  <si>
    <t>GUTIÉRREZ</t>
  </si>
  <si>
    <t>CONTRERAS</t>
  </si>
  <si>
    <t>RENCOIST CONSTRUCCIÓNES, S.A. DE C.V.</t>
  </si>
  <si>
    <t>1,370.33 M2</t>
  </si>
  <si>
    <t>DOPI-MUN-CUSMAX-IU-LP-194-2017</t>
  </si>
  <si>
    <t>Sistema de retención y control de escurrimientos pluviales, Parque Novelistas, municipio de Zapopan, Jalisco.</t>
  </si>
  <si>
    <t>Colonia Jardines Vallarta</t>
  </si>
  <si>
    <t>ENRIQUE CHRISTIAN</t>
  </si>
  <si>
    <t>ANSHIRO MINAKATA</t>
  </si>
  <si>
    <t>MORENTIN</t>
  </si>
  <si>
    <t>CONSTRUCCIÓNES MIROT, S.A. DE C.V.</t>
  </si>
  <si>
    <t>CMI110222AA0</t>
  </si>
  <si>
    <t>956.47 M2</t>
  </si>
  <si>
    <t>DOPI-MUN-CUSMAX-IS-LP-195-2017</t>
  </si>
  <si>
    <t>Construcción de Centro de Atención a niños con Autismo, municipio de Zapopan, Jalisco.</t>
  </si>
  <si>
    <t>Zapopan</t>
  </si>
  <si>
    <t>ARTURO</t>
  </si>
  <si>
    <t>SARMIENTO</t>
  </si>
  <si>
    <t>SÁNCHEZ</t>
  </si>
  <si>
    <t>CONSTRUBRAVO, S.A. DE C.V.</t>
  </si>
  <si>
    <t>CON020208696</t>
  </si>
  <si>
    <t>1,941.61 M2</t>
  </si>
  <si>
    <t>DOPI-MUN-CUSMAX-IS-LP-203-2017</t>
  </si>
  <si>
    <t>Construcción de Alberca para Rehabilitación de niños con Fibrosis Muscular, municipio de Zapopan, Jalisco.</t>
  </si>
  <si>
    <t xml:space="preserve">EDUARDO </t>
  </si>
  <si>
    <t>CRUZ</t>
  </si>
  <si>
    <t>MOGUEL</t>
  </si>
  <si>
    <t>BALKEN, S.A. DE C.V.</t>
  </si>
  <si>
    <t>BAL990803661</t>
  </si>
  <si>
    <t>2,650.00 M2</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</si>
  <si>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</si>
  <si>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</si>
  <si>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Colonia Agua Blanca</t>
  </si>
  <si>
    <t>JUAN</t>
  </si>
  <si>
    <t>PADILLA</t>
  </si>
  <si>
    <t>AILHAUD</t>
  </si>
  <si>
    <t>TRAMA CONSTRUCTORA Y MAQUINARIA, S.A. DE C.V.</t>
  </si>
  <si>
    <t>TCM0111148H5</t>
  </si>
  <si>
    <t>1,051.32 M2</t>
  </si>
  <si>
    <t>Arq. Daniel                 </t>
  </si>
  <si>
    <t>Covarrubias  </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</si>
  <si>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</si>
  <si>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</si>
  <si>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Colonia Lomas de la Primavera</t>
  </si>
  <si>
    <t xml:space="preserve">NÉSTOR </t>
  </si>
  <si>
    <t>DE LA TORRE</t>
  </si>
  <si>
    <t>MENCHACA</t>
  </si>
  <si>
    <t>INGENIEROS DE LA TORRE, S.A. DE C.V.</t>
  </si>
  <si>
    <t>ITO951005HY5</t>
  </si>
  <si>
    <t>985.00 ML</t>
  </si>
  <si>
    <t>DOPI-MUN-RM-IM-CI-218-2017</t>
  </si>
  <si>
    <t>Construcción de puente peatonal en López Mateos Sur – El Campanario, municipio de Zapopan, Jalisco.</t>
  </si>
  <si>
    <t>Colonia El Campanario</t>
  </si>
  <si>
    <t>CORTES</t>
  </si>
  <si>
    <t>ALARCON</t>
  </si>
  <si>
    <t>DISTRIBUIDORA CORALCO, S.A. DE C.V.</t>
  </si>
  <si>
    <t>DCO160318SK7</t>
  </si>
  <si>
    <t>585.92 M2</t>
  </si>
  <si>
    <t>DOPI-MUN-FORTA-IM-CI-219-2017</t>
  </si>
  <si>
    <t>Obra complementaria en la rehabilitación de la Cruz Verde Las Águilas, ubicada en Av. López Mateos y calle Cruz del Sur, en la colonia Las Águilas, municipio de Zapopan, Jalisco.</t>
  </si>
  <si>
    <t>PLASCENCIA</t>
  </si>
  <si>
    <t>MACIAS</t>
  </si>
  <si>
    <t>CONSTRUCTORA Y EDIFICADORA PLASMA, S.A. DE C.V.</t>
  </si>
  <si>
    <t>CEP080129EK6</t>
  </si>
  <si>
    <t>1,232.00 M2</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</si>
  <si>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</si>
  <si>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</si>
  <si>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Diversas Colonias</t>
  </si>
  <si>
    <t>JOSÉ ANTONIO</t>
  </si>
  <si>
    <t>ÁLVAREZ</t>
  </si>
  <si>
    <t>ZULOAGA</t>
  </si>
  <si>
    <t>GRUPO DESARROLLADOR ALZU, S.A. DE C.V.</t>
  </si>
  <si>
    <t>GDA150928286</t>
  </si>
  <si>
    <t>1,435.29 M2</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</si>
  <si>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</si>
  <si>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</si>
  <si>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BOJORQUEZ</t>
  </si>
  <si>
    <t>RIZO</t>
  </si>
  <si>
    <t>EDIFICACIONES Y CONSTRUCCIÓNES LEALES, S.A. DE C.V.</t>
  </si>
  <si>
    <t>ECL1301313F1</t>
  </si>
  <si>
    <t>1,675.59 M2</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</si>
  <si>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</si>
  <si>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</si>
  <si>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 xml:space="preserve">MARCO ANTONIO </t>
  </si>
  <si>
    <t>LOZANO</t>
  </si>
  <si>
    <t>ESTRADA</t>
  </si>
  <si>
    <t>DESARROLLADORA FULHAM S. DE R.L. DE C.V.</t>
  </si>
  <si>
    <t>DFU090928JB5</t>
  </si>
  <si>
    <t>1,023.75 M2</t>
  </si>
  <si>
    <t>DOPI-MUN-CUSMAX-DS-CI-224-2017</t>
  </si>
  <si>
    <t>Construcción de Colector Pluvial en La Venta del Astillero, frente 1, municipio de Zapopan, Jalisco.</t>
  </si>
  <si>
    <t>Localidad La Venta del Astillero</t>
  </si>
  <si>
    <t>SERGIO ALBERTO</t>
  </si>
  <si>
    <t>BAYLON</t>
  </si>
  <si>
    <t>MORENO</t>
  </si>
  <si>
    <t>EDIFICACIONES ESTRUCTURALES COBAY, S.A. DE C.V.</t>
  </si>
  <si>
    <t>952.15 ML</t>
  </si>
  <si>
    <t>DOPI-MUN-CUSMAX-DS-CI-225-2017</t>
  </si>
  <si>
    <t>Construcción de Colector Pluvial en La Venta del Astillero, frente 2, municipio de Zapopan, Jalisco.</t>
  </si>
  <si>
    <t xml:space="preserve"> BERNARDO </t>
  </si>
  <si>
    <t xml:space="preserve">SAENZ </t>
  </si>
  <si>
    <t>BARBA</t>
  </si>
  <si>
    <t>GRUPO EDIFICADOR MAYAB, S.A. DE C.V.</t>
  </si>
  <si>
    <t>835.81 ML</t>
  </si>
  <si>
    <t>DOPI-MUN-CUSMAX-BAN-CI-226-2017</t>
  </si>
  <si>
    <t>Primera etapa de la peatonalización en la colonia Chapalita de Occidente (incluye: machuelos, banquetas, accesibilidad universal, bolardos y nomenclatura), municipio de Zapopan, Jalisco.</t>
  </si>
  <si>
    <t>Colonia Chapalita de Occidente</t>
  </si>
  <si>
    <t>ADALBERTO</t>
  </si>
  <si>
    <t>MEDINA</t>
  </si>
  <si>
    <t>MORALES</t>
  </si>
  <si>
    <t>URDEM, S.A. DE C.V.</t>
  </si>
  <si>
    <t>URD130830U21</t>
  </si>
  <si>
    <t>1,581.66 M2</t>
  </si>
  <si>
    <t>DOPI-MUN-CUSMAX-BAN-CI-227-2017</t>
  </si>
  <si>
    <t>Primera etapa de la peatonalización en la colonia Jardines de Guadalupe (incluye: machuelos, banquetas, accesibilidad universal, bolardos y nomenclatura), municipio de Zapopan, Jalisco.</t>
  </si>
  <si>
    <t>Colonia Jardines de Guadalupe</t>
  </si>
  <si>
    <t xml:space="preserve">GUILLERMO ALBERTO </t>
  </si>
  <si>
    <t>RODRÍGUEZ</t>
  </si>
  <si>
    <t>ALLENDE</t>
  </si>
  <si>
    <t>GRUPO CONSTRUCTOR MR DE JALISCO S.A. DE C.V.</t>
  </si>
  <si>
    <t>1,369.44 M2</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</si>
  <si>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</si>
  <si>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</si>
  <si>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CARLOS</t>
  </si>
  <si>
    <t>PÉREZ</t>
  </si>
  <si>
    <t>CONSTRUCTORA PECRU, S.A. DE C.V.</t>
  </si>
  <si>
    <t>CPE070123PD4</t>
  </si>
  <si>
    <t>18,735.50 M2</t>
  </si>
  <si>
    <t>DOPI-MUN-CUSMAX-BAN-AD-232-2017</t>
  </si>
  <si>
    <t>Primera etapa de la peatonalización en la colonia Los Pinos (incluye: machuelos, banquetas, accesibilidad universal, bolardos y nomenclatura).</t>
  </si>
  <si>
    <t>Colonia Los Pinos</t>
  </si>
  <si>
    <t>ELIZABETH GUADALUPE</t>
  </si>
  <si>
    <t>LÓPEZ</t>
  </si>
  <si>
    <t>SKIP EDIFICACIONES, S.A. DE C.V.</t>
  </si>
  <si>
    <t>SED080712SJ7</t>
  </si>
  <si>
    <t>1186.00 M2</t>
  </si>
  <si>
    <t>DOPI-MUN-CUSMAX-BAN-AD-233-2017</t>
  </si>
  <si>
    <t>Primera etapa de la peatonalización en la colonia Hacienda de las Lomas (incluye: machuelos, banquetas, accesibilidad universal, bolardos y nomenclatura).</t>
  </si>
  <si>
    <t>Colonia Hacienda de las Lomas</t>
  </si>
  <si>
    <t>ROBERTO</t>
  </si>
  <si>
    <t>FLORES</t>
  </si>
  <si>
    <t>ARREOLA</t>
  </si>
  <si>
    <t>ESTUDIOS SISTEMAS Y CONSTRUCCIÓNES, S.A. DE C.V.</t>
  </si>
  <si>
    <t>ESC930617KW9</t>
  </si>
  <si>
    <t>1,194.00 M2</t>
  </si>
  <si>
    <t>Arq. Daniel            </t>
  </si>
  <si>
    <t xml:space="preserve"> Torres       </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</si>
  <si>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</si>
  <si>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</si>
  <si>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ELVIA ALEJANDRA</t>
  </si>
  <si>
    <t>TORRES</t>
  </si>
  <si>
    <t>VILLA</t>
  </si>
  <si>
    <t>PROCOURZA, S.A. DE C.V.</t>
  </si>
  <si>
    <t>PRO0205208F2</t>
  </si>
  <si>
    <t>2,856.00 M2</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</si>
  <si>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</si>
  <si>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</si>
  <si>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</si>
  <si>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</si>
  <si>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</si>
  <si>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</si>
  <si>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</si>
  <si>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</si>
  <si>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</si>
  <si>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Colonia Rinconada del Sol</t>
  </si>
  <si>
    <t>1,510.01 M2</t>
  </si>
  <si>
    <t>DOPI-MUN-CUSMAX-BAN-CI-238-2017</t>
  </si>
  <si>
    <t>Primera etapa de la peatonalización en las colonias Loma Bonita, Loma Bonita Sur y Rinconada de la Calma (incluye: machuelos, banquetas, accesibilidad universal, bolardos y nomenclatura), municipio de Zapopan, Jalisco.</t>
  </si>
  <si>
    <t>Colonias Loma Bonita, Loma Bonita Sur y Rinconada de la Calma</t>
  </si>
  <si>
    <t xml:space="preserve">ARTURO </t>
  </si>
  <si>
    <t>MONTUFAR</t>
  </si>
  <si>
    <t>NUÑEZ</t>
  </si>
  <si>
    <t>VELERO PAVIMENTACION Y CONSTRUCCIÓN S.A. DE C.V.</t>
  </si>
  <si>
    <t>1,941.69 M2</t>
  </si>
  <si>
    <t>DOPI-MUN-CUSMAX-ID-CI-239-2017</t>
  </si>
  <si>
    <t>Construcción de cancha de Futbol Americano, en la Unidad Deportiva Tabachines, municipio de Zapopan, Jalisco.</t>
  </si>
  <si>
    <t>Colonia Tabachines</t>
  </si>
  <si>
    <t>JAIME FERNANDO</t>
  </si>
  <si>
    <t>INOVACIONES EN MOBILIARIO URBANO S.A. DE C.V.</t>
  </si>
  <si>
    <t>IMU120820NM7</t>
  </si>
  <si>
    <t>4,778.50 M2</t>
  </si>
  <si>
    <t>DOPI-MUN-RM-BAN-AD-241-2017</t>
  </si>
  <si>
    <t>Restauración de banquetas a base de piedra sangre de pichón en el ingreso posterior de la Presidencial Municipal, municipio de Zapopan, Jalisco, primera etapa.</t>
  </si>
  <si>
    <t xml:space="preserve">RAFAEL </t>
  </si>
  <si>
    <t>OROZCO</t>
  </si>
  <si>
    <t>MARTÍNEZ</t>
  </si>
  <si>
    <t>CEELE CONSTRUCCIÓNES, S.A. DE C.V.</t>
  </si>
  <si>
    <t>CCO020123366</t>
  </si>
  <si>
    <t>120.20 M2</t>
  </si>
  <si>
    <t>DOPI-MUN-R33R-IS-AD-242-2017</t>
  </si>
  <si>
    <t>Construcción de red de drenaje en privada Ignacio Sandoval, en la colonia La Tarjea, municipio de Zapopan, Jalisco.</t>
  </si>
  <si>
    <t>Colonia La Tarjea</t>
  </si>
  <si>
    <t>J. JESÚS</t>
  </si>
  <si>
    <t>VILLANUEVA</t>
  </si>
  <si>
    <t>CONSTRUCCIONES COVIMEX, S.A. DE C.V.</t>
  </si>
  <si>
    <t>CCO0404226D8</t>
  </si>
  <si>
    <t>134.13 ML</t>
  </si>
  <si>
    <t>DOPI-MUN-R33R-IH-AD-243-2017</t>
  </si>
  <si>
    <t>Construcción de red de drenaje en calle Las Palmas de calle Los Pinos calle Sauce en la colonia El Álamo, municipio de Zapopan, Jalisco.</t>
  </si>
  <si>
    <t>Colonia El Alamo</t>
  </si>
  <si>
    <t>348.00 ML</t>
  </si>
  <si>
    <t>DOPI-MUN-RM-MOV-AD-244-2017</t>
  </si>
  <si>
    <t>Señalización vertical y horizontal en diferentes zonas del municipio de Zapopan, Jalisco, frente 1.</t>
  </si>
  <si>
    <t xml:space="preserve">HUGO RAFAEL </t>
  </si>
  <si>
    <t>CABRERA</t>
  </si>
  <si>
    <t>ORTINEZ</t>
  </si>
  <si>
    <t>HUGO RAFAEL CABRERA ORTINEZ</t>
  </si>
  <si>
    <t>CAOH671024T38</t>
  </si>
  <si>
    <t>1,210.23 M2</t>
  </si>
  <si>
    <t>DOPI-MUN-RM-PROY-AD-245-2017</t>
  </si>
  <si>
    <t>Elaboración de proyecto ejecutivo para la construcción de alberca para rehabilitación de niños con fibrosis muscular, municipio de Zapopan, Jalisco.</t>
  </si>
  <si>
    <t>RICARDO</t>
  </si>
  <si>
    <t>GONZÁLEZ</t>
  </si>
  <si>
    <t>CARRANZA</t>
  </si>
  <si>
    <t>RICARDO GONZÁLEZ CARRANZA</t>
  </si>
  <si>
    <t>GOCR801106234</t>
  </si>
  <si>
    <t>DOPI-MUN-RM-IM-AD-246-2017</t>
  </si>
  <si>
    <t>Remodelación de módulos de baño, construcción de caseta de ingreso y de área de estacionamiento en las oficinas de catastro ubicadas sobre Periférico Norte y Parres Arias, colonia Parque Industrial Los Belenes, municipio de Zapopan, Jalisco.</t>
  </si>
  <si>
    <t>Colonia Parque Industrial Los Belenes</t>
  </si>
  <si>
    <t>JESÚS SOCRATES</t>
  </si>
  <si>
    <t>ZATARAIN</t>
  </si>
  <si>
    <t>JESÚS SOCRATES ZATARIN OROZCO</t>
  </si>
  <si>
    <t>ZAOJ8703019N0</t>
  </si>
  <si>
    <t>512.00 M2</t>
  </si>
  <si>
    <t>DOPI-MUN-R33R-AP-AD-247-2017</t>
  </si>
  <si>
    <t>Construcción de red de agua potable en la calle Fresno, de la calle Eucalipto a calle Encino, y calle Ciprés de la calle de los Ocotes a cerrada, en la colonia Lomas del Centinela, municipio de Zapopan, Jalisco.</t>
  </si>
  <si>
    <t>MARÍA DE LOURDES</t>
  </si>
  <si>
    <t>PARRA</t>
  </si>
  <si>
    <t>PRECIADO</t>
  </si>
  <si>
    <t>CONSTRUCTORA CARVGO, S.A. DE C.V.</t>
  </si>
  <si>
    <t>CCA121113SY9</t>
  </si>
  <si>
    <t>320.08 ML</t>
  </si>
  <si>
    <t>DOPI-MUN-RM-IM-AD-248-2017</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</si>
  <si>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</si>
  <si>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Localidad Venta del Astillero y Atemajac</t>
  </si>
  <si>
    <t>JOSÉ OMAR</t>
  </si>
  <si>
    <t>FERNÁNDEZ</t>
  </si>
  <si>
    <t>VÁZQUEZ</t>
  </si>
  <si>
    <t>JOSÉ OMAR FERNÁNDEZ VÁZQUEZ</t>
  </si>
  <si>
    <t>FEVO740619686</t>
  </si>
  <si>
    <t>18.00 M2</t>
  </si>
  <si>
    <t>DOPI-MUN-R33R-ELE-AD-252-2017</t>
  </si>
  <si>
    <t>Electrificación en las calles Sauce, Ceiba, Pirul y Santa Lucía en la colonia Jardines del Álamo, municipio de Zapopan, Jalisco.</t>
  </si>
  <si>
    <t>Colonia Jardines del Álamo</t>
  </si>
  <si>
    <t>JOSÉ DE JESÚS</t>
  </si>
  <si>
    <t>PALAFOX</t>
  </si>
  <si>
    <t>VILLEGAS</t>
  </si>
  <si>
    <t>MEGAENLACE CONSTRUCCIÓNES S.A. DE C.V.</t>
  </si>
  <si>
    <t>MCO1510113H8</t>
  </si>
  <si>
    <t>206.00 ML</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</si>
  <si>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</si>
  <si>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</si>
  <si>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MARQUEZ</t>
  </si>
  <si>
    <t>ÁVILA</t>
  </si>
  <si>
    <t>FUTUROBRAS, S.A. DE C.V.</t>
  </si>
  <si>
    <t>FUT1110275V9</t>
  </si>
  <si>
    <t>250.00 ML</t>
  </si>
  <si>
    <t>DOPI-MUN-RM-BAN-CI-267-2017</t>
  </si>
  <si>
    <t>Peatonalización en la Colonia Loma Bonita Residencial, incluye: machuelos, banquetas, accesibilidad, bolardos y nomenclatura, municipio de Zapopan, Jalisco.</t>
  </si>
  <si>
    <t>Colonia Loma Bonita Residencial</t>
  </si>
  <si>
    <t xml:space="preserve">GUILLERMO </t>
  </si>
  <si>
    <t>MEZA</t>
  </si>
  <si>
    <t>CORPORATIVO ALMIRA DE JALISCO, S.A. DE C.V.</t>
  </si>
  <si>
    <t>CAJ1208151M8</t>
  </si>
  <si>
    <t>1,653.81 M2</t>
  </si>
  <si>
    <t>DOPI-MUN-RM-PAV-CI-268-2017</t>
  </si>
  <si>
    <t>Construcción de pavimento de concreto hidráulico, banquetas, adecuaciones de la red sanitaria e hidráulica, en la Av. D, colonia El Tigre II, municipio de Zapopan, Jalisco, tramo 3.</t>
  </si>
  <si>
    <t>JOEL</t>
  </si>
  <si>
    <t>ACEVES</t>
  </si>
  <si>
    <t>TASUM SOLUCIONES EN CONSTRUCCIÓN, S.A. DE C.V.</t>
  </si>
  <si>
    <t>TSC100210E48</t>
  </si>
  <si>
    <t>2,670.00 M2</t>
  </si>
  <si>
    <t>DOPI-MUN-CUSMAX-BAN-CI-269-2017</t>
  </si>
  <si>
    <t>Primera etapa de la peatonalización en la colonia Residencial Victoria (incluye: machuelos, banquetas, accesibilidad universal, bolardos y nomenclatura), municipio de Zapopan, Jalisco.</t>
  </si>
  <si>
    <t>Colonia Residencial Victoria</t>
  </si>
  <si>
    <t>HÉCTOR MARIO</t>
  </si>
  <si>
    <t>GÓMEZ</t>
  </si>
  <si>
    <t>GALVARRIATO FREER</t>
  </si>
  <si>
    <t>ESPECIALISTAS EN ACABADOS PROFESIONALES, S.A DE C.V.</t>
  </si>
  <si>
    <t>EAP000106BW7</t>
  </si>
  <si>
    <t>1,402.53 M2</t>
  </si>
  <si>
    <t>DOPI-MUN-PP-IU-CI-270-2017</t>
  </si>
  <si>
    <t>Rehabilitación del área infantil del Parque Villa Fantasía, municipio de Zapopan, Jalisco. Primera Etapa.</t>
  </si>
  <si>
    <t>Presupuesto Participativo</t>
  </si>
  <si>
    <t>JORGE ALFREDO</t>
  </si>
  <si>
    <t>OCHOA</t>
  </si>
  <si>
    <t>AEDIFICANT, S.A. DE C.V.</t>
  </si>
  <si>
    <t>AED890925181</t>
  </si>
  <si>
    <t>1,896.15 M2</t>
  </si>
  <si>
    <t>DOPI-MUN-CUSMAX-PAV-CI-271-2017</t>
  </si>
  <si>
    <t>Construcción de Puente Vehicular Colonia La Higuera, municipio de Zapopan, Jalisco.</t>
  </si>
  <si>
    <t>Colonia La Higuera</t>
  </si>
  <si>
    <t>VICTOR</t>
  </si>
  <si>
    <t>ZAYAS</t>
  </si>
  <si>
    <t>RIQUELME</t>
  </si>
  <si>
    <t>GEMINIS INTERNACIONAL CONSTRUCTORA, S.A. DE C.V.</t>
  </si>
  <si>
    <t>GIC810323RA6</t>
  </si>
  <si>
    <t>872.01 M2</t>
  </si>
  <si>
    <t>DOPI-MUN-CUSMAX-PAV-CI-272-2017</t>
  </si>
  <si>
    <t>Construcción de crucero seguro en Av. Acueducto y Av. Real Acueducto, municipio de Zapopan, Jalisco.</t>
  </si>
  <si>
    <t>950.24 M2</t>
  </si>
  <si>
    <t>DOPI-MUN-RM-PAV-AD-273-2017</t>
  </si>
  <si>
    <t>Construcción de pavimento de concreto hidráulico, incluye: agua potable, alcantarillado, guarniciones, banquetas, accesibilidad, servicios complementarios y forestación, en la prolongación Naranjos, colonia Rancho El Centinela, municipio de Zapopan, Jalisco.</t>
  </si>
  <si>
    <t>Colonia Rancho El Centinela</t>
  </si>
  <si>
    <t>JUAN RAMÓN</t>
  </si>
  <si>
    <t>RAMÍREZ</t>
  </si>
  <si>
    <t>ALATORRE</t>
  </si>
  <si>
    <t>QUERCUS GEOSOLUCIONES, S.A. DE C.V.</t>
  </si>
  <si>
    <t>QGE080213988</t>
  </si>
  <si>
    <t>828.00 M2</t>
  </si>
  <si>
    <t>DOPI-MUN-RM-IH-AD-276-2017</t>
  </si>
  <si>
    <t>Construcción de sistema pluvial a base de bocas de tormenta y pozo de infiltración, en diferentes zonas del municipio de Zapopan, Jalisco, primera etapa.</t>
  </si>
  <si>
    <t>SERGIO</t>
  </si>
  <si>
    <t>HERNÁNDEZ</t>
  </si>
  <si>
    <t>RUÍZ</t>
  </si>
  <si>
    <t>RIVERA CONSTRUCCIÓNES, S.A. DE C.V.</t>
  </si>
  <si>
    <t>RCO820921T66</t>
  </si>
  <si>
    <t>8 PZA</t>
  </si>
  <si>
    <t>DOPI-MUN-RM-IM-AD-277-2017</t>
  </si>
  <si>
    <t>Trabajos de albañilería, herrería, instalaciones eléctricas, hidrosanitarias y de gas, en el Centro de Desarrollo Infantil No. 8 María Jaime Franco, ubicado en la localidad de Santa Ana Tepetitlán, municipio de Zapopan, Jalisco.</t>
  </si>
  <si>
    <t>Localidad de Santa Ana Tepetitlán</t>
  </si>
  <si>
    <t>ARREGUIN</t>
  </si>
  <si>
    <t>RENTERIA</t>
  </si>
  <si>
    <t xml:space="preserve">ARH DESARROLLOS INMOBILIARIOS, S.A. DE C.V. </t>
  </si>
  <si>
    <t>265.00 M2</t>
  </si>
  <si>
    <t>Arq. Gerardo</t>
  </si>
  <si>
    <t xml:space="preserve"> Arceo </t>
  </si>
  <si>
    <t>DOPI-MUN-RM-SERV-AD-278-2017</t>
  </si>
  <si>
    <t>Elaboración de dictámenes estructurales y levantamientos arquitectónicos de diferentes Centros de Desarrollo Infantil del DIF, municipio de Zapopan, Jalisco.</t>
  </si>
  <si>
    <t>ANDRÉS</t>
  </si>
  <si>
    <t>ESCOBEDO</t>
  </si>
  <si>
    <t>ANDRÉS ESCOBEDO LÓPEZ</t>
  </si>
  <si>
    <t>EOLA770418BX6</t>
  </si>
  <si>
    <t>DOPI-MUN-RM-SERV-AD-279-2017</t>
  </si>
  <si>
    <t>Estudios básicos topográficos para diferentes proyectos 2017, frente 2, del municipio de Zapopan, Jalisco.</t>
  </si>
  <si>
    <t>GABRIEL</t>
  </si>
  <si>
    <t xml:space="preserve">FRANCO </t>
  </si>
  <si>
    <t>CONSTRUCTORA DE OCCIDENTE MS, S.A. DE C.V.</t>
  </si>
  <si>
    <t>DOPI-MUN-CUSMAX-PROY-AD-280-2017</t>
  </si>
  <si>
    <t>Elaboración de proyectos arquitectónicos para diferentes obras del programa Cusmax 2017, frente 2, municipio de Zapopan, Jalisco.</t>
  </si>
  <si>
    <t>CISNEROS</t>
  </si>
  <si>
    <t>CASTILLO</t>
  </si>
  <si>
    <t>AXIOMA PROYECTOS E INGENIERIA, S.A. DE C.V.</t>
  </si>
  <si>
    <t>DOPI-MUN-PP-PAV-LP-254-2017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</si>
  <si>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</si>
  <si>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IGNACIO JAVIER</t>
  </si>
  <si>
    <t>CURIEL</t>
  </si>
  <si>
    <t>DUEÑAS</t>
  </si>
  <si>
    <t>TC CONSTRUCCIÓN Y MANTENIMIENTO, S.A. DE C.V.</t>
  </si>
  <si>
    <t>7,316 M2</t>
  </si>
  <si>
    <t>Ing. Fernando </t>
  </si>
  <si>
    <t xml:space="preserve"> Villa </t>
  </si>
  <si>
    <t>DOPI-MUN-PP-PAV-LP-255-2017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</si>
  <si>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</si>
  <si>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DOPI-MUN-PP-PAV-LP-256-2017</t>
  </si>
  <si>
    <t>Pavimentación con concreto hidráulico de los carriles centrales en la Av. López Mateos en el tramo de Av. Copérnico a la Av. La Giralda, incluye: infraestructura hidráulica, municipio de Zapopan, Jalisco.</t>
  </si>
  <si>
    <t>Colonia La Calma</t>
  </si>
  <si>
    <t>ANA KARINA</t>
  </si>
  <si>
    <t>OJEDA</t>
  </si>
  <si>
    <t>FERRELL</t>
  </si>
  <si>
    <t>KP CONSTRUCTORA E INMOBILIARIA, S.A. DE C.V.</t>
  </si>
  <si>
    <t>KCI120928CD5</t>
  </si>
  <si>
    <t>13,920 M2</t>
  </si>
  <si>
    <t>DOPI-MUN-PP-PAV-LP-257-2017</t>
  </si>
  <si>
    <t>Pavimentación con concreto hidráulico de los carriles centrales en la Av. López Mateos en el tramo de Av. La Giralda al límite municipal, incluye: infraestructura hidráulica, municipio de Zapopan, Jalisco.</t>
  </si>
  <si>
    <t>ALEJANDRO</t>
  </si>
  <si>
    <t>GUEVARA</t>
  </si>
  <si>
    <t>CASTELLANOS</t>
  </si>
  <si>
    <t>URBANIZACION Y CONSTRUCCIÓN AVANZADA, S.A. DE C.V.</t>
  </si>
  <si>
    <t>UCA0207107X6</t>
  </si>
  <si>
    <t>12,112 M2</t>
  </si>
  <si>
    <t>DOPI-MUN-CUSMAX-PAV-LP-258-2017</t>
  </si>
  <si>
    <t>Construcción de crucero seguro en Av. Patria con Av. Puerta de Hierro - San Florencio -Paseo Royal Country, municipio de Zapopan, Jalisco.</t>
  </si>
  <si>
    <t>Colonia San Bernardo</t>
  </si>
  <si>
    <t>OMAR</t>
  </si>
  <si>
    <t>MORA</t>
  </si>
  <si>
    <t>MONTES DE OCA</t>
  </si>
  <si>
    <t>DOMMONT CONSTRUCCIÓNES, S.A. DE C.V.</t>
  </si>
  <si>
    <t>3,608 M2</t>
  </si>
  <si>
    <t>DOPI-MUN-RM-PAV-LP-259-2017</t>
  </si>
  <si>
    <t>Pavimentación de vialidad Eva Briseño, incluye: guarniciones, banquetas, red de agua potable y alcantarillado y servicios complementarios, en la colonia Santa Fe, municipio de Zapopan, Jalisco. Frente 1.</t>
  </si>
  <si>
    <t>ALEX</t>
  </si>
  <si>
    <t>MEDGAR CONSTRUCCIONES, S.A. DE C.V.</t>
  </si>
  <si>
    <t>MCO150527NY3</t>
  </si>
  <si>
    <t>3,013 M2</t>
  </si>
  <si>
    <t>DOPI-MUN-RM-PAV-LP-260-2017</t>
  </si>
  <si>
    <t>Pavimentación de vialidad Eva Briseño, incluye: guarniciones, banquetas, red de agua potable y alcantarillado y servicios complementarios, en la colonia Santa Fe, municipio de Zapopan, Jalisco. Frente 2.</t>
  </si>
  <si>
    <t>DOPI-MUN-RM-PAV-LP-261-2017</t>
  </si>
  <si>
    <t>Pavimentación de vialidad Eva Briseño, incluye: guarniciones, banquetas, red de agua potable y alcantarillado y servicios complementarios, en la colonia Santa Fe, municipio de Zapopan, Jalisco. Frente 3.</t>
  </si>
  <si>
    <t>CARLOS IGNACIO</t>
  </si>
  <si>
    <t>CONSTRUCTORA CECUCHI, S.A. DE C.V.</t>
  </si>
  <si>
    <t>CCE130723IR7</t>
  </si>
  <si>
    <t>DOPI-MUN-RM-PAV-LP-262-2017</t>
  </si>
  <si>
    <t>Pavimentación de vialidad 5 de Mayo de Av. Aviación hacía camino Real a Zapopan, incluye: guarniciones, banquetas, red de agua potable y alcantarillado y servicios complementarios, en la colonia San Juan de Ocotán, municipio de Zapopan, Jalisco. Frente 1.</t>
  </si>
  <si>
    <t>HAYDEE LILIANA</t>
  </si>
  <si>
    <t>AGUILAR</t>
  </si>
  <si>
    <t>CASSIAN</t>
  </si>
  <si>
    <t>EDIFICA 2001, S.A. DE C.V.</t>
  </si>
  <si>
    <t>EDM970225I68</t>
  </si>
  <si>
    <t>3,372 M2</t>
  </si>
  <si>
    <t>DOPI-MUN-CUSMAX-BAN-AD-281-2017</t>
  </si>
  <si>
    <t>Primera etapa de la peatonalización en la colonia Hacienda de las Lomas (incluye: machuelos, banquetas, accesibilidad universal, bolardos y nomenclatura), municipio de Zapopan, Jalisco.</t>
  </si>
  <si>
    <t>Colonia Hacienda la Herradura</t>
  </si>
  <si>
    <t>1,264 M2</t>
  </si>
  <si>
    <t>DOPI-MUN-PP-ID-CI-284-2017</t>
  </si>
  <si>
    <t>Rehabilitación de las instalaciones y equipamiento deportivo de la Unidad Deportiva Santa Margarita (La Tuzania), ubicada en Av. Periférico Norponiente, municipio de Zapopan, Jalisco.</t>
  </si>
  <si>
    <t>MARÍA ARCELIA</t>
  </si>
  <si>
    <t>IÑIGUEZ</t>
  </si>
  <si>
    <t>INFRAESTRUCTURA RHINO77, S.A. DE C.V.</t>
  </si>
  <si>
    <t>IRH140924LX3</t>
  </si>
  <si>
    <t>464 M2</t>
  </si>
  <si>
    <t>DOPI-MUN-RM-RS-CI-285-2017</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</si>
  <si>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</si>
  <si>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HÉCTOR</t>
  </si>
  <si>
    <t>GAYTAN</t>
  </si>
  <si>
    <t>GALICIA</t>
  </si>
  <si>
    <t>SECOI CONSTRUCCIÓNES Y SERVICIOS , S.A. DE C.V.</t>
  </si>
  <si>
    <t>SCS1301173MA</t>
  </si>
  <si>
    <t>DOPI-MUN-RM-PAV-CI-286-2017</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</si>
  <si>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</si>
  <si>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SANDOVAL</t>
  </si>
  <si>
    <t>ALONSO</t>
  </si>
  <si>
    <t>CONSTRUCTORES  RCS S.A. DE C.V.</t>
  </si>
  <si>
    <t>CRC091106EUA</t>
  </si>
  <si>
    <t>1,365 M2</t>
  </si>
  <si>
    <t>DOPI-MUN-RM-PAV-CI-287-2017</t>
  </si>
  <si>
    <t>Pavimentación con concreto hidráulico de privada Atotonilco, de Av. Aviación al ingreso al fraccionamiento Misión del Valle, incluye: Agua potable, drenaje sanitario, guarniciones, banquetas y alumbrado público, colonia Nuevo México, municipio de Zapopan, Jalisco.</t>
  </si>
  <si>
    <t>MARTÍN ALEJANDRO</t>
  </si>
  <si>
    <t>DIEZ MARINA</t>
  </si>
  <si>
    <t>INZUNZA</t>
  </si>
  <si>
    <t>URBANIZACIONES INZUNZA, S.A. DE C.V.</t>
  </si>
  <si>
    <t>UNI1201115M6</t>
  </si>
  <si>
    <t>4,098 M2</t>
  </si>
  <si>
    <t>DOPI-MUN-RM-PAV-CI-288-2017</t>
  </si>
  <si>
    <t>Pavimentación con concreto hidráulico de la calle Morelos, de calle Leona Vicario a calle Zaragoza, incluye: Agua potable, drenaje sanitario, guarniciones, banquetas y alumbrado público, en la localidad de Nextipac, municipio de Zapopan, Jalisco.</t>
  </si>
  <si>
    <t>AMALIA</t>
  </si>
  <si>
    <t>MALDONADO</t>
  </si>
  <si>
    <t>GRUPO CONSTRUCTOR LOS MUROS, S.A. DE C.V.</t>
  </si>
  <si>
    <t>GCM020226F28</t>
  </si>
  <si>
    <t>3,892 M2</t>
  </si>
  <si>
    <t>DOPI-MUN-RM-PAV-CI-290-2017</t>
  </si>
  <si>
    <t>Pavimentación con concreto hidráulico de calle Venustiano Carranza, de calle 2 a Av. Copalita, incluye: Agua potable, drenaje sanitario, guarniciones, banquetas  y alumbrado público, en la colonia Vicente Guerrero, municipio de Zapopan, Jalisco.</t>
  </si>
  <si>
    <t>JESÚS DAVID</t>
  </si>
  <si>
    <t xml:space="preserve">GARZA </t>
  </si>
  <si>
    <t>GARCÍA</t>
  </si>
  <si>
    <t>CONSTRUCCIÓNES  ELECTRIFICACIONES Y ARRENDAMIENTO DE MAQUINARIA S.A. DE C.V.</t>
  </si>
  <si>
    <t>CEA010615GT0</t>
  </si>
  <si>
    <t>1,560 M2</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</si>
  <si>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</si>
  <si>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</si>
  <si>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Colonias La Tuzania Ejidal,  Tuzania, La Casita, Las Bóvedas y Santa Margarita Residencial</t>
  </si>
  <si>
    <t>JOSÉ</t>
  </si>
  <si>
    <t xml:space="preserve">GUILLEN </t>
  </si>
  <si>
    <t xml:space="preserve">DÍAZ  </t>
  </si>
  <si>
    <t>SERVICIOS PROFESIONALES PARA LA CONSTRUCCIÓN DE OCCIDENTE, S.A. DE C.V.</t>
  </si>
  <si>
    <t>3,158 M2</t>
  </si>
  <si>
    <t>DOPI-MUN-RM-PAV-CI-292-2017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</si>
  <si>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</si>
  <si>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 xml:space="preserve">CASTILLO </t>
  </si>
  <si>
    <t>MAPA OBRAS Y PAVIMENTOS, S.A. DE C.V.</t>
  </si>
  <si>
    <t>1,230 M2</t>
  </si>
  <si>
    <t>DOPI-MUN-RM-PAV-CI-293-2017</t>
  </si>
  <si>
    <t>Pavimentación con concreto hidráulico de la calle Garzas, de carretera Colotlán a calle Avestruz, incluye: Agua potable, drenaje sanitario, guarniciones, banquetas y alumbrado público, en la vinatera, municipio de Zapopan, Jalisco.</t>
  </si>
  <si>
    <t>Colonia La Vinatera</t>
  </si>
  <si>
    <t>JUAN PABLO</t>
  </si>
  <si>
    <t>VERA</t>
  </si>
  <si>
    <t>TAVARES</t>
  </si>
  <si>
    <t>LIZETTE CONSTRUCCIÓNES, S.A. DE C.V.</t>
  </si>
  <si>
    <t>5,300 M2</t>
  </si>
  <si>
    <t>DOPI-MUN-RM-ID-CI-294-2017</t>
  </si>
  <si>
    <t>Rehabilitación de la Unidad Deportiva Paseos de Sol, Frente 1 (rehabilitación de canchas de béisbol, gradas, rehabilitación de baños vestidores,  colocación de back stop), en la colonia Paseos del Sol, municipio de Zapopan, Jalisco.</t>
  </si>
  <si>
    <t>CARLOS ALBERTO</t>
  </si>
  <si>
    <t>VILLASEÑOR</t>
  </si>
  <si>
    <t>NÚÑEZ</t>
  </si>
  <si>
    <t>MTQ DE MÉXICO, S.A. DE C.V.</t>
  </si>
  <si>
    <t>MME011214IV5</t>
  </si>
  <si>
    <t>3,028 M2</t>
  </si>
  <si>
    <t>DOPI-MUN-RM-ID-CI-295-2017</t>
  </si>
  <si>
    <t>Rehabilitación de la Unidad Deportiva Paseos de Sol, Frente 2 (cancha de usos múltiples, juegos infantiles, alumbrado y cercado perimetral), en la colonia Paseos del Sol, municipio de Zapopan, Jalisco.</t>
  </si>
  <si>
    <t>HARO</t>
  </si>
  <si>
    <t>BUGARIN</t>
  </si>
  <si>
    <t>CENTRAL EDIFICACIONES, S.A. DE C.V.</t>
  </si>
  <si>
    <t>DOPI-MUN-RM-BAN-CI-296-2017</t>
  </si>
  <si>
    <t>Peatonalización en varias colonias y vialidades del municipio (Incluye: machuelos, banquetas, accesibilidad universal y bolardos). Primera Etapa, municipio de Zapopan, Jalisco.</t>
  </si>
  <si>
    <t>IRMA NOEMI</t>
  </si>
  <si>
    <t>ESPINOZA</t>
  </si>
  <si>
    <t>ARQUITECTOS DEL SUR, S.A. DE C.V.</t>
  </si>
  <si>
    <t>ASU140117G73</t>
  </si>
  <si>
    <t>5,507 M2</t>
  </si>
  <si>
    <t>DOPI-MUN-R33-IS-CI-297-2017</t>
  </si>
  <si>
    <t>Construcción de red de drenaje y red de agua potable de calles de la colonia Lomas del Centinela II, segunda etapa, municipio de Zapopan, Jalisco.</t>
  </si>
  <si>
    <t>Colonia Lomas del Centinela II</t>
  </si>
  <si>
    <t>RAMOS</t>
  </si>
  <si>
    <t>GRUPO CONSTRUCTOR OBINARQ, S.A. DE C.V.</t>
  </si>
  <si>
    <t>GCO070524GT1</t>
  </si>
  <si>
    <t>1,910 ML</t>
  </si>
  <si>
    <t>DOPI-MUN-R33-IS-CI-298-2017</t>
  </si>
  <si>
    <t>Construcción de colector y complemento de servicios básicos en la colonia La Magdalena, primera etapa, municipio de Zapopan, Jalisco.</t>
  </si>
  <si>
    <t>Fondo para la Infraestructura Social Municipal 2018</t>
  </si>
  <si>
    <t>Colonia La Magdalena</t>
  </si>
  <si>
    <t>DAVID</t>
  </si>
  <si>
    <t>ESQUIVEL</t>
  </si>
  <si>
    <t>ARQUITECTURA Y ESPACIOS BEDA, S.A. DE C.V.</t>
  </si>
  <si>
    <t>AEB000705CS2</t>
  </si>
  <si>
    <t>436 ML</t>
  </si>
  <si>
    <t>DOPI-MUN-CUSMAX-PAV-CI-299-2017</t>
  </si>
  <si>
    <t>Construcción de Parque Lineal en la Av. Patria, de Av. Acueducto - Eva Briseño-Av. Américas, tercera etapa: cruceros seguros, accesibilidades y semaforización, municipio de Zapopan, Jalisco.</t>
  </si>
  <si>
    <t>GUSTAVO</t>
  </si>
  <si>
    <t>DURAN</t>
  </si>
  <si>
    <t>JIMÉNEZ</t>
  </si>
  <si>
    <t>DURAN JIMÉNEZ ARQUITECTOS Y ASOCIADOS, S.A. DE C.V.</t>
  </si>
  <si>
    <t>DJA9405184G7</t>
  </si>
  <si>
    <t>2,150 M2</t>
  </si>
  <si>
    <t>DOPI-MUN-CUSMAX-PAV-CI-300-2017</t>
  </si>
  <si>
    <t>Construcción de crucero seguro en Av. Acueducto y Av. Puerta de Hierro, municipio de Zapopan, Jalisco.</t>
  </si>
  <si>
    <t>Colonia Puertade Hierro</t>
  </si>
  <si>
    <t>ROMERO</t>
  </si>
  <si>
    <t>URBANIZADORA Y CONSTRUCTORA ROAL, S.A. DE C.V.</t>
  </si>
  <si>
    <t>URC160310857</t>
  </si>
  <si>
    <t>326 M2</t>
  </si>
  <si>
    <t>DOPI-MUN-CUSMAX-IE-CI-301-2017</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</si>
  <si>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</si>
  <si>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Colonia Residencial Moctezuma Poniente</t>
  </si>
  <si>
    <t xml:space="preserve">RODOLFO </t>
  </si>
  <si>
    <t xml:space="preserve">PLASCHINSKI </t>
  </si>
  <si>
    <t>CONSTRUCTIO GERENS, S.A. DE C.V.</t>
  </si>
  <si>
    <t>CGE0101209V0</t>
  </si>
  <si>
    <t>642 M2</t>
  </si>
  <si>
    <t>DOPI-MUN-CUSMAX-ID-CI-302-2017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</si>
  <si>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</si>
  <si>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COMERCIALIZADORA POLIGONO, S..A DE C.V.</t>
  </si>
  <si>
    <t>COP1209104M8</t>
  </si>
  <si>
    <t>3,150 M2</t>
  </si>
  <si>
    <t>DOPI-FED-EP-EP-CI-303-2017</t>
  </si>
  <si>
    <t>Mejoramiento físico de espacios públicos, Parque Aurelio Ortega, municipio de Zapopan, Jalisco.</t>
  </si>
  <si>
    <t>Espacios Públicos</t>
  </si>
  <si>
    <t>Aurelio Ortega</t>
  </si>
  <si>
    <t>ERNESTO</t>
  </si>
  <si>
    <t>OLIVARES</t>
  </si>
  <si>
    <t>SERVICIOS METROPOLITANOS DE JALISCO, S.A. DE C.V.</t>
  </si>
  <si>
    <t>SMJ090317FS9</t>
  </si>
  <si>
    <t>1,654 M2</t>
  </si>
  <si>
    <t>DOPI-MUN-PP-EP-CI-305-2017</t>
  </si>
  <si>
    <t>Construcción de Parque para Adultos Mayores en la Colonia La Calma, municipio de Zapopan, Jalisco.</t>
  </si>
  <si>
    <t>JESÚS</t>
  </si>
  <si>
    <t>ARENAS</t>
  </si>
  <si>
    <t>BRAVO</t>
  </si>
  <si>
    <t>SICOSA, S.A. DE C.V.</t>
  </si>
  <si>
    <t>SIC940317FH7</t>
  </si>
  <si>
    <t>1,307 M2</t>
  </si>
  <si>
    <t>DOPI-MUN-RM-EP-CI-306-2017</t>
  </si>
  <si>
    <t>Parque incluyente en Colonia Gustavo Diaz Ordaz, Primera Etapa, municipio de Zapopan, Jalisco.</t>
  </si>
  <si>
    <t>Colonia Gustavo Diaz Ordaz</t>
  </si>
  <si>
    <t>JUAN CARLOS</t>
  </si>
  <si>
    <t>SUAZO</t>
  </si>
  <si>
    <t>CODIGO A CONSTRUCTORES, S.A. DE C.V.</t>
  </si>
  <si>
    <t>CCO1304181PA</t>
  </si>
  <si>
    <t>2,291 M2</t>
  </si>
  <si>
    <t>DOPI-MUN-CUSMAX-EP-CI-307-2017</t>
  </si>
  <si>
    <t>Rehabilitación de espacio recreativo, sustitución de losas dañadas y machuelos, cancha de futbol rápido, rehabilitación de jardineras, mobiliario urbano, forestación, accesibilidad e iluminación, colonia San Isidro Ejidal, municipio de Zapopan, Jalisco.</t>
  </si>
  <si>
    <t>Colonia San Isidro Ejidal</t>
  </si>
  <si>
    <t>HÉCTOR RUBÉN</t>
  </si>
  <si>
    <t>VARGAS</t>
  </si>
  <si>
    <t>DOS-HB CONSTRUCCIÓN, S.A. DE C.V.</t>
  </si>
  <si>
    <t>DCO140606CT5</t>
  </si>
  <si>
    <t>3,524 M2</t>
  </si>
  <si>
    <t>DOPI-MUN-CUSMAX-IE-CI-308-2017</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</si>
  <si>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</si>
  <si>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Colonia Unidad Estatuto Jurídico</t>
  </si>
  <si>
    <t xml:space="preserve">ISIDRO </t>
  </si>
  <si>
    <t xml:space="preserve"> ESPINOZA </t>
  </si>
  <si>
    <t xml:space="preserve"> PERALTA</t>
  </si>
  <si>
    <t>PROMOTORA Y EDIFICADORA SIERRA BLANCA S.A. DE C.V.</t>
  </si>
  <si>
    <t>PES1105119J6</t>
  </si>
  <si>
    <t>210 M2</t>
  </si>
  <si>
    <t>DOPI-MUN-CUSMAX-ID-CI-309-2017</t>
  </si>
  <si>
    <t>Construcción de la Unidad Deportiva Santa Lucia (Alcances: cancha de futbol 7, gimnasio al aire libre, área de juegos y cercado perimetral, primera etapa, municipio de Zapopan, Jalisco.</t>
  </si>
  <si>
    <t>Colonia Santa Lucia</t>
  </si>
  <si>
    <t>JOAQUIN</t>
  </si>
  <si>
    <t>GALLARDO</t>
  </si>
  <si>
    <t>A. &amp; G. URBANIZADORA, S.A. DE C.V.</t>
  </si>
  <si>
    <t>AUR100826KX0</t>
  </si>
  <si>
    <t>DOPI-MUN-CUSMAX-EP-CI-310-2017</t>
  </si>
  <si>
    <t>Construcción del parque incluyente en Carretera a Tesistán (La Loma), primera etapa, municipio de Zapopan, Jalisco.</t>
  </si>
  <si>
    <t>Colonia La Loma</t>
  </si>
  <si>
    <t>3,750 M2</t>
  </si>
  <si>
    <t>DOPI-MUN-CUSMAX-EP-CI-311-2017</t>
  </si>
  <si>
    <t>Construcción de terraza para usos múltiples, rehabilitación de alumbrado público, banquetas y accesibilidad en Parque la Calma, municipio de Zapopan, Jalisco.</t>
  </si>
  <si>
    <t>3,492 M2</t>
  </si>
  <si>
    <t>DOPI-MUN-CUSMAX-EP-CI-312-2017</t>
  </si>
  <si>
    <t>Rehabilitación y Equipamiento del Parque infantil ubicado en la calle Idolina Gaona de Cosío y Octava Oriente, en la colonia Jardines de Nuevo México, municipio de Zapopan, Jalisco.</t>
  </si>
  <si>
    <t>Colonia Jarfdínes de Nuevo México</t>
  </si>
  <si>
    <t>LUIS REYNALDO</t>
  </si>
  <si>
    <t xml:space="preserve">GALVÁN </t>
  </si>
  <si>
    <t>BERMEJO</t>
  </si>
  <si>
    <t>GALJACK ARQUITECTOS Y CONSTRUCCIONES, S.A. DE C.V.</t>
  </si>
  <si>
    <t>435 M2</t>
  </si>
  <si>
    <t>DOPI-MUN-CUSMAX-ID-CI-313-2017</t>
  </si>
  <si>
    <t>Construcción de la Unidad Deportiva en el fraccionamiento Valle de Los Molinos, primera etapa, municipio de Zapopan, Jalisco.</t>
  </si>
  <si>
    <t>Colonia Valle de los Molinos</t>
  </si>
  <si>
    <t>6,136 M2</t>
  </si>
  <si>
    <t>DOPI-MUN-CUSMAX-IE-CI-314-2017</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</si>
  <si>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</si>
  <si>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Colonia El Vigia</t>
  </si>
  <si>
    <t>DISTANCIA</t>
  </si>
  <si>
    <t>JAVAX CONSULTORES, S.A. DE C.V.</t>
  </si>
  <si>
    <t>JCO160413SK4</t>
  </si>
  <si>
    <t>543 M2</t>
  </si>
  <si>
    <t>DOPI-MUN-CUSMAX-EP-CI-315-2017</t>
  </si>
  <si>
    <t>Rehabilitación de espacio recreativa, juegos infantiles, gimnasio al aire libre, sustitución de losas dañadas, andadores, banquetas, accesibilidad y alumbrado, Lomas de Atemajac, municipio de Zapopan, Jalisco.</t>
  </si>
  <si>
    <t>Colonia Lomas de Atemajac</t>
  </si>
  <si>
    <t>1,850 M2</t>
  </si>
  <si>
    <t>DOPI-MUN-CUSMAX-IE-CI-316-2017</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</si>
  <si>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</si>
  <si>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Colonia Arboledas</t>
  </si>
  <si>
    <t>LORENA MARGARITA</t>
  </si>
  <si>
    <t>LIMÓN</t>
  </si>
  <si>
    <t>INGENIERIA Y SISTEMAS DE INFRAESTRUCTURA, S.A. DE C.V.</t>
  </si>
  <si>
    <t>ISI921126N34</t>
  </si>
  <si>
    <t>478 M2</t>
  </si>
  <si>
    <t>DOPI-MUN-CUSMAX-ID-CI-317-2017</t>
  </si>
  <si>
    <t>Rehabilitación de la Unidad Deportiva Santa Ana Tepetitlán, (Alcances: construcción de cancha de futbol soccer de pasto sintético), primera etapa, municipio de Zapopan, Jalisco.</t>
  </si>
  <si>
    <t>Colonia Santa Ana Tepetitlán</t>
  </si>
  <si>
    <t>JOSÉ LUIS ROBERTO</t>
  </si>
  <si>
    <t>ULLOA</t>
  </si>
  <si>
    <t>LEAÑO</t>
  </si>
  <si>
    <t>EPSIC, ESTUDIOS, PROYECTOS Y SERVICIOS INTEGRADOS PARA LA CONSTRUCCIÓN, S.A. DE C.V.</t>
  </si>
  <si>
    <t>EEP070913PY4</t>
  </si>
  <si>
    <t>4,492 M2</t>
  </si>
  <si>
    <t>DOPI-MUN-RM-IM-CI-320-2017</t>
  </si>
  <si>
    <t>Construcción siete locales comerciales en la localidad de La Venta del Astillero y rehabilitación de bodegas y casa ejidal en la localidad de Santa Lucia, municipio de Zapopan, Jalisco.</t>
  </si>
  <si>
    <t>Localidad Santa Lucia</t>
  </si>
  <si>
    <t>722 M2</t>
  </si>
  <si>
    <t>DOPI-MUN-RM-IE-AD-322-2017</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</si>
  <si>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</si>
  <si>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Colonias Misión del Bosque, San Francisco de Ixcatán, Rio Blanco y Ampliación Copala</t>
  </si>
  <si>
    <t>J. GERARDO</t>
  </si>
  <si>
    <t>NICANOR</t>
  </si>
  <si>
    <t>MEJIA MARISCAL</t>
  </si>
  <si>
    <t>INECO CONSTRUYE, S.A. DE C.V.</t>
  </si>
  <si>
    <t>ICO980722MQ4</t>
  </si>
  <si>
    <t>1,865 M2</t>
  </si>
  <si>
    <t>DOPI-MUN-RM-IH-AD-323-2017</t>
  </si>
  <si>
    <t>Construcción de Adecuaciones hidráulicas en la línea de agua potable y alcantarillado en la calle Rizo Ayala y paseo de Las Araucarias y obra civil complementaria, Municipio de Zapopan, Jalisco.</t>
  </si>
  <si>
    <t>CLAUDIO FELIPE</t>
  </si>
  <si>
    <t>TRUJILLO</t>
  </si>
  <si>
    <t>GRACIAN</t>
  </si>
  <si>
    <t>DESARROLLADORA LUMADI, S.A. DE C.V.</t>
  </si>
  <si>
    <t>DLU100818F46</t>
  </si>
  <si>
    <t>143 ML</t>
  </si>
  <si>
    <t>DOPI-MUN-RM-EP-AD-324-2017</t>
  </si>
  <si>
    <t>Construcción de plazoleta, cruceros seguros, mobiliario y obra complementaria en el Andador Rizo Ayala, Municipio de Zapopan, Jalisco.</t>
  </si>
  <si>
    <t>RÁNGEL</t>
  </si>
  <si>
    <t>PAEZ</t>
  </si>
  <si>
    <t>CONSTRUCTORA LASA, S.A. DE C.V.</t>
  </si>
  <si>
    <t>CLA890925ER5</t>
  </si>
  <si>
    <t>2,191 M2</t>
  </si>
  <si>
    <t>DOPI-MUN-RM-IU-AD-325-2017</t>
  </si>
  <si>
    <t>Segunda etapa de la renovación de imagen urbana en la colonia Díaz Ordaz, municipio de Zapopan, Jalisco</t>
  </si>
  <si>
    <t>WILLIAMS PATRICKS</t>
  </si>
  <si>
    <t>GIL</t>
  </si>
  <si>
    <t>GP WILLIAMS ADMON, S.A. DE C.V.</t>
  </si>
  <si>
    <t>GWA141209KG7</t>
  </si>
  <si>
    <t>1,052 M2</t>
  </si>
  <si>
    <t>DOPI-MUN-RM-PAV-AD-326-2017</t>
  </si>
  <si>
    <t>Renivelación con mezcla asfáltica de vialidades, en las colonias Girasoles Elite y Las Casitas, municipio de Zapopan, Jalisco.</t>
  </si>
  <si>
    <t>Colonias Girasoles Elite y Las Casitas</t>
  </si>
  <si>
    <t>4,356 M2</t>
  </si>
  <si>
    <t>DOPI-MUN-RM-IM-AD-327-2017</t>
  </si>
  <si>
    <t>Rehabilitación del Centro Comunitario en la colonia el Colli CTM, Municipio de Zapopan, Jalisco.</t>
  </si>
  <si>
    <t>Colonia El Colli CTM</t>
  </si>
  <si>
    <t>ALFREDO</t>
  </si>
  <si>
    <t>CHÁVEZ</t>
  </si>
  <si>
    <t>ALFREDO FLORES CHÁVEZ</t>
  </si>
  <si>
    <t>FOCA830904HT8</t>
  </si>
  <si>
    <t>2,400 M2</t>
  </si>
  <si>
    <t>DOPI-MUN-RM-BAN-AD-328-2017</t>
  </si>
  <si>
    <t>Peatonalización, construcción de banquetas sustitución de guarniciones, bolardos, accesibilidad, primera etapa en la Colonia Tabachines, Municipio de Zapopan, Jalisco.</t>
  </si>
  <si>
    <t>ESTEBAN</t>
  </si>
  <si>
    <t>MUÑOZ</t>
  </si>
  <si>
    <t>GRUPO PG CONSTRUCTORES Y SUPERVISORES, S.A. DE C.V.</t>
  </si>
  <si>
    <t>GPC110927671</t>
  </si>
  <si>
    <t>2,300 M2</t>
  </si>
  <si>
    <t>DOPI-MUN-RM-IM-AD-329-2017</t>
  </si>
  <si>
    <t>Rehabilitación y equipamiento del sistema de trampas de grasa, albañilería y acabados, en el área de carnicerías del mercado municipal Atemajac, municipio de Zapopan, Jalisco.</t>
  </si>
  <si>
    <t>Colonia Atemajac</t>
  </si>
  <si>
    <t>ERICK</t>
  </si>
  <si>
    <t>PIXIDE CONSTRUCTORA, S.A. DE C.V.</t>
  </si>
  <si>
    <t>PCO140829425</t>
  </si>
  <si>
    <t>540 M2</t>
  </si>
  <si>
    <t>DOPI-MUN-RM-PROY-AD-330-2017</t>
  </si>
  <si>
    <t>Diagnóstico, diseño y proyectos hidráulicos 2017, frente 1, de diferentes redes de agua potable y alcantarillado, municipio de Zapopan Jalisco.</t>
  </si>
  <si>
    <t>JAVIER</t>
  </si>
  <si>
    <t xml:space="preserve">ÁVILA </t>
  </si>
  <si>
    <t>SAVHO CONSULTORÍA Y CONSTRUCCIÓN, S.A. DE C.V.</t>
  </si>
  <si>
    <t>25 ESTUDIOS</t>
  </si>
  <si>
    <t>DOPI-MUN-CUSMAX-PROY-AD-332-2017</t>
  </si>
  <si>
    <t>Elaboración de proyecto ejecutivo para la construcción de Estación de Bomberos en Circuito Andares, municipio de Zapopan, Jalisco.</t>
  </si>
  <si>
    <t>DOPI-MUN-CUSMAX-IM-AD-334-2017</t>
  </si>
  <si>
    <t>Rehabilitación de la Barda en la Unidad Deportiva Lagos del Country, ubicada sobre la calle Laguna de Términos, colonia Lagos del Country, municipio de Zapopan, Jalisco.</t>
  </si>
  <si>
    <t>Colonia Lagos del Country</t>
  </si>
  <si>
    <t>JUAN ALFONSO</t>
  </si>
  <si>
    <t>BELLON</t>
  </si>
  <si>
    <t>CÁRDENAS</t>
  </si>
  <si>
    <t>PROYECTOS Y CONSTRUCCIÓNES BELA, S.A. DE C.V.</t>
  </si>
  <si>
    <t>PYC130626TA7</t>
  </si>
  <si>
    <t>724 M2</t>
  </si>
  <si>
    <t>DOPI-MUN-CUSMAX-IH-AD-335-2017</t>
  </si>
  <si>
    <t>Construcción de bocas de tormenta, modificación de rasantes en crucero y construcción de pozos de absorción en la privada Manuel M. Diéguez en su cruce con la calle Dr. Alberto Román, municipio de Zapopan, Jalisco.</t>
  </si>
  <si>
    <t>Colonia Constituyentes</t>
  </si>
  <si>
    <t>HÉCTOR ANDRÉS</t>
  </si>
  <si>
    <t>VALADES</t>
  </si>
  <si>
    <t>CONSTRUMOVA, S.A. P.I. DE C.V.</t>
  </si>
  <si>
    <t>CON130531FB8</t>
  </si>
  <si>
    <t>328 M2</t>
  </si>
  <si>
    <t>DOPI-MUN-RM-PAV-AD-336-2017</t>
  </si>
  <si>
    <t>Pavimentación con adoquín y empedrado tradicional con material producto de recuperación en diferentes vialidades en el municipio de Zapopan, Jalisco, frente 3.</t>
  </si>
  <si>
    <t>1,750 M2</t>
  </si>
  <si>
    <t>DOPI-MUN-CUSMAX-PROY-AD-337-2017</t>
  </si>
  <si>
    <t>Elaboración de proyecto geométrico ejecutivo de cruceros seguros en el corredor de la Av. Patria -  Av. Acueducto, municipio de Zapopan, Jalisco</t>
  </si>
  <si>
    <t>SERGIO ALEJANDRO</t>
  </si>
  <si>
    <t>LARIOS</t>
  </si>
  <si>
    <t>VIRGEN</t>
  </si>
  <si>
    <t xml:space="preserve">ESTUDIOS, PROYECTOS Y SEÑALIZACION VIAL, S.A. DE C.V. </t>
  </si>
  <si>
    <t>EPS040708MA2</t>
  </si>
  <si>
    <t>4 PROYECTOS</t>
  </si>
  <si>
    <t>DOPI-MUN-CUSMAX-PROY-AD-338-2017</t>
  </si>
  <si>
    <t>Elaboración de proyecto ejecutivo para iluminación del parque lineal Patria, en el tramo de Av. Acueducto a Av. Américas, municipio de Zapopan, Jalisco.</t>
  </si>
  <si>
    <t xml:space="preserve">CARLOS ISRAEL </t>
  </si>
  <si>
    <t>JAUREGUI</t>
  </si>
  <si>
    <t xml:space="preserve"> GOMEZ</t>
  </si>
  <si>
    <t>CARJAU, S.A. DE C.V.</t>
  </si>
  <si>
    <t>CAR041213BM6</t>
  </si>
  <si>
    <t>DOPI-MUN-CUSMAX-PROY-AD-339-2017</t>
  </si>
  <si>
    <t>Elaboración de proyecto ejecutivo hidráulico del parque lineal Patria, municipio de Zapopan, Jalisco.</t>
  </si>
  <si>
    <t>FRANCISCA ELVIA</t>
  </si>
  <si>
    <t>RUBIO</t>
  </si>
  <si>
    <t>MONTES</t>
  </si>
  <si>
    <t>INFRAESTRUCTURA HIDRAULICA Y SERVICIOS, S.A. DE C.V.</t>
  </si>
  <si>
    <t>IHS9809171R9</t>
  </si>
  <si>
    <t>DOPI-MUN-RM-IE-AD-340-2017</t>
  </si>
  <si>
    <t>Estructuras con lonaria, carpintería, acabados, y cancelería, en el CDI del DIF No. 8 María Jaime Franco, ubicado en Santa Ana Tepetitlán, municipio de Zapopan, Jalisco.</t>
  </si>
  <si>
    <t>368 M2</t>
  </si>
  <si>
    <t>DOPI-MUN-R33-DS-AD-341-2017</t>
  </si>
  <si>
    <t>Construcción de colector de alejamiento en la localidad de Pedregal de Milpillas, municipio de Zapopan, Jalisco, Frente 1.</t>
  </si>
  <si>
    <t>Localidad Pedregal de Milpillas</t>
  </si>
  <si>
    <t>MAXIMILIANO</t>
  </si>
  <si>
    <t>GRUPO CONSTRUCTOR STRADE, S.A. DE C.V.</t>
  </si>
  <si>
    <t>GCS080902S44</t>
  </si>
  <si>
    <t>262 ML</t>
  </si>
  <si>
    <t>DOPI-MUN-R33-DS-AD-342-2017</t>
  </si>
  <si>
    <t>Construcción de colector de alejamiento en la localidad de Pedregal de Milpillas, municipio de Zapopan, Jalisco, Frente 2.</t>
  </si>
  <si>
    <t xml:space="preserve">METRICA INFRAESTRUCTURA, S.A. DE C.V. </t>
  </si>
  <si>
    <t>MIN170819GG1</t>
  </si>
  <si>
    <t>259 ML</t>
  </si>
  <si>
    <t>DOPI-MUN-R33-IH-AD-343-2017</t>
  </si>
  <si>
    <t>Construcción de planta de tratamiento tipo rural, en la localidad de Pedregal de Milpillas, municipio de Zapopan, Jalisco.</t>
  </si>
  <si>
    <t>Fondo para la Infraestructura Social Municipal 2019</t>
  </si>
  <si>
    <t>GUSTAVO ALEJANDRO</t>
  </si>
  <si>
    <t>LEDEZMA</t>
  </si>
  <si>
    <t xml:space="preserve"> CERVANTES</t>
  </si>
  <si>
    <t>EDIFICACIONES Y PROYECTOS ROCA, S.A. DE C.V.</t>
  </si>
  <si>
    <t>EPR131016I71</t>
  </si>
  <si>
    <t>DOPI-MUN-R33-PAV-AD-344-2017</t>
  </si>
  <si>
    <t>Pavimentación con concreto hidráulico de vialidades en la colonia El Zapote II, incluye: guarniciones, banquetas, accesibilidad y servicios complementarios, municipio de Zapopan, Jalisco, Frente 1.</t>
  </si>
  <si>
    <t>Fondo para la Infraestructura Social Municipal 2020</t>
  </si>
  <si>
    <t>Colonia El Zapote II</t>
  </si>
  <si>
    <t>988 M2</t>
  </si>
  <si>
    <t>DOPI-MUN-R33-PAV-AD-345-2017</t>
  </si>
  <si>
    <t>Pavimentación con concreto hidráulico de vialidades en la colonia El Zapote II, incluye: guarniciones, banquetas, accesibilidad y servicios complementarios, municipio de Zapopan, Jalisco, Frente 2.</t>
  </si>
  <si>
    <t>Fondo para la Infraestructura Social Municipal 2021</t>
  </si>
  <si>
    <t>EMILIO MIGUEL</t>
  </si>
  <si>
    <t>SAENZ</t>
  </si>
  <si>
    <t>CONSTRUCTORA Y SERVICIOS NOVACREA, S.A. DE C.V.</t>
  </si>
  <si>
    <t>CSN150923FGA</t>
  </si>
  <si>
    <t>994 M2</t>
  </si>
  <si>
    <t>DOPI-MUN-RM-PAV-AD-346-2017</t>
  </si>
  <si>
    <t>Pavimentación con concreto hidráulico, puente vehicular y obra complementaria en la calle Emiliano Zapata y calle Pípila, en la colonia La Martinica, municipio de Zapopan, Jalisco.</t>
  </si>
  <si>
    <t>SERGIO CESAR</t>
  </si>
  <si>
    <t>DÍAZ</t>
  </si>
  <si>
    <t>QUIROZ</t>
  </si>
  <si>
    <t>TRANSCRETO S.A. DE C.V.</t>
  </si>
  <si>
    <t>TRA750528286</t>
  </si>
  <si>
    <t>1,021 M2</t>
  </si>
  <si>
    <t>DOPI-MUN-RM-IM-AD-347-2017</t>
  </si>
  <si>
    <t>Trabajos complementarios de cancelería de aluminio, equipamiento, instalación de mamparas y jardinería en el centro de desarrollo infantil La Loma, municipio de Zapopan, Jalisco.</t>
  </si>
  <si>
    <t>ELSA GABRIELA</t>
  </si>
  <si>
    <t>ORTEGA</t>
  </si>
  <si>
    <t>EDIFICACIONES Y VIVIENDA, S.A. DE C.V.</t>
  </si>
  <si>
    <t>EVI940414M46</t>
  </si>
  <si>
    <t>DOPI-MUN-RM-ELE-AD-348-2017</t>
  </si>
  <si>
    <t>Obra eléctrica complementaria en el Centro de Desarrollo Infantil La Loma, municipio de Zapopan, Jalisco.</t>
  </si>
  <si>
    <t xml:space="preserve">HÉCTOR MANUEL </t>
  </si>
  <si>
    <t xml:space="preserve"> CRUZ </t>
  </si>
  <si>
    <t xml:space="preserve"> ALCALA</t>
  </si>
  <si>
    <t>ARKAL GRUPO CONSTRUCTOR, S.A. DE C.V.</t>
  </si>
  <si>
    <t>AGC960215977</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</si>
  <si>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</si>
  <si>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</si>
  <si>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Colonias: Centro, El Vigia, Santa Ana Tepetitlán, Jardines del Valle, Lomas de Tabachines, Paraisos del Colli y Vicente Guerrero</t>
  </si>
  <si>
    <t>1,633 M2</t>
  </si>
  <si>
    <t>DOPI-MUN-RM-IE-AD-351-2017</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</si>
  <si>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</si>
  <si>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Colonias: Pinar de la Calma, Los Cajetes, El Briseño, Mariano Otero y Paseos del Briseño.</t>
  </si>
  <si>
    <t>1,648 M2</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</si>
  <si>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</si>
  <si>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</si>
  <si>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</si>
  <si>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</si>
  <si>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Colonia El Fresno</t>
  </si>
  <si>
    <t>CARLOS CELSO</t>
  </si>
  <si>
    <t>QUINTERO</t>
  </si>
  <si>
    <t>GRUPO CONSTRUCTOR HISACA, S.A. DE C.V.</t>
  </si>
  <si>
    <t>GCH070702SH8</t>
  </si>
  <si>
    <t>624 M2</t>
  </si>
  <si>
    <t>DOPI-MUN-RM-PAV-AD-354-2017</t>
  </si>
  <si>
    <t>Pavimentación con concreto hidráulico,  incluye: banquetas, peatonalización, señalamiento y obras complementarias en la calle Eucalipto de Primavera a Pirul, colonia El Fresno, en el municipio de Zapopan, Jalisco.</t>
  </si>
  <si>
    <t>DAVID SERGIO</t>
  </si>
  <si>
    <t>DOMINGUEZ</t>
  </si>
  <si>
    <t>VALIKA CONSTRUCTORA, S.A. DE C.V.</t>
  </si>
  <si>
    <t>VCO9412201J0</t>
  </si>
  <si>
    <t>615 m2</t>
  </si>
  <si>
    <t>DOPI-MUN-RM-IM-AD-355-2017</t>
  </si>
  <si>
    <t>Tratamiento y aplicación de recubrimientos en pisos de pasillos de circulación del mercado municipal Atemajac, municipio de Zapopan, Jalisco.</t>
  </si>
  <si>
    <t>1,158 M2</t>
  </si>
  <si>
    <t>DOPI-MUN-RM-IM-AD-356-2017</t>
  </si>
  <si>
    <t>Rehabilitación de módulo de baños en planta baja, pintura, albañilerías, acabados, banquetas y peatonalización, en el mercado municipal Atemajac, municipio de Zapopan, Jalisco.</t>
  </si>
  <si>
    <t>432 M2</t>
  </si>
  <si>
    <t>DOPI-MUN-RM-DS-AD-357-2017</t>
  </si>
  <si>
    <t>Construcción de red de drenaje sanitario en la calle Vista al Mirador de Puesta del Sol a Vista la Campiña, en la colonia Vista Hermosa, municipio de Zapopan, Jalisco.</t>
  </si>
  <si>
    <t>RAFAEL AUGUSTO</t>
  </si>
  <si>
    <t>CABALLERO</t>
  </si>
  <si>
    <t>QUIRARTE</t>
  </si>
  <si>
    <t>PROYECTOS ARQUITECTONICOS TRIANGULO, S.A. DE C.V.</t>
  </si>
  <si>
    <t>PAT110331HH0</t>
  </si>
  <si>
    <t>120 ML</t>
  </si>
  <si>
    <t>DOPI-MUN-RM-IM-AD-358-2017</t>
  </si>
  <si>
    <t>Trabajos complementarios de carpintería y cancelería de aluminio en el Centro de Salud El Colli, ubicado en El Colli, municipio de Zapopan, Jalisco.</t>
  </si>
  <si>
    <t>Colonia El Colli</t>
  </si>
  <si>
    <t>MARCELO FERNANDO</t>
  </si>
  <si>
    <t>DE ANDA</t>
  </si>
  <si>
    <t>AGNESI</t>
  </si>
  <si>
    <t>SJ LAGOS CONSTRUCTORA E INMOBILIARIA, S.A. DE C.V.</t>
  </si>
  <si>
    <t>SLC090211283</t>
  </si>
  <si>
    <t>403 M2</t>
  </si>
  <si>
    <t>DOPI-MUN-RM-PAV-AD-359-2017</t>
  </si>
  <si>
    <t>Obra complementaria para la pavimentación con concreto hidráulico en la calle Ing. Alberto Mora López de Elote a Ing. Alfonso Padilla, en la colonia La Mesa Colorada, en el municipio de Zapopan, Jalisco.</t>
  </si>
  <si>
    <t>CAÑEDO</t>
  </si>
  <si>
    <t>CONSTRUCCIONES TECNICAS DE OCCIDENTE, S.A. DE C.V.</t>
  </si>
  <si>
    <t>CTO061116F61</t>
  </si>
  <si>
    <t>896 M2</t>
  </si>
  <si>
    <t>DOPI-MUN-RM-BAN-AD-360-2017</t>
  </si>
  <si>
    <t>Obra complementaria de peatonalización en el frente 1 de la rehabilitación de la Av. Dr. Ángel Leaño, Tramo Zona de Nixticuitl, municipio de Zapopan, Jalisco.</t>
  </si>
  <si>
    <t>GABRIELA CECILIA</t>
  </si>
  <si>
    <t xml:space="preserve">RUÍZ  </t>
  </si>
  <si>
    <t>CONSTRUCTORA TGV, S.A. DE C.V.</t>
  </si>
  <si>
    <t>CTG070803966</t>
  </si>
  <si>
    <t>625M2</t>
  </si>
  <si>
    <t>Ing. Fernando   </t>
  </si>
  <si>
    <t>Villa     </t>
  </si>
  <si>
    <t>DOPI-MUN-RM-PAV-AD-361-2017</t>
  </si>
  <si>
    <t>Pavimentación con concreto hidráulico, incluye: drenaje sanitario, banquetas, peatonalización, señalamiento y obras complementarias en la calle Navarro Rosas de la Abel Salgado al Arroyo, colonia Agua Fría, en el municipio de Zapopan, Jalisco.</t>
  </si>
  <si>
    <t>Colonia Agua Fria</t>
  </si>
  <si>
    <t>DOPI-MUN-RM-PAV-AD-362-2017</t>
  </si>
  <si>
    <t>Pavimentación con concreto hidráulico, incluye: drenaje sanitario, banquetas, peatonalización, señalamiento y obras complementarias en la calle Canal, colonia Agua Fría, en el municipio de Zapopan, Jalisco, primera etapa.</t>
  </si>
  <si>
    <t>CLARISSA GABRIELA</t>
  </si>
  <si>
    <t>VALDEZ</t>
  </si>
  <si>
    <t>MANJARREZ</t>
  </si>
  <si>
    <t>TEKTON GRUPO EMPRESARIAL, S.A. DE C.V.</t>
  </si>
  <si>
    <t>TGE101215JI6</t>
  </si>
  <si>
    <t>1,890 M2</t>
  </si>
  <si>
    <t>DOPI-MUN-RM-SERV-AD-363-2017</t>
  </si>
  <si>
    <t>Control de calidad de diferentes obras 2017 del municipio de Zapopan, Jalisco, etapa 4.</t>
  </si>
  <si>
    <t>PONCE</t>
  </si>
  <si>
    <t>CME CALIDAD MODELO DE EFICANCIA, S.A. DE C.V.</t>
  </si>
  <si>
    <t>CCM1405243C4</t>
  </si>
  <si>
    <t>DOPI-MUN-RM-PAV-AD-364-2017</t>
  </si>
  <si>
    <t>Pavimentación con concreto hidráulico, incluye: banquetas, peatonalización, señalamiento y obras complementarias en la calle Santa Mercedez de la Av. Jesús a San Felipe, colonia Tuzania Ejidal, , en el municipio de Zapopan, Jalisco, frente 1.</t>
  </si>
  <si>
    <t>Colonia Tuzania Ejidal</t>
  </si>
  <si>
    <t>CERRO VIEJO CONSTRUCCIÓNES, S.A. DE C.V.</t>
  </si>
  <si>
    <t>CVC110114429</t>
  </si>
  <si>
    <t>2,005 M2</t>
  </si>
  <si>
    <t>DOPI-MUN-RM-DS-AD-366-2017</t>
  </si>
  <si>
    <t>Colector de aguas residuales, descargas sanitarias y línea de agua potable en la colonia Tuzania Ejidal, municipio de Zapopan, Jalisco, primera etapa Frente 1.</t>
  </si>
  <si>
    <t xml:space="preserve">VELAZQUEZ </t>
  </si>
  <si>
    <t>ORDOÑEZ</t>
  </si>
  <si>
    <t>VELAZQUEZ INGENIERIA ECOLOGICA, S.A. DE C.V.</t>
  </si>
  <si>
    <t>VIE110125RL4</t>
  </si>
  <si>
    <t>290 ML</t>
  </si>
  <si>
    <t>DOPI-MUN-RM-MOV-AD-369-2017</t>
  </si>
  <si>
    <t>JORGE ALBERTO</t>
  </si>
  <si>
    <t>MENA</t>
  </si>
  <si>
    <t>ADAMES</t>
  </si>
  <si>
    <t>DIVICON, S.A. DE C.V.</t>
  </si>
  <si>
    <t>DIV010905510</t>
  </si>
  <si>
    <t>DOPI-MUN-RM-IM-AD-370-2017</t>
  </si>
  <si>
    <t>Cimentación y estructura para la rampa de accesibilidad al CRI Centro de Autismo, ubicado en Av. Juan Pablo II, colonia Fovisste, municipio de Zapopan, Jalisco.</t>
  </si>
  <si>
    <t>JOSÉ MANUEL</t>
  </si>
  <si>
    <t>GGV INVERSIONES, S.A. DE C.V.</t>
  </si>
  <si>
    <t>180 M2</t>
  </si>
  <si>
    <t>DOPI-MUN-RM-IM-AD-371-2017</t>
  </si>
  <si>
    <t>Delimitación con malla ciclónica en terrenos afectados por la ampliación de la carretera La Venta - Santa Lucia, municipio de Zapopan, Jalisco.</t>
  </si>
  <si>
    <t>Venta del Astillero</t>
  </si>
  <si>
    <t>ARTURO RAFAEL</t>
  </si>
  <si>
    <t>SALAZAR</t>
  </si>
  <si>
    <t>MARTÍN DEL CAMPO</t>
  </si>
  <si>
    <t>KALMANI CONSTRUCTORA, S.A. DE C.V.</t>
  </si>
  <si>
    <t>KCO030922UM6</t>
  </si>
  <si>
    <t>412 ML</t>
  </si>
  <si>
    <t>DOPI-MUN-RM-ID-AD-372-2017</t>
  </si>
  <si>
    <t>Acometida eléctrica y obra complementaria para la terminación de la Unidad Deportiva Paseos del Briseño municipio de Zapopan, Jalisco.</t>
  </si>
  <si>
    <t>Colonia Paseos del Briseño</t>
  </si>
  <si>
    <t>PAOLA ALEJANDRA</t>
  </si>
  <si>
    <t>DIAZ</t>
  </si>
  <si>
    <t>RUIZ</t>
  </si>
  <si>
    <t>OBRAS CIVILES ACUARIO, S.A. DE C.V.</t>
  </si>
  <si>
    <t>OCA080707FG8</t>
  </si>
  <si>
    <t>Arq. Daniel  </t>
  </si>
  <si>
    <t>DOPI-MUN-RM-PROY-AD-373-2017</t>
  </si>
  <si>
    <t>Elaboración de proyecto ejecutivo de la Unidad Deportiva Valle de los Molinos, municipio de Zapopan, Jalisco.</t>
  </si>
  <si>
    <t>DOPI-MUN-RM-SERV-AD-374-2017</t>
  </si>
  <si>
    <t>Estudios de mecánica de suelos y diseño de pavimentos de diferentes obras 2017 del municipio de Zapopan, Jalisco, etapa 2.</t>
  </si>
  <si>
    <t>38 ESTUDIOS</t>
  </si>
  <si>
    <t>DOPI-MUN-RM-PROY-AD-375-2017</t>
  </si>
  <si>
    <t>Diagnóstico, diseño y proyectos de infraestructura eléctrica 2017, segunda etapa, municipio de Zapopan, Jalisco.</t>
  </si>
  <si>
    <t xml:space="preserve">HÉCTOR ALEJANDRO </t>
  </si>
  <si>
    <t xml:space="preserve">ORTEGA </t>
  </si>
  <si>
    <t>ROSALES</t>
  </si>
  <si>
    <t>IME SERVICIOS Y SUMINISTROS, S.A. DE C.V.</t>
  </si>
  <si>
    <t>46 ESTUDIOS</t>
  </si>
  <si>
    <t>DOPI-MUN-RM-ELE-AD-376-2017</t>
  </si>
  <si>
    <t>Trabajos complementarios de infraestructura eléctrica y de alumbrado público, frente 1, municipio de Zapopan, Jalisco</t>
  </si>
  <si>
    <t>FAUSTO</t>
  </si>
  <si>
    <t>GARNICA</t>
  </si>
  <si>
    <t>FAUSTO GARNICA PADILLA</t>
  </si>
  <si>
    <t>GAPF5912193V9</t>
  </si>
  <si>
    <t>692 ML</t>
  </si>
  <si>
    <t>DOPI-MUN-RM-ID-AD-377-2017</t>
  </si>
  <si>
    <t>Construcción de fuente interactiva y estructura con lonaria para protección de rayos ultravioleta para gradería en cancha de fut bol de la Unidad Deportiva Miguel de la Madrid, municipio de Zapopan, Jalisco.</t>
  </si>
  <si>
    <t>Colonia Miguel de la Madrid</t>
  </si>
  <si>
    <t>482 M2</t>
  </si>
  <si>
    <t>DOPI-MUN-RM-ELE-AD-378-2017</t>
  </si>
  <si>
    <t>Red de electrificación en media tensión en la calle Capulín, en la localidad de Tesistán, municipio de Zapopan, Jalisco.</t>
  </si>
  <si>
    <t>125 ML</t>
  </si>
  <si>
    <t>DOPI-MUN-RM-DS-AD-379-2017</t>
  </si>
  <si>
    <t>Construcción de colector pluvial en la calle Plata en el tramo de Juan Pablo II a calle Insurgentes, colonia San José del Bajio, municipio de Zapopan, Jalisco.</t>
  </si>
  <si>
    <t>115 ML</t>
  </si>
  <si>
    <t>DOPI-MUN-RM-IH-AD-380-2017</t>
  </si>
  <si>
    <t>Trabajos de interconexión de la red de distribución a la red del SIAPA en la localidad de Santa Anta Tepetitlán, municipio de Zapopan, Jalisco, primera etapa.</t>
  </si>
  <si>
    <t>DOPI-MUN-CUSMAX-SERV-AD-274-2017</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</si>
  <si>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</si>
  <si>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</si>
  <si>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</si>
  <si>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Colonia Miramar y Relleno Sanitario Picachos</t>
  </si>
  <si>
    <t>DOPI-MUN-RM-PAV-CI-304-2017</t>
  </si>
  <si>
    <t>Pavimentación de Av. Copalita, de calle Venustiano Carranza a Av. San Cristóbal Magallanes, incluye: banquetas y señalética horizontal, en la colonia Vicente Guerrero, municipio de Zapopan, Jalisco.</t>
  </si>
  <si>
    <t>PATRICIA LORENA</t>
  </si>
  <si>
    <t xml:space="preserve">GARCÍA </t>
  </si>
  <si>
    <t>ARQUITECTOS  Y OBRAS PERDURABLES, S.A. DE C.V.</t>
  </si>
  <si>
    <t>AOP140117KA2</t>
  </si>
  <si>
    <t>2,280 M2</t>
  </si>
  <si>
    <t>DOPI-MUN-PP-IS-CI-321-2017</t>
  </si>
  <si>
    <t>Construcción de alberca para rehabilitación de niños con fibrosis muscular (recurso municipal), municipio de Zapopan, Jalisco.</t>
  </si>
  <si>
    <t>JOSÉ GABRIEL</t>
  </si>
  <si>
    <t xml:space="preserve"> GALLO </t>
  </si>
  <si>
    <t>DEINCOKWI, S.A. DE C.V.</t>
  </si>
  <si>
    <t>DEI071106LKA</t>
  </si>
  <si>
    <t>2,436 M2</t>
  </si>
  <si>
    <t>DOPI-MUN-CUSMAX-ID-AD-381-2017</t>
  </si>
  <si>
    <t>Rehabilitación de la Unidad Deportiva Santa Ana Tepetitlán, (Alcances: cancha de usos múltiples, motivo de ingreso, juegos infantiles, gimnasio al aire libre, andadores, accesibilidad, pintura y alumbrado público), primera etapa, municipio de Zapopan, Jalisco.</t>
  </si>
  <si>
    <t xml:space="preserve">BEATRIZ </t>
  </si>
  <si>
    <t xml:space="preserve">MORA  </t>
  </si>
  <si>
    <t xml:space="preserve"> MEDINA </t>
  </si>
  <si>
    <t xml:space="preserve">PARÁBOLA ESTUDIOS, S.A. DE C.V. </t>
  </si>
  <si>
    <t>PES121109MN7</t>
  </si>
  <si>
    <t>1,206 M2</t>
  </si>
  <si>
    <t>Periodo de actualización de la información: ENERO 2018</t>
  </si>
  <si>
    <t>Fecha de actualización: 05/02/2018</t>
  </si>
  <si>
    <t>Fecha de validación: 05/02/2018</t>
  </si>
  <si>
    <t xml:space="preserve">Obras públicas del Municipio de Zapopan Administración 2015-2018 (Octubre 2015-Enero 2018)                           
</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</si>
</sst>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2">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sz val="8"/>
      <name val="Century Gothic"/>
      <family val="2"/>
    </font>
    <font>
      <u/>
      <sz val="8"/>
      <color theme="10"/>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2">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s>
  <cellStyleXfs count="1644">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74" fontId="16" fillId="0" borderId="0" applyFont="0" applyFill="0" applyBorder="0" applyAlignment="0" applyProtection="0"/>
    <xf numFmtId="0" fontId="1" fillId="0" borderId="0"/>
    <xf numFmtId="0" fontId="1" fillId="0" borderId="0"/>
    <xf numFmtId="0" fontId="1" fillId="0" borderId="0"/>
    <xf numFmtId="0" fontId="1"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17" fillId="0" borderId="0" applyNumberFormat="0" applyFill="0" applyBorder="0" applyAlignment="0" applyProtection="0">
      <alignment vertical="top"/>
      <protection locked="0"/>
    </xf>
  </cellStyleXfs>
  <cellXfs count="60">
    <xf numFmtId="0" fontId="0" fillId="0" borderId="0" xfId="0"/>
    <xf numFmtId="0" fontId="0" fillId="2" borderId="0" xfId="0" applyFill="1"/>
    <xf numFmtId="0" fontId="0" fillId="0" borderId="1" xfId="0" applyBorder="1"/>
    <xf numFmtId="0" fontId="0" fillId="0" borderId="0" xfId="0" applyBorder="1"/>
    <xf numFmtId="0" fontId="0" fillId="2" borderId="0" xfId="0" applyFill="1" applyBorder="1"/>
    <xf numFmtId="0" fontId="4" fillId="2" borderId="11"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0" fillId="2" borderId="11" xfId="1643" applyFont="1" applyFill="1" applyBorder="1" applyAlignment="1" applyProtection="1">
      <alignment horizontal="center" vertical="center" wrapText="1"/>
    </xf>
    <xf numFmtId="0" fontId="30" fillId="2" borderId="11" xfId="161" applyFont="1" applyFill="1" applyBorder="1" applyAlignment="1" applyProtection="1">
      <alignment horizontal="center" vertical="center" wrapText="1"/>
    </xf>
    <xf numFmtId="4" fontId="5" fillId="2" borderId="11"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29" fillId="2" borderId="1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5" fillId="2" borderId="11" xfId="0" applyFont="1" applyFill="1" applyBorder="1" applyAlignment="1">
      <alignment horizontal="center" vertical="center"/>
    </xf>
    <xf numFmtId="164" fontId="29" fillId="2" borderId="11" xfId="0" applyNumberFormat="1" applyFont="1" applyFill="1" applyBorder="1" applyAlignment="1">
      <alignment horizontal="center" vertical="center"/>
    </xf>
    <xf numFmtId="164" fontId="5" fillId="2" borderId="11" xfId="0" applyNumberFormat="1" applyFont="1" applyFill="1" applyBorder="1" applyAlignment="1">
      <alignment horizontal="center" vertical="center"/>
    </xf>
    <xf numFmtId="14" fontId="5" fillId="2"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0" fillId="0" borderId="0" xfId="0"/>
    <xf numFmtId="0" fontId="0" fillId="0" borderId="0" xfId="0"/>
    <xf numFmtId="0" fontId="28" fillId="3" borderId="11" xfId="0"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1" fillId="26"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31" fillId="26" borderId="20" xfId="0" applyFont="1" applyFill="1" applyBorder="1" applyAlignment="1">
      <alignment horizontal="left" vertical="center" wrapText="1"/>
    </xf>
    <xf numFmtId="0" fontId="29" fillId="0" borderId="11" xfId="0" applyFont="1" applyFill="1" applyBorder="1" applyAlignment="1">
      <alignment horizontal="center" vertical="center"/>
    </xf>
    <xf numFmtId="3" fontId="29"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2" borderId="11" xfId="0" applyFont="1" applyFill="1" applyBorder="1" applyAlignment="1">
      <alignment horizontal="justify" vertical="center" wrapText="1"/>
    </xf>
    <xf numFmtId="0" fontId="5" fillId="0" borderId="11" xfId="0" applyFont="1" applyBorder="1" applyAlignment="1">
      <alignment horizontal="justify" vertical="center" wrapText="1"/>
    </xf>
    <xf numFmtId="164" fontId="5" fillId="0" borderId="11"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4" fontId="5" fillId="0" borderId="11" xfId="0" applyNumberFormat="1" applyFont="1" applyFill="1" applyBorder="1" applyAlignment="1">
      <alignment horizontal="center" vertical="center"/>
    </xf>
    <xf numFmtId="0" fontId="0" fillId="0" borderId="0" xfId="0"/>
    <xf numFmtId="3" fontId="5" fillId="0" borderId="11" xfId="0" applyNumberFormat="1" applyFont="1" applyFill="1" applyBorder="1" applyAlignment="1">
      <alignment horizontal="center" vertical="center"/>
    </xf>
    <xf numFmtId="164" fontId="29" fillId="0" borderId="11" xfId="0" applyNumberFormat="1" applyFont="1" applyFill="1" applyBorder="1" applyAlignment="1">
      <alignment horizontal="center" vertical="center"/>
    </xf>
    <xf numFmtId="0" fontId="0" fillId="0" borderId="0" xfId="0"/>
    <xf numFmtId="0" fontId="0" fillId="0" borderId="21" xfId="0" applyBorder="1" applyAlignment="1">
      <alignment horizontal="center" vertical="center"/>
    </xf>
    <xf numFmtId="0" fontId="0" fillId="0" borderId="0" xfId="0"/>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cellXfs>
  <cellStyles count="164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3" xfId="1366"/>
    <cellStyle name="Cálculo 2 10 2 4" xfId="1367"/>
    <cellStyle name="Cálculo 2 10 3" xfId="24"/>
    <cellStyle name="Cálculo 2 11" xfId="25"/>
    <cellStyle name="Cálculo 2 11 2" xfId="26"/>
    <cellStyle name="Cálculo 2 11 2 2" xfId="1368"/>
    <cellStyle name="Cálculo 2 11 2 3" xfId="1369"/>
    <cellStyle name="Cálculo 2 11 2 4" xfId="1370"/>
    <cellStyle name="Cálculo 2 11 3" xfId="27"/>
    <cellStyle name="Cálculo 2 12" xfId="28"/>
    <cellStyle name="Cálculo 2 12 2" xfId="29"/>
    <cellStyle name="Cálculo 2 12 2 2" xfId="1371"/>
    <cellStyle name="Cálculo 2 12 2 3" xfId="1372"/>
    <cellStyle name="Cálculo 2 12 2 4" xfId="1373"/>
    <cellStyle name="Cálculo 2 12 3" xfId="30"/>
    <cellStyle name="Cálculo 2 13" xfId="31"/>
    <cellStyle name="Cálculo 2 13 2" xfId="32"/>
    <cellStyle name="Cálculo 2 13 2 2" xfId="1374"/>
    <cellStyle name="Cálculo 2 13 2 3" xfId="1375"/>
    <cellStyle name="Cálculo 2 13 2 4" xfId="1376"/>
    <cellStyle name="Cálculo 2 13 3" xfId="33"/>
    <cellStyle name="Cálculo 2 14" xfId="34"/>
    <cellStyle name="Cálculo 2 14 2" xfId="35"/>
    <cellStyle name="Cálculo 2 14 2 2" xfId="1377"/>
    <cellStyle name="Cálculo 2 14 2 3" xfId="1378"/>
    <cellStyle name="Cálculo 2 14 2 4" xfId="1379"/>
    <cellStyle name="Cálculo 2 14 3" xfId="36"/>
    <cellStyle name="Cálculo 2 15" xfId="37"/>
    <cellStyle name="Cálculo 2 15 2" xfId="38"/>
    <cellStyle name="Cálculo 2 15 2 2" xfId="1380"/>
    <cellStyle name="Cálculo 2 15 2 3" xfId="1381"/>
    <cellStyle name="Cálculo 2 15 2 4" xfId="1382"/>
    <cellStyle name="Cálculo 2 15 3" xfId="39"/>
    <cellStyle name="Cálculo 2 16" xfId="40"/>
    <cellStyle name="Cálculo 2 16 2" xfId="41"/>
    <cellStyle name="Cálculo 2 16 2 2" xfId="1383"/>
    <cellStyle name="Cálculo 2 16 2 3" xfId="1384"/>
    <cellStyle name="Cálculo 2 16 2 4" xfId="1385"/>
    <cellStyle name="Cálculo 2 16 3" xfId="42"/>
    <cellStyle name="Cálculo 2 17" xfId="43"/>
    <cellStyle name="Cálculo 2 17 2" xfId="44"/>
    <cellStyle name="Cálculo 2 17 2 2" xfId="1386"/>
    <cellStyle name="Cálculo 2 17 2 3" xfId="1387"/>
    <cellStyle name="Cálculo 2 17 2 4" xfId="1388"/>
    <cellStyle name="Cálculo 2 17 3" xfId="45"/>
    <cellStyle name="Cálculo 2 18" xfId="46"/>
    <cellStyle name="Cálculo 2 18 2" xfId="47"/>
    <cellStyle name="Cálculo 2 18 2 2" xfId="1389"/>
    <cellStyle name="Cálculo 2 18 2 3" xfId="1390"/>
    <cellStyle name="Cálculo 2 18 2 4" xfId="1391"/>
    <cellStyle name="Cálculo 2 18 3" xfId="48"/>
    <cellStyle name="Cálculo 2 19" xfId="49"/>
    <cellStyle name="Cálculo 2 19 2" xfId="1392"/>
    <cellStyle name="Cálculo 2 19 3" xfId="1393"/>
    <cellStyle name="Cálculo 2 19 4" xfId="1394"/>
    <cellStyle name="Cálculo 2 2" xfId="50"/>
    <cellStyle name="Cálculo 2 2 2" xfId="51"/>
    <cellStyle name="Cálculo 2 2 2 2" xfId="1395"/>
    <cellStyle name="Cálculo 2 2 2 3" xfId="1396"/>
    <cellStyle name="Cálculo 2 2 2 4" xfId="1397"/>
    <cellStyle name="Cálculo 2 2 3" xfId="52"/>
    <cellStyle name="Cálculo 2 20" xfId="53"/>
    <cellStyle name="Cálculo 2 3" xfId="54"/>
    <cellStyle name="Cálculo 2 3 2" xfId="55"/>
    <cellStyle name="Cálculo 2 3 2 2" xfId="1398"/>
    <cellStyle name="Cálculo 2 3 2 3" xfId="1399"/>
    <cellStyle name="Cálculo 2 3 2 4" xfId="1400"/>
    <cellStyle name="Cálculo 2 3 3" xfId="56"/>
    <cellStyle name="Cálculo 2 4" xfId="57"/>
    <cellStyle name="Cálculo 2 4 2" xfId="58"/>
    <cellStyle name="Cálculo 2 4 2 2" xfId="1401"/>
    <cellStyle name="Cálculo 2 4 2 3" xfId="1402"/>
    <cellStyle name="Cálculo 2 4 2 4" xfId="1403"/>
    <cellStyle name="Cálculo 2 4 3" xfId="59"/>
    <cellStyle name="Cálculo 2 5" xfId="60"/>
    <cellStyle name="Cálculo 2 5 2" xfId="61"/>
    <cellStyle name="Cálculo 2 5 2 2" xfId="1404"/>
    <cellStyle name="Cálculo 2 5 2 3" xfId="1405"/>
    <cellStyle name="Cálculo 2 5 2 4" xfId="1406"/>
    <cellStyle name="Cálculo 2 5 3" xfId="62"/>
    <cellStyle name="Cálculo 2 6" xfId="63"/>
    <cellStyle name="Cálculo 2 6 2" xfId="64"/>
    <cellStyle name="Cálculo 2 6 2 2" xfId="1407"/>
    <cellStyle name="Cálculo 2 6 2 3" xfId="1408"/>
    <cellStyle name="Cálculo 2 6 2 4" xfId="1409"/>
    <cellStyle name="Cálculo 2 6 3" xfId="65"/>
    <cellStyle name="Cálculo 2 7" xfId="66"/>
    <cellStyle name="Cálculo 2 7 2" xfId="67"/>
    <cellStyle name="Cálculo 2 7 2 2" xfId="1410"/>
    <cellStyle name="Cálculo 2 7 2 3" xfId="1411"/>
    <cellStyle name="Cálculo 2 7 2 4" xfId="1412"/>
    <cellStyle name="Cálculo 2 7 3" xfId="68"/>
    <cellStyle name="Cálculo 2 8" xfId="69"/>
    <cellStyle name="Cálculo 2 8 2" xfId="70"/>
    <cellStyle name="Cálculo 2 8 2 2" xfId="1413"/>
    <cellStyle name="Cálculo 2 8 2 3" xfId="1414"/>
    <cellStyle name="Cálculo 2 8 2 4" xfId="1415"/>
    <cellStyle name="Cálculo 2 8 3" xfId="71"/>
    <cellStyle name="Cálculo 2 9" xfId="72"/>
    <cellStyle name="Cálculo 2 9 2" xfId="73"/>
    <cellStyle name="Cálculo 2 9 2 2" xfId="1416"/>
    <cellStyle name="Cálculo 2 9 2 3" xfId="1417"/>
    <cellStyle name="Cálculo 2 9 2 4" xfId="1418"/>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3" xfId="1420"/>
    <cellStyle name="Entrada 2 10 2 4" xfId="1421"/>
    <cellStyle name="Entrada 2 10 3" xfId="91"/>
    <cellStyle name="Entrada 2 11" xfId="92"/>
    <cellStyle name="Entrada 2 11 2" xfId="93"/>
    <cellStyle name="Entrada 2 11 2 2" xfId="1422"/>
    <cellStyle name="Entrada 2 11 2 3" xfId="1423"/>
    <cellStyle name="Entrada 2 11 2 4" xfId="1424"/>
    <cellStyle name="Entrada 2 11 3" xfId="94"/>
    <cellStyle name="Entrada 2 12" xfId="95"/>
    <cellStyle name="Entrada 2 12 2" xfId="96"/>
    <cellStyle name="Entrada 2 12 2 2" xfId="1425"/>
    <cellStyle name="Entrada 2 12 2 3" xfId="1426"/>
    <cellStyle name="Entrada 2 12 2 4" xfId="1427"/>
    <cellStyle name="Entrada 2 12 3" xfId="97"/>
    <cellStyle name="Entrada 2 13" xfId="98"/>
    <cellStyle name="Entrada 2 13 2" xfId="99"/>
    <cellStyle name="Entrada 2 13 2 2" xfId="1428"/>
    <cellStyle name="Entrada 2 13 2 3" xfId="1429"/>
    <cellStyle name="Entrada 2 13 2 4" xfId="1430"/>
    <cellStyle name="Entrada 2 13 3" xfId="100"/>
    <cellStyle name="Entrada 2 14" xfId="101"/>
    <cellStyle name="Entrada 2 14 2" xfId="102"/>
    <cellStyle name="Entrada 2 14 2 2" xfId="1431"/>
    <cellStyle name="Entrada 2 14 2 3" xfId="1432"/>
    <cellStyle name="Entrada 2 14 2 4" xfId="1433"/>
    <cellStyle name="Entrada 2 14 3" xfId="103"/>
    <cellStyle name="Entrada 2 15" xfId="104"/>
    <cellStyle name="Entrada 2 15 2" xfId="105"/>
    <cellStyle name="Entrada 2 15 2 2" xfId="1434"/>
    <cellStyle name="Entrada 2 15 2 3" xfId="1435"/>
    <cellStyle name="Entrada 2 15 2 4" xfId="1436"/>
    <cellStyle name="Entrada 2 15 3" xfId="106"/>
    <cellStyle name="Entrada 2 16" xfId="107"/>
    <cellStyle name="Entrada 2 16 2" xfId="108"/>
    <cellStyle name="Entrada 2 16 2 2" xfId="1437"/>
    <cellStyle name="Entrada 2 16 2 3" xfId="1438"/>
    <cellStyle name="Entrada 2 16 2 4" xfId="1439"/>
    <cellStyle name="Entrada 2 16 3" xfId="109"/>
    <cellStyle name="Entrada 2 17" xfId="110"/>
    <cellStyle name="Entrada 2 17 2" xfId="111"/>
    <cellStyle name="Entrada 2 17 2 2" xfId="1440"/>
    <cellStyle name="Entrada 2 17 2 3" xfId="1441"/>
    <cellStyle name="Entrada 2 17 2 4" xfId="1442"/>
    <cellStyle name="Entrada 2 17 3" xfId="112"/>
    <cellStyle name="Entrada 2 18" xfId="113"/>
    <cellStyle name="Entrada 2 18 2" xfId="114"/>
    <cellStyle name="Entrada 2 18 2 2" xfId="1443"/>
    <cellStyle name="Entrada 2 18 2 3" xfId="1444"/>
    <cellStyle name="Entrada 2 18 2 4" xfId="1445"/>
    <cellStyle name="Entrada 2 18 3" xfId="115"/>
    <cellStyle name="Entrada 2 19" xfId="116"/>
    <cellStyle name="Entrada 2 19 2" xfId="1446"/>
    <cellStyle name="Entrada 2 19 3" xfId="1447"/>
    <cellStyle name="Entrada 2 19 4" xfId="1448"/>
    <cellStyle name="Entrada 2 2" xfId="117"/>
    <cellStyle name="Entrada 2 2 2" xfId="118"/>
    <cellStyle name="Entrada 2 2 2 2" xfId="1449"/>
    <cellStyle name="Entrada 2 2 2 3" xfId="1450"/>
    <cellStyle name="Entrada 2 2 2 4" xfId="1451"/>
    <cellStyle name="Entrada 2 2 3" xfId="119"/>
    <cellStyle name="Entrada 2 20" xfId="120"/>
    <cellStyle name="Entrada 2 3" xfId="121"/>
    <cellStyle name="Entrada 2 3 2" xfId="122"/>
    <cellStyle name="Entrada 2 3 2 2" xfId="1452"/>
    <cellStyle name="Entrada 2 3 2 3" xfId="1453"/>
    <cellStyle name="Entrada 2 3 2 4" xfId="1454"/>
    <cellStyle name="Entrada 2 3 3" xfId="123"/>
    <cellStyle name="Entrada 2 4" xfId="124"/>
    <cellStyle name="Entrada 2 4 2" xfId="125"/>
    <cellStyle name="Entrada 2 4 2 2" xfId="1455"/>
    <cellStyle name="Entrada 2 4 2 3" xfId="1456"/>
    <cellStyle name="Entrada 2 4 2 4" xfId="1457"/>
    <cellStyle name="Entrada 2 4 3" xfId="126"/>
    <cellStyle name="Entrada 2 5" xfId="127"/>
    <cellStyle name="Entrada 2 5 2" xfId="128"/>
    <cellStyle name="Entrada 2 5 2 2" xfId="1458"/>
    <cellStyle name="Entrada 2 5 2 3" xfId="1459"/>
    <cellStyle name="Entrada 2 5 2 4" xfId="1460"/>
    <cellStyle name="Entrada 2 5 3" xfId="129"/>
    <cellStyle name="Entrada 2 6" xfId="130"/>
    <cellStyle name="Entrada 2 6 2" xfId="131"/>
    <cellStyle name="Entrada 2 6 2 2" xfId="1461"/>
    <cellStyle name="Entrada 2 6 2 3" xfId="1462"/>
    <cellStyle name="Entrada 2 6 2 4" xfId="1463"/>
    <cellStyle name="Entrada 2 6 3" xfId="132"/>
    <cellStyle name="Entrada 2 7" xfId="133"/>
    <cellStyle name="Entrada 2 7 2" xfId="134"/>
    <cellStyle name="Entrada 2 7 2 2" xfId="1464"/>
    <cellStyle name="Entrada 2 7 2 3" xfId="1465"/>
    <cellStyle name="Entrada 2 7 2 4" xfId="1466"/>
    <cellStyle name="Entrada 2 7 3" xfId="135"/>
    <cellStyle name="Entrada 2 8" xfId="136"/>
    <cellStyle name="Entrada 2 8 2" xfId="137"/>
    <cellStyle name="Entrada 2 8 2 2" xfId="1467"/>
    <cellStyle name="Entrada 2 8 2 3" xfId="1468"/>
    <cellStyle name="Entrada 2 8 2 4" xfId="1469"/>
    <cellStyle name="Entrada 2 8 3" xfId="138"/>
    <cellStyle name="Entrada 2 9" xfId="139"/>
    <cellStyle name="Entrada 2 9 2" xfId="140"/>
    <cellStyle name="Entrada 2 9 2 2" xfId="1470"/>
    <cellStyle name="Entrada 2 9 2 3" xfId="1471"/>
    <cellStyle name="Entrada 2 9 2 4" xfId="1472"/>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43" builtinId="8"/>
    <cellStyle name="Hipervínculo 2" xfId="161"/>
    <cellStyle name="Hipervínculo 2 2" xfId="1473"/>
    <cellStyle name="Hipervínculo 3" xfId="1474"/>
    <cellStyle name="Hipervínculo 4" xfId="1475"/>
    <cellStyle name="Hyperlink 2" xfId="162"/>
    <cellStyle name="Incorrecto 2" xfId="163"/>
    <cellStyle name="Millares 2" xfId="164"/>
    <cellStyle name="Millares 2 10" xfId="165"/>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75"/>
    <cellStyle name="Millares 3" xfId="176"/>
    <cellStyle name="Millares 3 2" xfId="177"/>
    <cellStyle name="Millares 3 3" xfId="178"/>
    <cellStyle name="Millares 3 4" xfId="179"/>
    <cellStyle name="Millares 4" xfId="180"/>
    <cellStyle name="Millares 4 10" xfId="181"/>
    <cellStyle name="Millares 4 11" xfId="182"/>
    <cellStyle name="Millares 4 12" xfId="183"/>
    <cellStyle name="Millares 4 13" xfId="184"/>
    <cellStyle name="Millares 4 14" xfId="185"/>
    <cellStyle name="Millares 4 15" xfId="186"/>
    <cellStyle name="Millares 4 16" xfId="187"/>
    <cellStyle name="Millares 4 17" xfId="188"/>
    <cellStyle name="Millares 4 18" xfId="189"/>
    <cellStyle name="Millares 4 19" xfId="190"/>
    <cellStyle name="Millares 4 2" xfId="191"/>
    <cellStyle name="Millares 4 2 10" xfId="192"/>
    <cellStyle name="Millares 4 2 11" xfId="193"/>
    <cellStyle name="Millares 4 2 12" xfId="194"/>
    <cellStyle name="Millares 4 2 13" xfId="195"/>
    <cellStyle name="Millares 4 2 14" xfId="196"/>
    <cellStyle name="Millares 4 2 15" xfId="197"/>
    <cellStyle name="Millares 4 2 16" xfId="198"/>
    <cellStyle name="Millares 4 2 17" xfId="199"/>
    <cellStyle name="Millares 4 2 18" xfId="200"/>
    <cellStyle name="Millares 4 2 19" xfId="201"/>
    <cellStyle name="Millares 4 2 2" xfId="202"/>
    <cellStyle name="Millares 4 2 2 10" xfId="203"/>
    <cellStyle name="Millares 4 2 2 11" xfId="204"/>
    <cellStyle name="Millares 4 2 2 12" xfId="205"/>
    <cellStyle name="Millares 4 2 2 13" xfId="206"/>
    <cellStyle name="Millares 4 2 2 14" xfId="207"/>
    <cellStyle name="Millares 4 2 2 15" xfId="208"/>
    <cellStyle name="Millares 4 2 2 16" xfId="209"/>
    <cellStyle name="Millares 4 2 2 17" xfId="210"/>
    <cellStyle name="Millares 4 2 2 18" xfId="211"/>
    <cellStyle name="Millares 4 2 2 2" xfId="212"/>
    <cellStyle name="Millares 4 2 2 3" xfId="213"/>
    <cellStyle name="Millares 4 2 2 4" xfId="214"/>
    <cellStyle name="Millares 4 2 2 5" xfId="215"/>
    <cellStyle name="Millares 4 2 2 6" xfId="216"/>
    <cellStyle name="Millares 4 2 2 7" xfId="217"/>
    <cellStyle name="Millares 4 2 2 8" xfId="218"/>
    <cellStyle name="Millares 4 2 2 9" xfId="219"/>
    <cellStyle name="Millares 4 2 3" xfId="220"/>
    <cellStyle name="Millares 4 2 3 2" xfId="221"/>
    <cellStyle name="Millares 4 2 3 3" xfId="222"/>
    <cellStyle name="Millares 4 2 3 4" xfId="223"/>
    <cellStyle name="Millares 4 2 3 5" xfId="224"/>
    <cellStyle name="Millares 4 2 4" xfId="225"/>
    <cellStyle name="Millares 4 2 5" xfId="226"/>
    <cellStyle name="Millares 4 2 6" xfId="227"/>
    <cellStyle name="Millares 4 2 7" xfId="228"/>
    <cellStyle name="Millares 4 2 8" xfId="229"/>
    <cellStyle name="Millares 4 2 9" xfId="230"/>
    <cellStyle name="Millares 4 20" xfId="231"/>
    <cellStyle name="Millares 4 21" xfId="232"/>
    <cellStyle name="Millares 4 22" xfId="233"/>
    <cellStyle name="Millares 4 3" xfId="234"/>
    <cellStyle name="Millares 4 3 10" xfId="235"/>
    <cellStyle name="Millares 4 3 11" xfId="236"/>
    <cellStyle name="Millares 4 3 12" xfId="237"/>
    <cellStyle name="Millares 4 3 13" xfId="238"/>
    <cellStyle name="Millares 4 3 14" xfId="239"/>
    <cellStyle name="Millares 4 3 15" xfId="240"/>
    <cellStyle name="Millares 4 3 16" xfId="241"/>
    <cellStyle name="Millares 4 3 17" xfId="242"/>
    <cellStyle name="Millares 4 3 18" xfId="243"/>
    <cellStyle name="Millares 4 3 19" xfId="244"/>
    <cellStyle name="Millares 4 3 2" xfId="245"/>
    <cellStyle name="Millares 4 3 2 10" xfId="246"/>
    <cellStyle name="Millares 4 3 2 11" xfId="247"/>
    <cellStyle name="Millares 4 3 2 12" xfId="248"/>
    <cellStyle name="Millares 4 3 2 13" xfId="249"/>
    <cellStyle name="Millares 4 3 2 14" xfId="250"/>
    <cellStyle name="Millares 4 3 2 15" xfId="251"/>
    <cellStyle name="Millares 4 3 2 16" xfId="252"/>
    <cellStyle name="Millares 4 3 2 17" xfId="253"/>
    <cellStyle name="Millares 4 3 2 18" xfId="254"/>
    <cellStyle name="Millares 4 3 2 2" xfId="255"/>
    <cellStyle name="Millares 4 3 2 3" xfId="256"/>
    <cellStyle name="Millares 4 3 2 4" xfId="257"/>
    <cellStyle name="Millares 4 3 2 5" xfId="258"/>
    <cellStyle name="Millares 4 3 2 6" xfId="259"/>
    <cellStyle name="Millares 4 3 2 7" xfId="260"/>
    <cellStyle name="Millares 4 3 2 8" xfId="261"/>
    <cellStyle name="Millares 4 3 2 9" xfId="262"/>
    <cellStyle name="Millares 4 3 3" xfId="263"/>
    <cellStyle name="Millares 4 3 4" xfId="264"/>
    <cellStyle name="Millares 4 3 5" xfId="265"/>
    <cellStyle name="Millares 4 3 6" xfId="266"/>
    <cellStyle name="Millares 4 3 7" xfId="267"/>
    <cellStyle name="Millares 4 3 8" xfId="268"/>
    <cellStyle name="Millares 4 3 9" xfId="269"/>
    <cellStyle name="Millares 4 4" xfId="270"/>
    <cellStyle name="Millares 4 4 10" xfId="271"/>
    <cellStyle name="Millares 4 4 11" xfId="272"/>
    <cellStyle name="Millares 4 4 12" xfId="273"/>
    <cellStyle name="Millares 4 4 13" xfId="274"/>
    <cellStyle name="Millares 4 4 14" xfId="275"/>
    <cellStyle name="Millares 4 4 15" xfId="276"/>
    <cellStyle name="Millares 4 4 16" xfId="277"/>
    <cellStyle name="Millares 4 4 17" xfId="278"/>
    <cellStyle name="Millares 4 4 18" xfId="279"/>
    <cellStyle name="Millares 4 4 2" xfId="280"/>
    <cellStyle name="Millares 4 4 3" xfId="281"/>
    <cellStyle name="Millares 4 4 4" xfId="282"/>
    <cellStyle name="Millares 4 4 5" xfId="283"/>
    <cellStyle name="Millares 4 4 6" xfId="284"/>
    <cellStyle name="Millares 4 4 7" xfId="285"/>
    <cellStyle name="Millares 4 4 8" xfId="286"/>
    <cellStyle name="Millares 4 4 9" xfId="287"/>
    <cellStyle name="Millares 4 5" xfId="288"/>
    <cellStyle name="Millares 4 6" xfId="289"/>
    <cellStyle name="Millares 4 7" xfId="290"/>
    <cellStyle name="Millares 4 8" xfId="291"/>
    <cellStyle name="Millares 4 9" xfId="292"/>
    <cellStyle name="Moneda 10 2" xfId="293"/>
    <cellStyle name="Moneda 11" xfId="294"/>
    <cellStyle name="Moneda 11 10" xfId="295"/>
    <cellStyle name="Moneda 11 11" xfId="296"/>
    <cellStyle name="Moneda 11 12" xfId="297"/>
    <cellStyle name="Moneda 11 13" xfId="298"/>
    <cellStyle name="Moneda 11 14" xfId="299"/>
    <cellStyle name="Moneda 11 15" xfId="300"/>
    <cellStyle name="Moneda 11 16" xfId="301"/>
    <cellStyle name="Moneda 11 17" xfId="302"/>
    <cellStyle name="Moneda 11 18" xfId="303"/>
    <cellStyle name="Moneda 11 19" xfId="304"/>
    <cellStyle name="Moneda 11 2" xfId="305"/>
    <cellStyle name="Moneda 11 20" xfId="306"/>
    <cellStyle name="Moneda 11 21" xfId="307"/>
    <cellStyle name="Moneda 11 22" xfId="308"/>
    <cellStyle name="Moneda 11 23" xfId="309"/>
    <cellStyle name="Moneda 11 24" xfId="310"/>
    <cellStyle name="Moneda 11 25" xfId="311"/>
    <cellStyle name="Moneda 11 26" xfId="312"/>
    <cellStyle name="Moneda 11 27" xfId="313"/>
    <cellStyle name="Moneda 11 28" xfId="314"/>
    <cellStyle name="Moneda 11 29" xfId="315"/>
    <cellStyle name="Moneda 11 3" xfId="316"/>
    <cellStyle name="Moneda 11 30" xfId="317"/>
    <cellStyle name="Moneda 11 31" xfId="318"/>
    <cellStyle name="Moneda 11 32" xfId="319"/>
    <cellStyle name="Moneda 11 33" xfId="320"/>
    <cellStyle name="Moneda 11 4" xfId="321"/>
    <cellStyle name="Moneda 11 5" xfId="322"/>
    <cellStyle name="Moneda 11 6" xfId="323"/>
    <cellStyle name="Moneda 11 7" xfId="324"/>
    <cellStyle name="Moneda 11 8" xfId="325"/>
    <cellStyle name="Moneda 11 9" xfId="326"/>
    <cellStyle name="Moneda 12" xfId="327"/>
    <cellStyle name="Moneda 12 10" xfId="328"/>
    <cellStyle name="Moneda 12 11" xfId="329"/>
    <cellStyle name="Moneda 12 12" xfId="330"/>
    <cellStyle name="Moneda 12 13" xfId="331"/>
    <cellStyle name="Moneda 12 14" xfId="332"/>
    <cellStyle name="Moneda 12 15" xfId="333"/>
    <cellStyle name="Moneda 12 15 2" xfId="334"/>
    <cellStyle name="Moneda 12 15 2 2" xfId="335"/>
    <cellStyle name="Moneda 12 15 3" xfId="336"/>
    <cellStyle name="Moneda 12 16" xfId="337"/>
    <cellStyle name="Moneda 12 17" xfId="338"/>
    <cellStyle name="Moneda 12 18" xfId="339"/>
    <cellStyle name="Moneda 12 19" xfId="340"/>
    <cellStyle name="Moneda 12 2" xfId="341"/>
    <cellStyle name="Moneda 12 20" xfId="342"/>
    <cellStyle name="Moneda 12 21" xfId="343"/>
    <cellStyle name="Moneda 12 22" xfId="344"/>
    <cellStyle name="Moneda 12 23" xfId="345"/>
    <cellStyle name="Moneda 12 24" xfId="346"/>
    <cellStyle name="Moneda 12 25" xfId="347"/>
    <cellStyle name="Moneda 12 26" xfId="348"/>
    <cellStyle name="Moneda 12 27" xfId="349"/>
    <cellStyle name="Moneda 12 28" xfId="350"/>
    <cellStyle name="Moneda 12 29" xfId="351"/>
    <cellStyle name="Moneda 12 3" xfId="352"/>
    <cellStyle name="Moneda 12 30" xfId="353"/>
    <cellStyle name="Moneda 12 31" xfId="354"/>
    <cellStyle name="Moneda 12 32" xfId="355"/>
    <cellStyle name="Moneda 12 33" xfId="356"/>
    <cellStyle name="Moneda 12 4" xfId="357"/>
    <cellStyle name="Moneda 12 5" xfId="358"/>
    <cellStyle name="Moneda 12 6" xfId="359"/>
    <cellStyle name="Moneda 12 7" xfId="360"/>
    <cellStyle name="Moneda 12 8" xfId="361"/>
    <cellStyle name="Moneda 12 9" xfId="362"/>
    <cellStyle name="Moneda 13" xfId="1476"/>
    <cellStyle name="Moneda 14" xfId="363"/>
    <cellStyle name="Moneda 14 2" xfId="364"/>
    <cellStyle name="Moneda 2" xfId="365"/>
    <cellStyle name="Moneda 2 10" xfId="366"/>
    <cellStyle name="Moneda 2 11" xfId="367"/>
    <cellStyle name="Moneda 2 12" xfId="368"/>
    <cellStyle name="Moneda 2 13" xfId="369"/>
    <cellStyle name="Moneda 2 14" xfId="370"/>
    <cellStyle name="Moneda 2 15" xfId="371"/>
    <cellStyle name="Moneda 2 16" xfId="372"/>
    <cellStyle name="Moneda 2 17" xfId="373"/>
    <cellStyle name="Moneda 2 18" xfId="374"/>
    <cellStyle name="Moneda 2 19" xfId="375"/>
    <cellStyle name="Moneda 2 2" xfId="376"/>
    <cellStyle name="Moneda 2 2 12" xfId="377"/>
    <cellStyle name="Moneda 2 20" xfId="378"/>
    <cellStyle name="Moneda 2 21" xfId="379"/>
    <cellStyle name="Moneda 2 22" xfId="380"/>
    <cellStyle name="Moneda 2 23" xfId="381"/>
    <cellStyle name="Moneda 2 24" xfId="382"/>
    <cellStyle name="Moneda 2 25" xfId="383"/>
    <cellStyle name="Moneda 2 26" xfId="384"/>
    <cellStyle name="Moneda 2 27" xfId="385"/>
    <cellStyle name="Moneda 2 28" xfId="386"/>
    <cellStyle name="Moneda 2 29" xfId="387"/>
    <cellStyle name="Moneda 2 3" xfId="388"/>
    <cellStyle name="Moneda 2 30" xfId="389"/>
    <cellStyle name="Moneda 2 31" xfId="390"/>
    <cellStyle name="Moneda 2 32" xfId="391"/>
    <cellStyle name="Moneda 2 33" xfId="392"/>
    <cellStyle name="Moneda 2 4" xfId="393"/>
    <cellStyle name="Moneda 2 5" xfId="394"/>
    <cellStyle name="Moneda 2 6" xfId="395"/>
    <cellStyle name="Moneda 2 7" xfId="396"/>
    <cellStyle name="Moneda 2 8" xfId="397"/>
    <cellStyle name="Moneda 2 9" xfId="398"/>
    <cellStyle name="Moneda 3" xfId="399"/>
    <cellStyle name="Moneda 3 2" xfId="400"/>
    <cellStyle name="Moneda 3 3" xfId="401"/>
    <cellStyle name="Moneda 3 4" xfId="402"/>
    <cellStyle name="Moneda 3 5" xfId="403"/>
    <cellStyle name="Moneda 3 6" xfId="404"/>
    <cellStyle name="Moneda 4" xfId="405"/>
    <cellStyle name="Moneda 4 2" xfId="406"/>
    <cellStyle name="Moneda 4 3" xfId="407"/>
    <cellStyle name="Moneda 4 4" xfId="408"/>
    <cellStyle name="Moneda 5" xfId="409"/>
    <cellStyle name="Moneda 5 2" xfId="410"/>
    <cellStyle name="Moneda 6" xfId="411"/>
    <cellStyle name="Moneda 6 2" xfId="412"/>
    <cellStyle name="Moneda 6 2 2" xfId="413"/>
    <cellStyle name="Moneda 6 2 4" xfId="414"/>
    <cellStyle name="Moneda 6 2 4 2" xfId="415"/>
    <cellStyle name="Moneda 6 3" xfId="416"/>
    <cellStyle name="Moneda 6 3 2" xfId="417"/>
    <cellStyle name="Moneda 6 4" xfId="418"/>
    <cellStyle name="Moneda 6 4 2" xfId="419"/>
    <cellStyle name="Moneda 6 4 2 2" xfId="420"/>
    <cellStyle name="Moneda 6 5" xfId="421"/>
    <cellStyle name="Moneda 6 5 2" xfId="422"/>
    <cellStyle name="Moneda 6 5 2 2" xfId="42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3" xfId="463"/>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3" xfId="1482"/>
    <cellStyle name="Notas 2 10 2 4" xfId="1483"/>
    <cellStyle name="Notas 2 10 3" xfId="1158"/>
    <cellStyle name="Notas 2 11" xfId="1159"/>
    <cellStyle name="Notas 2 11 2" xfId="1160"/>
    <cellStyle name="Notas 2 11 2 2" xfId="1484"/>
    <cellStyle name="Notas 2 11 2 3" xfId="1485"/>
    <cellStyle name="Notas 2 11 2 4" xfId="1486"/>
    <cellStyle name="Notas 2 11 3" xfId="1161"/>
    <cellStyle name="Notas 2 12" xfId="1162"/>
    <cellStyle name="Notas 2 12 2" xfId="1163"/>
    <cellStyle name="Notas 2 12 2 2" xfId="1487"/>
    <cellStyle name="Notas 2 12 2 3" xfId="1488"/>
    <cellStyle name="Notas 2 12 2 4" xfId="1489"/>
    <cellStyle name="Notas 2 12 3" xfId="1164"/>
    <cellStyle name="Notas 2 13" xfId="1165"/>
    <cellStyle name="Notas 2 13 2" xfId="1166"/>
    <cellStyle name="Notas 2 13 2 2" xfId="1490"/>
    <cellStyle name="Notas 2 13 2 3" xfId="1491"/>
    <cellStyle name="Notas 2 13 2 4" xfId="1492"/>
    <cellStyle name="Notas 2 13 3" xfId="1167"/>
    <cellStyle name="Notas 2 14" xfId="1168"/>
    <cellStyle name="Notas 2 14 2" xfId="1169"/>
    <cellStyle name="Notas 2 14 2 2" xfId="1493"/>
    <cellStyle name="Notas 2 14 2 3" xfId="1494"/>
    <cellStyle name="Notas 2 14 2 4" xfId="1495"/>
    <cellStyle name="Notas 2 14 3" xfId="1170"/>
    <cellStyle name="Notas 2 15" xfId="1171"/>
    <cellStyle name="Notas 2 15 2" xfId="1172"/>
    <cellStyle name="Notas 2 15 2 2" xfId="1496"/>
    <cellStyle name="Notas 2 15 2 3" xfId="1497"/>
    <cellStyle name="Notas 2 15 2 4" xfId="1498"/>
    <cellStyle name="Notas 2 15 3" xfId="1173"/>
    <cellStyle name="Notas 2 16" xfId="1174"/>
    <cellStyle name="Notas 2 16 2" xfId="1175"/>
    <cellStyle name="Notas 2 16 2 2" xfId="1499"/>
    <cellStyle name="Notas 2 16 2 3" xfId="1500"/>
    <cellStyle name="Notas 2 16 2 4" xfId="1501"/>
    <cellStyle name="Notas 2 16 3" xfId="1176"/>
    <cellStyle name="Notas 2 17" xfId="1177"/>
    <cellStyle name="Notas 2 17 2" xfId="1178"/>
    <cellStyle name="Notas 2 17 2 2" xfId="1502"/>
    <cellStyle name="Notas 2 17 2 3" xfId="1503"/>
    <cellStyle name="Notas 2 17 2 4" xfId="1504"/>
    <cellStyle name="Notas 2 17 3" xfId="1179"/>
    <cellStyle name="Notas 2 18" xfId="1180"/>
    <cellStyle name="Notas 2 18 2" xfId="1181"/>
    <cellStyle name="Notas 2 18 2 2" xfId="1505"/>
    <cellStyle name="Notas 2 18 2 3" xfId="1506"/>
    <cellStyle name="Notas 2 18 2 4" xfId="1507"/>
    <cellStyle name="Notas 2 18 3" xfId="1182"/>
    <cellStyle name="Notas 2 19" xfId="1183"/>
    <cellStyle name="Notas 2 19 2" xfId="1508"/>
    <cellStyle name="Notas 2 19 3" xfId="1509"/>
    <cellStyle name="Notas 2 19 4" xfId="1510"/>
    <cellStyle name="Notas 2 2" xfId="1184"/>
    <cellStyle name="Notas 2 2 2" xfId="1185"/>
    <cellStyle name="Notas 2 2 2 2" xfId="1511"/>
    <cellStyle name="Notas 2 2 2 3" xfId="1512"/>
    <cellStyle name="Notas 2 2 2 4" xfId="1513"/>
    <cellStyle name="Notas 2 2 3" xfId="1186"/>
    <cellStyle name="Notas 2 20" xfId="1187"/>
    <cellStyle name="Notas 2 3" xfId="1188"/>
    <cellStyle name="Notas 2 3 2" xfId="1189"/>
    <cellStyle name="Notas 2 3 2 2" xfId="1514"/>
    <cellStyle name="Notas 2 3 2 3" xfId="1515"/>
    <cellStyle name="Notas 2 3 2 4" xfId="1516"/>
    <cellStyle name="Notas 2 3 3" xfId="1190"/>
    <cellStyle name="Notas 2 4" xfId="1191"/>
    <cellStyle name="Notas 2 4 2" xfId="1192"/>
    <cellStyle name="Notas 2 4 2 2" xfId="1517"/>
    <cellStyle name="Notas 2 4 2 3" xfId="1518"/>
    <cellStyle name="Notas 2 4 2 4" xfId="1519"/>
    <cellStyle name="Notas 2 4 3" xfId="1193"/>
    <cellStyle name="Notas 2 5" xfId="1194"/>
    <cellStyle name="Notas 2 5 2" xfId="1195"/>
    <cellStyle name="Notas 2 5 2 2" xfId="1520"/>
    <cellStyle name="Notas 2 5 2 3" xfId="1521"/>
    <cellStyle name="Notas 2 5 2 4" xfId="1522"/>
    <cellStyle name="Notas 2 5 3" xfId="1196"/>
    <cellStyle name="Notas 2 6" xfId="1197"/>
    <cellStyle name="Notas 2 6 2" xfId="1198"/>
    <cellStyle name="Notas 2 6 2 2" xfId="1523"/>
    <cellStyle name="Notas 2 6 2 3" xfId="1524"/>
    <cellStyle name="Notas 2 6 2 4" xfId="1525"/>
    <cellStyle name="Notas 2 6 3" xfId="1199"/>
    <cellStyle name="Notas 2 7" xfId="1200"/>
    <cellStyle name="Notas 2 7 2" xfId="1201"/>
    <cellStyle name="Notas 2 7 2 2" xfId="1526"/>
    <cellStyle name="Notas 2 7 2 3" xfId="1527"/>
    <cellStyle name="Notas 2 7 2 4" xfId="1528"/>
    <cellStyle name="Notas 2 7 3" xfId="1202"/>
    <cellStyle name="Notas 2 8" xfId="1203"/>
    <cellStyle name="Notas 2 8 2" xfId="1204"/>
    <cellStyle name="Notas 2 8 2 2" xfId="1529"/>
    <cellStyle name="Notas 2 8 2 3" xfId="1530"/>
    <cellStyle name="Notas 2 8 2 4" xfId="1531"/>
    <cellStyle name="Notas 2 8 3" xfId="1205"/>
    <cellStyle name="Notas 2 9" xfId="1206"/>
    <cellStyle name="Notas 2 9 2" xfId="1207"/>
    <cellStyle name="Notas 2 9 2 2" xfId="1532"/>
    <cellStyle name="Notas 2 9 2 3" xfId="1533"/>
    <cellStyle name="Notas 2 9 2 4" xfId="1534"/>
    <cellStyle name="Notas 2 9 3" xfId="1208"/>
    <cellStyle name="Porcentaje 2" xfId="1209"/>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3" xfId="1536"/>
    <cellStyle name="Salida 2 10 2 4" xfId="1537"/>
    <cellStyle name="Salida 2 10 3" xfId="1254"/>
    <cellStyle name="Salida 2 11" xfId="1255"/>
    <cellStyle name="Salida 2 11 2" xfId="1256"/>
    <cellStyle name="Salida 2 11 2 2" xfId="1538"/>
    <cellStyle name="Salida 2 11 2 3" xfId="1539"/>
    <cellStyle name="Salida 2 11 2 4" xfId="1540"/>
    <cellStyle name="Salida 2 11 3" xfId="1257"/>
    <cellStyle name="Salida 2 12" xfId="1258"/>
    <cellStyle name="Salida 2 12 2" xfId="1259"/>
    <cellStyle name="Salida 2 12 2 2" xfId="1541"/>
    <cellStyle name="Salida 2 12 2 3" xfId="1542"/>
    <cellStyle name="Salida 2 12 2 4" xfId="1543"/>
    <cellStyle name="Salida 2 12 3" xfId="1260"/>
    <cellStyle name="Salida 2 13" xfId="1261"/>
    <cellStyle name="Salida 2 13 2" xfId="1262"/>
    <cellStyle name="Salida 2 13 2 2" xfId="1544"/>
    <cellStyle name="Salida 2 13 2 3" xfId="1545"/>
    <cellStyle name="Salida 2 13 2 4" xfId="1546"/>
    <cellStyle name="Salida 2 13 3" xfId="1263"/>
    <cellStyle name="Salida 2 14" xfId="1264"/>
    <cellStyle name="Salida 2 14 2" xfId="1265"/>
    <cellStyle name="Salida 2 14 2 2" xfId="1547"/>
    <cellStyle name="Salida 2 14 2 3" xfId="1548"/>
    <cellStyle name="Salida 2 14 2 4" xfId="1549"/>
    <cellStyle name="Salida 2 14 3" xfId="1266"/>
    <cellStyle name="Salida 2 15" xfId="1267"/>
    <cellStyle name="Salida 2 15 2" xfId="1268"/>
    <cellStyle name="Salida 2 15 2 2" xfId="1550"/>
    <cellStyle name="Salida 2 15 2 3" xfId="1551"/>
    <cellStyle name="Salida 2 15 2 4" xfId="1552"/>
    <cellStyle name="Salida 2 15 3" xfId="1269"/>
    <cellStyle name="Salida 2 16" xfId="1270"/>
    <cellStyle name="Salida 2 16 2" xfId="1271"/>
    <cellStyle name="Salida 2 16 2 2" xfId="1553"/>
    <cellStyle name="Salida 2 16 2 3" xfId="1554"/>
    <cellStyle name="Salida 2 16 2 4" xfId="1555"/>
    <cellStyle name="Salida 2 16 3" xfId="1272"/>
    <cellStyle name="Salida 2 17" xfId="1273"/>
    <cellStyle name="Salida 2 17 2" xfId="1274"/>
    <cellStyle name="Salida 2 17 2 2" xfId="1556"/>
    <cellStyle name="Salida 2 17 2 3" xfId="1557"/>
    <cellStyle name="Salida 2 17 2 4" xfId="1558"/>
    <cellStyle name="Salida 2 17 3" xfId="1275"/>
    <cellStyle name="Salida 2 18" xfId="1276"/>
    <cellStyle name="Salida 2 18 2" xfId="1277"/>
    <cellStyle name="Salida 2 18 2 2" xfId="1559"/>
    <cellStyle name="Salida 2 18 2 3" xfId="1560"/>
    <cellStyle name="Salida 2 18 2 4" xfId="1561"/>
    <cellStyle name="Salida 2 18 3" xfId="1278"/>
    <cellStyle name="Salida 2 19" xfId="1279"/>
    <cellStyle name="Salida 2 19 2" xfId="1562"/>
    <cellStyle name="Salida 2 19 3" xfId="1563"/>
    <cellStyle name="Salida 2 19 4" xfId="1564"/>
    <cellStyle name="Salida 2 2" xfId="1280"/>
    <cellStyle name="Salida 2 2 2" xfId="1281"/>
    <cellStyle name="Salida 2 2 2 2" xfId="1565"/>
    <cellStyle name="Salida 2 2 2 3" xfId="1566"/>
    <cellStyle name="Salida 2 2 2 4" xfId="1567"/>
    <cellStyle name="Salida 2 2 3" xfId="1282"/>
    <cellStyle name="Salida 2 20" xfId="1283"/>
    <cellStyle name="Salida 2 3" xfId="1284"/>
    <cellStyle name="Salida 2 3 2" xfId="1285"/>
    <cellStyle name="Salida 2 3 2 2" xfId="1568"/>
    <cellStyle name="Salida 2 3 2 3" xfId="1569"/>
    <cellStyle name="Salida 2 3 2 4" xfId="1570"/>
    <cellStyle name="Salida 2 3 3" xfId="1286"/>
    <cellStyle name="Salida 2 4" xfId="1287"/>
    <cellStyle name="Salida 2 4 2" xfId="1288"/>
    <cellStyle name="Salida 2 4 2 2" xfId="1571"/>
    <cellStyle name="Salida 2 4 2 3" xfId="1572"/>
    <cellStyle name="Salida 2 4 2 4" xfId="1573"/>
    <cellStyle name="Salida 2 4 3" xfId="1289"/>
    <cellStyle name="Salida 2 5" xfId="1290"/>
    <cellStyle name="Salida 2 5 2" xfId="1291"/>
    <cellStyle name="Salida 2 5 2 2" xfId="1574"/>
    <cellStyle name="Salida 2 5 2 3" xfId="1575"/>
    <cellStyle name="Salida 2 5 2 4" xfId="1576"/>
    <cellStyle name="Salida 2 5 3" xfId="1292"/>
    <cellStyle name="Salida 2 6" xfId="1293"/>
    <cellStyle name="Salida 2 6 2" xfId="1294"/>
    <cellStyle name="Salida 2 6 2 2" xfId="1577"/>
    <cellStyle name="Salida 2 6 2 3" xfId="1578"/>
    <cellStyle name="Salida 2 6 2 4" xfId="1579"/>
    <cellStyle name="Salida 2 6 3" xfId="1295"/>
    <cellStyle name="Salida 2 7" xfId="1296"/>
    <cellStyle name="Salida 2 7 2" xfId="1297"/>
    <cellStyle name="Salida 2 7 2 2" xfId="1580"/>
    <cellStyle name="Salida 2 7 2 3" xfId="1581"/>
    <cellStyle name="Salida 2 7 2 4" xfId="1582"/>
    <cellStyle name="Salida 2 7 3" xfId="1298"/>
    <cellStyle name="Salida 2 8" xfId="1299"/>
    <cellStyle name="Salida 2 8 2" xfId="1300"/>
    <cellStyle name="Salida 2 8 2 2" xfId="1583"/>
    <cellStyle name="Salida 2 8 2 3" xfId="1584"/>
    <cellStyle name="Salida 2 8 2 4" xfId="1585"/>
    <cellStyle name="Salida 2 8 3" xfId="1301"/>
    <cellStyle name="Salida 2 9" xfId="1302"/>
    <cellStyle name="Salida 2 9 2" xfId="1303"/>
    <cellStyle name="Salida 2 9 2 2" xfId="1586"/>
    <cellStyle name="Salida 2 9 2 3" xfId="1587"/>
    <cellStyle name="Salida 2 9 2 4" xfId="1588"/>
    <cellStyle name="Salida 2 9 3" xfId="1304"/>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3" xfId="1590"/>
    <cellStyle name="Total 2 10 2 4" xfId="1591"/>
    <cellStyle name="Total 2 10 3" xfId="1314"/>
    <cellStyle name="Total 2 11" xfId="1315"/>
    <cellStyle name="Total 2 11 2" xfId="1316"/>
    <cellStyle name="Total 2 11 2 2" xfId="1592"/>
    <cellStyle name="Total 2 11 2 3" xfId="1593"/>
    <cellStyle name="Total 2 11 2 4" xfId="1594"/>
    <cellStyle name="Total 2 11 3" xfId="1317"/>
    <cellStyle name="Total 2 12" xfId="1318"/>
    <cellStyle name="Total 2 12 2" xfId="1319"/>
    <cellStyle name="Total 2 12 2 2" xfId="1595"/>
    <cellStyle name="Total 2 12 2 3" xfId="1596"/>
    <cellStyle name="Total 2 12 2 4" xfId="1597"/>
    <cellStyle name="Total 2 12 3" xfId="1320"/>
    <cellStyle name="Total 2 13" xfId="1321"/>
    <cellStyle name="Total 2 13 2" xfId="1322"/>
    <cellStyle name="Total 2 13 2 2" xfId="1598"/>
    <cellStyle name="Total 2 13 2 3" xfId="1599"/>
    <cellStyle name="Total 2 13 2 4" xfId="1600"/>
    <cellStyle name="Total 2 13 3" xfId="1323"/>
    <cellStyle name="Total 2 14" xfId="1324"/>
    <cellStyle name="Total 2 14 2" xfId="1325"/>
    <cellStyle name="Total 2 14 2 2" xfId="1601"/>
    <cellStyle name="Total 2 14 2 3" xfId="1602"/>
    <cellStyle name="Total 2 14 2 4" xfId="1603"/>
    <cellStyle name="Total 2 14 3" xfId="1326"/>
    <cellStyle name="Total 2 15" xfId="1327"/>
    <cellStyle name="Total 2 15 2" xfId="1328"/>
    <cellStyle name="Total 2 15 2 2" xfId="1604"/>
    <cellStyle name="Total 2 15 2 3" xfId="1605"/>
    <cellStyle name="Total 2 15 2 4" xfId="1606"/>
    <cellStyle name="Total 2 15 3" xfId="1329"/>
    <cellStyle name="Total 2 16" xfId="1330"/>
    <cellStyle name="Total 2 16 2" xfId="1331"/>
    <cellStyle name="Total 2 16 2 2" xfId="1607"/>
    <cellStyle name="Total 2 16 2 3" xfId="1608"/>
    <cellStyle name="Total 2 16 2 4" xfId="1609"/>
    <cellStyle name="Total 2 16 3" xfId="1332"/>
    <cellStyle name="Total 2 17" xfId="1333"/>
    <cellStyle name="Total 2 17 2" xfId="1334"/>
    <cellStyle name="Total 2 17 2 2" xfId="1610"/>
    <cellStyle name="Total 2 17 2 3" xfId="1611"/>
    <cellStyle name="Total 2 17 2 4" xfId="1612"/>
    <cellStyle name="Total 2 17 3" xfId="1335"/>
    <cellStyle name="Total 2 18" xfId="1336"/>
    <cellStyle name="Total 2 18 2" xfId="1337"/>
    <cellStyle name="Total 2 18 2 2" xfId="1613"/>
    <cellStyle name="Total 2 18 2 3" xfId="1614"/>
    <cellStyle name="Total 2 18 2 4" xfId="1615"/>
    <cellStyle name="Total 2 18 3" xfId="1338"/>
    <cellStyle name="Total 2 19" xfId="1339"/>
    <cellStyle name="Total 2 19 2" xfId="1616"/>
    <cellStyle name="Total 2 19 3" xfId="1617"/>
    <cellStyle name="Total 2 19 4" xfId="1618"/>
    <cellStyle name="Total 2 2" xfId="1340"/>
    <cellStyle name="Total 2 2 2" xfId="1341"/>
    <cellStyle name="Total 2 2 2 2" xfId="1619"/>
    <cellStyle name="Total 2 2 2 3" xfId="1620"/>
    <cellStyle name="Total 2 2 2 4" xfId="1621"/>
    <cellStyle name="Total 2 2 3" xfId="1342"/>
    <cellStyle name="Total 2 20" xfId="1343"/>
    <cellStyle name="Total 2 3" xfId="1344"/>
    <cellStyle name="Total 2 3 2" xfId="1345"/>
    <cellStyle name="Total 2 3 2 2" xfId="1622"/>
    <cellStyle name="Total 2 3 2 3" xfId="1623"/>
    <cellStyle name="Total 2 3 2 4" xfId="1624"/>
    <cellStyle name="Total 2 3 3" xfId="1346"/>
    <cellStyle name="Total 2 4" xfId="1347"/>
    <cellStyle name="Total 2 4 2" xfId="1348"/>
    <cellStyle name="Total 2 4 2 2" xfId="1625"/>
    <cellStyle name="Total 2 4 2 3" xfId="1626"/>
    <cellStyle name="Total 2 4 2 4" xfId="1627"/>
    <cellStyle name="Total 2 4 3" xfId="1349"/>
    <cellStyle name="Total 2 5" xfId="1350"/>
    <cellStyle name="Total 2 5 2" xfId="1351"/>
    <cellStyle name="Total 2 5 2 2" xfId="1628"/>
    <cellStyle name="Total 2 5 2 3" xfId="1629"/>
    <cellStyle name="Total 2 5 2 4" xfId="1630"/>
    <cellStyle name="Total 2 5 3" xfId="1352"/>
    <cellStyle name="Total 2 6" xfId="1353"/>
    <cellStyle name="Total 2 6 2" xfId="1354"/>
    <cellStyle name="Total 2 6 2 2" xfId="1631"/>
    <cellStyle name="Total 2 6 2 3" xfId="1632"/>
    <cellStyle name="Total 2 6 2 4" xfId="1633"/>
    <cellStyle name="Total 2 6 3" xfId="1355"/>
    <cellStyle name="Total 2 7" xfId="1356"/>
    <cellStyle name="Total 2 7 2" xfId="1357"/>
    <cellStyle name="Total 2 7 2 2" xfId="1634"/>
    <cellStyle name="Total 2 7 2 3" xfId="1635"/>
    <cellStyle name="Total 2 7 2 4" xfId="1636"/>
    <cellStyle name="Total 2 7 3" xfId="1358"/>
    <cellStyle name="Total 2 8" xfId="1359"/>
    <cellStyle name="Total 2 8 2" xfId="1360"/>
    <cellStyle name="Total 2 8 2 2" xfId="1637"/>
    <cellStyle name="Total 2 8 2 3" xfId="1638"/>
    <cellStyle name="Total 2 8 2 4" xfId="1639"/>
    <cellStyle name="Total 2 8 3" xfId="1361"/>
    <cellStyle name="Total 2 9" xfId="1362"/>
    <cellStyle name="Total 2 9 2" xfId="1363"/>
    <cellStyle name="Total 2 9 2 2" xfId="1640"/>
    <cellStyle name="Total 2 9 2 3" xfId="1641"/>
    <cellStyle name="Total 2 9 2 4" xfId="1642"/>
    <cellStyle name="Total 2 9 3" xfId="136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727074</xdr:colOff>
      <xdr:row>0</xdr:row>
      <xdr:rowOff>247650</xdr:rowOff>
    </xdr:from>
    <xdr:to>
      <xdr:col>7</xdr:col>
      <xdr:colOff>400050</xdr:colOff>
      <xdr:row>2</xdr:row>
      <xdr:rowOff>133350</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9718674" y="247650"/>
          <a:ext cx="787401" cy="838200"/>
        </a:xfrm>
        <a:prstGeom prst="rect">
          <a:avLst/>
        </a:prstGeom>
        <a:noFill/>
        <a:ln w="9525">
          <a:noFill/>
          <a:miter lim="800000"/>
          <a:headEnd/>
          <a:tailEnd/>
        </a:ln>
      </xdr:spPr>
    </xdr:pic>
    <xdr:clientData/>
  </xdr:twoCellAnchor>
  <xdr:twoCellAnchor editAs="oneCell">
    <xdr:from>
      <xdr:col>19</xdr:col>
      <xdr:colOff>152400</xdr:colOff>
      <xdr:row>0</xdr:row>
      <xdr:rowOff>257175</xdr:rowOff>
    </xdr:from>
    <xdr:to>
      <xdr:col>19</xdr:col>
      <xdr:colOff>939801</xdr:colOff>
      <xdr:row>2</xdr:row>
      <xdr:rowOff>142875</xdr:rowOff>
    </xdr:to>
    <xdr:pic>
      <xdr:nvPicPr>
        <xdr:cNvPr id="4" name="3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22383750" y="257175"/>
          <a:ext cx="787401"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s%20Obras%20Publicas%20TRANSPARENCIA%20OCTUBRE%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C146" t="str">
            <v>DOPI-MUN-R33-IH-AD-280-2016</v>
          </cell>
          <cell r="M146" t="str">
            <v xml:space="preserve">RODOLFO </v>
          </cell>
          <cell r="N146" t="str">
            <v xml:space="preserve">VELAZQUEZ </v>
          </cell>
          <cell r="O146" t="str">
            <v>ORDOÑEZ</v>
          </cell>
          <cell r="P146" t="str">
            <v>VELAZQUEZ INGENIERIA ECOLOGICA, S.A. DE C.V.</v>
          </cell>
          <cell r="Q146" t="str">
            <v>VIE110125RL4</v>
          </cell>
          <cell r="V146">
            <v>42720</v>
          </cell>
          <cell r="Y146">
            <v>825634.87</v>
          </cell>
          <cell r="AA146" t="str">
            <v>Construcción de línea de agua potable en la colonia Prados de Santa Lucía, primera etapa, municipio de Zapopan, Jalisco.</v>
          </cell>
          <cell r="AD146">
            <v>42723</v>
          </cell>
          <cell r="AE146">
            <v>42873</v>
          </cell>
        </row>
        <row r="147">
          <cell r="C147" t="str">
            <v>DOPI-MUN-R33-PAV-AD-281-2016</v>
          </cell>
          <cell r="M147" t="str">
            <v>RAUL</v>
          </cell>
          <cell r="N147" t="str">
            <v xml:space="preserve">ORTEGA </v>
          </cell>
          <cell r="O147" t="str">
            <v>JARA</v>
          </cell>
          <cell r="P147" t="str">
            <v>CONSTRUCCIONES ANAYARI, S.A. DE C.V.</v>
          </cell>
          <cell r="Q147" t="str">
            <v>CAN030528ME0</v>
          </cell>
          <cell r="V147">
            <v>42720</v>
          </cell>
          <cell r="Y147">
            <v>1502354.73</v>
          </cell>
          <cell r="AA147" t="str">
            <v>Pavimentación con concreto hidráulico en la calle Manzanos, colonia Agua Fría, incluye: agua potable, drenaje sanitario, guarniciones, banquetas, accesibilidad y servicios complementarios, en el municipio de Zapopan, Jalisco, frente 1.</v>
          </cell>
          <cell r="AD147">
            <v>42723</v>
          </cell>
          <cell r="AE147">
            <v>42873</v>
          </cell>
        </row>
        <row r="148">
          <cell r="C148" t="str">
            <v>DOPI-MUN-R33-PAV-AD-282-2016</v>
          </cell>
          <cell r="M148" t="str">
            <v>CARLOS</v>
          </cell>
          <cell r="N148" t="str">
            <v>PEREZ</v>
          </cell>
          <cell r="O148" t="str">
            <v>CRUZ</v>
          </cell>
          <cell r="P148" t="str">
            <v>CONSTRUCTORA PECRU, S.A. DE C.V.</v>
          </cell>
          <cell r="Q148" t="str">
            <v>CPE070123PD4</v>
          </cell>
          <cell r="V148">
            <v>42720</v>
          </cell>
          <cell r="Y148">
            <v>1495225.08</v>
          </cell>
          <cell r="AA148" t="str">
            <v>Pavimentación con concreto hidráulico en la calle Manzanos, colonia Agua Fría, incluye: agua potable, drenaje sanitario, guarniciones, banquetas, accesibilidad y servicios complementarios, en el municipio de Zapopan, Jalisco, frente 2.</v>
          </cell>
          <cell r="AD148">
            <v>42723</v>
          </cell>
          <cell r="AE148">
            <v>42873</v>
          </cell>
        </row>
        <row r="149">
          <cell r="C149" t="str">
            <v>DOPI-MUN-R33-IH-AD-283-2016</v>
          </cell>
          <cell r="M149" t="str">
            <v>ABIMAEL</v>
          </cell>
          <cell r="N149" t="str">
            <v>MONTUFAR</v>
          </cell>
          <cell r="O149" t="str">
            <v>LOPEZ</v>
          </cell>
          <cell r="P149" t="str">
            <v>CONSTRUCTORA ACUIFERO, S.A. DE C.V.</v>
          </cell>
          <cell r="Q149" t="str">
            <v>CAC1308225S7</v>
          </cell>
          <cell r="V149">
            <v>42720</v>
          </cell>
          <cell r="Y149">
            <v>702114.36</v>
          </cell>
          <cell r="AA149" t="str">
            <v>Construcción de línea drenaje sanitario en la calle Miguel Hidalgo, de calle Josefa Ortíz de Domínguez a Cerrada, en la colonia Indígena de Mezquitan Sección I, en el municipio de Zapopan, Jalisco.</v>
          </cell>
          <cell r="AD149">
            <v>42723</v>
          </cell>
          <cell r="AE149">
            <v>42873</v>
          </cell>
        </row>
        <row r="150">
          <cell r="C150" t="str">
            <v>DOPI-MUN-FORTA-PROY-AD-005-2017</v>
          </cell>
          <cell r="M150" t="str">
            <v>Juan Francisco</v>
          </cell>
          <cell r="N150" t="str">
            <v>Toscano</v>
          </cell>
          <cell r="O150" t="str">
            <v>Lases</v>
          </cell>
          <cell r="P150" t="str">
            <v>Infografía Digital de Occidente, S. A. de C. V. PCZ-178/2016</v>
          </cell>
          <cell r="Q150" t="str">
            <v>IDO100427QG2</v>
          </cell>
          <cell r="V150">
            <v>42793</v>
          </cell>
          <cell r="Y150">
            <v>1496360.35</v>
          </cell>
          <cell r="AA150" t="str">
            <v>Elaboración de proyectos arquitectónicos en diferentes obras del programa 2017, municipio de Zapopan, Jalisco.</v>
          </cell>
          <cell r="AD150">
            <v>42795</v>
          </cell>
          <cell r="AE150">
            <v>42947</v>
          </cell>
        </row>
        <row r="151">
          <cell r="C151" t="str">
            <v>DOPI-MUN-RM-IH-AD-008-2017</v>
          </cell>
          <cell r="M151" t="str">
            <v>Edwin</v>
          </cell>
          <cell r="N151" t="str">
            <v>Aguiar</v>
          </cell>
          <cell r="O151" t="str">
            <v>Escatel</v>
          </cell>
          <cell r="P151" t="str">
            <v>Manjarrez Urbanizaciones, S.A. de C.V. PCZ-093/2016</v>
          </cell>
          <cell r="Q151" t="str">
            <v>MUR090325P33</v>
          </cell>
          <cell r="Y151">
            <v>1485041.89</v>
          </cell>
          <cell r="AA151" t="str">
            <v>Rehabilitación de líneas de agua potable y alcantarillado sanitario, en la Av. Ángel Leaño, tramo zona del Nixticuil, municipio de Zapopan, Jalisco.</v>
          </cell>
          <cell r="AD151">
            <v>42793</v>
          </cell>
          <cell r="AE151">
            <v>42858</v>
          </cell>
        </row>
        <row r="152">
          <cell r="C152" t="str">
            <v>DOPI-MUN-FORTA-SER-AD-009-2017</v>
          </cell>
          <cell r="M152" t="str">
            <v>Héctor Manuel</v>
          </cell>
          <cell r="N152" t="str">
            <v>Zepeda</v>
          </cell>
          <cell r="O152" t="str">
            <v>Angulo</v>
          </cell>
          <cell r="P152" t="str">
            <v>Colegio de Ingenieros Civiles del Estado de Jalisco, A. C. PCZ-480/2017</v>
          </cell>
          <cell r="Q152" t="str">
            <v>CIC680115AK4</v>
          </cell>
          <cell r="Y152">
            <v>985746.57</v>
          </cell>
          <cell r="AA152" t="str">
            <v>Elaboración de peritajes estructurales en infraestructura urbana, municipio de Zapopan, Jalisco.</v>
          </cell>
          <cell r="AD152">
            <v>42814</v>
          </cell>
          <cell r="AE152">
            <v>42977</v>
          </cell>
        </row>
        <row r="153">
          <cell r="C153" t="str">
            <v>DOPI-MUN-FORTA-PROY-AD-010-2017</v>
          </cell>
          <cell r="M153" t="str">
            <v>Pia Lorena</v>
          </cell>
          <cell r="N153" t="str">
            <v>Buenrostro</v>
          </cell>
          <cell r="O153" t="str">
            <v>Ahued</v>
          </cell>
          <cell r="P153" t="str">
            <v>Birmek Construcciones, S.A. de C.V.</v>
          </cell>
          <cell r="Q153" t="str">
            <v>BCO070129512</v>
          </cell>
          <cell r="Y153">
            <v>1002698.13</v>
          </cell>
          <cell r="AA153" t="str">
            <v>Diagnóstico, diseño y proyectos de infraestructura eléctrica 2017, primera etapa, municipio de Zapopan, Jalisco.</v>
          </cell>
          <cell r="AD153">
            <v>42814</v>
          </cell>
          <cell r="AE153">
            <v>42977</v>
          </cell>
        </row>
        <row r="154">
          <cell r="C154" t="str">
            <v>DOPI-MUN-FORTA-PROY-AD-011-2017</v>
          </cell>
          <cell r="M154" t="str">
            <v xml:space="preserve">Rene </v>
          </cell>
          <cell r="N154" t="str">
            <v>Caro</v>
          </cell>
          <cell r="O154" t="str">
            <v>Gómez</v>
          </cell>
          <cell r="P154" t="str">
            <v>Rene Caro Gómez</v>
          </cell>
          <cell r="Q154" t="str">
            <v>CAGR720818NC1</v>
          </cell>
          <cell r="V154">
            <v>42793</v>
          </cell>
          <cell r="Y154">
            <v>472500.2</v>
          </cell>
          <cell r="AA154" t="str">
            <v>Proyecto ejecutivo para la construcción de ciclovia y rehabilitación de banquetas en la Glorieta Chapalita y la Av. Guadalupe de la Glorieta Chapalita a la Av. Niño Obrero, municipio de Zapopan, Jalisco.</v>
          </cell>
          <cell r="AD154">
            <v>42795</v>
          </cell>
          <cell r="AE154">
            <v>42886</v>
          </cell>
        </row>
        <row r="155">
          <cell r="C155" t="str">
            <v>DOPI-MUN-FORTA-ID-AD-012-2017</v>
          </cell>
          <cell r="M155" t="str">
            <v>DAVID</v>
          </cell>
          <cell r="N155" t="str">
            <v>LEDESMA</v>
          </cell>
          <cell r="O155" t="str">
            <v>MARTIN DEL CAMPO</v>
          </cell>
          <cell r="P155" t="str">
            <v>David Ledesma Martin Del Campo</v>
          </cell>
          <cell r="Q155" t="str">
            <v>LEMD880217U53</v>
          </cell>
          <cell r="V155">
            <v>42811</v>
          </cell>
          <cell r="Y155">
            <v>1045280.32</v>
          </cell>
          <cell r="AA155" t="str">
            <v>Construcción de Skatepark en la Unidad Deportiva Santa Margarita, municipio de Zapopan, Jalisco.</v>
          </cell>
          <cell r="AD155">
            <v>42814</v>
          </cell>
          <cell r="AE155">
            <v>42886</v>
          </cell>
        </row>
        <row r="156">
          <cell r="C156" t="str">
            <v>DOPI-MUN-FORTA-ELE-AD-013-2017</v>
          </cell>
          <cell r="M156" t="str">
            <v>FAUSTO</v>
          </cell>
          <cell r="N156" t="str">
            <v>GARNICA</v>
          </cell>
          <cell r="O156" t="str">
            <v>PADILLA</v>
          </cell>
          <cell r="P156" t="str">
            <v>Fausto Garnica Padilla</v>
          </cell>
          <cell r="Q156" t="str">
            <v>GAPF5912193V9</v>
          </cell>
          <cell r="V156">
            <v>42797</v>
          </cell>
          <cell r="Y156">
            <v>603813.25</v>
          </cell>
          <cell r="AA156" t="str">
            <v>Instalación de la media tensión, equipos de medición y alimentación a tableros en la Unidad Deportiva El Polvorín, municipio de Zapopan, Jalisco.</v>
          </cell>
          <cell r="AD156">
            <v>42800</v>
          </cell>
          <cell r="AE156">
            <v>42886</v>
          </cell>
        </row>
        <row r="157">
          <cell r="C157" t="str">
            <v>DOPI-MUN-FORTA-ELE-AD-014-2017</v>
          </cell>
          <cell r="M157" t="str">
            <v>HECTOR MANUEL</v>
          </cell>
          <cell r="N157" t="str">
            <v>ALVAREZ</v>
          </cell>
          <cell r="O157" t="str">
            <v>ORGANISTA</v>
          </cell>
          <cell r="P157" t="str">
            <v>Acaspoluca Consultoría y Construcción, S. A. de C. V.</v>
          </cell>
          <cell r="Q157" t="str">
            <v>ACC0202071Z6</v>
          </cell>
          <cell r="V157">
            <v>42811</v>
          </cell>
          <cell r="Y157">
            <v>1377688.14</v>
          </cell>
          <cell r="AA157" t="str">
            <v>Alumbrado en andadores, canchas y áreas comunes en la Unidad Deportiva El Polvorín, municipio de Zapopan, Jalisco.</v>
          </cell>
          <cell r="AD157">
            <v>42814</v>
          </cell>
          <cell r="AE157">
            <v>42886</v>
          </cell>
        </row>
        <row r="158">
          <cell r="C158" t="str">
            <v>DOPI-MUN-FORTA-ID-AD-015-2017</v>
          </cell>
          <cell r="M158" t="str">
            <v>MARIA EUGENIA</v>
          </cell>
          <cell r="N158" t="str">
            <v xml:space="preserve">CORTES </v>
          </cell>
          <cell r="O158" t="str">
            <v>GONZALEZ</v>
          </cell>
          <cell r="P158" t="str">
            <v>Aspavi, S. A. de C. V.</v>
          </cell>
          <cell r="Q158" t="str">
            <v>ASP100215RH9</v>
          </cell>
          <cell r="V158">
            <v>42811</v>
          </cell>
          <cell r="Y158">
            <v>1502150.14</v>
          </cell>
          <cell r="AA158" t="str">
            <v>Construcción cancha de voleibol de playa, rehabilitación de andador, instalaciones para la operación, mobiliario urbano y obra  complementaria en la Unidad Deportiva El Polvorín, municipio de Zapopan, Jalisco.</v>
          </cell>
          <cell r="AD158">
            <v>42814</v>
          </cell>
          <cell r="AE158">
            <v>42886</v>
          </cell>
        </row>
        <row r="159">
          <cell r="C159" t="str">
            <v>DOPI-MUN-FORTA-BAN-AD-016-2017</v>
          </cell>
          <cell r="M159" t="str">
            <v>REGINO</v>
          </cell>
          <cell r="N159" t="str">
            <v>RUIZ DEL CAMPO</v>
          </cell>
          <cell r="O159" t="str">
            <v>MEDINA</v>
          </cell>
          <cell r="P159" t="str">
            <v>Regino Ruiz del Campo Medina</v>
          </cell>
          <cell r="Q159" t="str">
            <v>RUMR771116UA8</v>
          </cell>
          <cell r="V159">
            <v>42811</v>
          </cell>
          <cell r="Y159">
            <v>1415754.87</v>
          </cell>
          <cell r="AA159" t="str">
            <v>Construcción y rehabilitación de guarniciones, banquetas, obra complementaria en camellones en diferentes zonas del municipio de Zapopan, Jalisco, frente 1.</v>
          </cell>
          <cell r="AD159">
            <v>42814</v>
          </cell>
          <cell r="AE159">
            <v>42916</v>
          </cell>
        </row>
        <row r="160">
          <cell r="C160" t="str">
            <v>DOPI-MUN-FORTA-BAN-AD-017-2017</v>
          </cell>
          <cell r="M160" t="str">
            <v>SERGIO CESAR</v>
          </cell>
          <cell r="N160" t="str">
            <v>DIAZ</v>
          </cell>
          <cell r="O160" t="str">
            <v>QUIROZ</v>
          </cell>
          <cell r="P160" t="str">
            <v>Transcreto, S. A. de C. V.</v>
          </cell>
          <cell r="Q160" t="str">
            <v>TRA750528286</v>
          </cell>
          <cell r="V160">
            <v>42811</v>
          </cell>
          <cell r="Y160">
            <v>1358967.17</v>
          </cell>
          <cell r="AA160" t="str">
            <v xml:space="preserve">Peatonalización, construcción de banquetas, sustitución de guarniciones, bolardos, primera etapa en la colonia Constitución, municipio de Zapopan, Jalisco.  </v>
          </cell>
          <cell r="AD160">
            <v>42814</v>
          </cell>
          <cell r="AE160">
            <v>42855</v>
          </cell>
        </row>
        <row r="161">
          <cell r="C161" t="str">
            <v>DOPI-MUN-FORTA-BAN-AD-018-2017</v>
          </cell>
          <cell r="M161" t="str">
            <v>GUSTAVO</v>
          </cell>
          <cell r="N161" t="str">
            <v>DURAN</v>
          </cell>
          <cell r="O161" t="str">
            <v>JIMENEZ</v>
          </cell>
          <cell r="P161" t="str">
            <v>Duran Jiménez Arquitectos, S. A. de C. V.</v>
          </cell>
          <cell r="Q161" t="str">
            <v>DJA9405184G7</v>
          </cell>
          <cell r="V161">
            <v>42811</v>
          </cell>
          <cell r="Y161">
            <v>1475115.16</v>
          </cell>
          <cell r="AA161"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AD161">
            <v>42814</v>
          </cell>
          <cell r="AE161">
            <v>42916</v>
          </cell>
        </row>
        <row r="162">
          <cell r="C162" t="str">
            <v>DOPI-MUN-FORTA-DES-AD-019-2017</v>
          </cell>
          <cell r="M162" t="str">
            <v>CLARISSA GABRIELA</v>
          </cell>
          <cell r="N162" t="str">
            <v>VALDEZ</v>
          </cell>
          <cell r="O162" t="str">
            <v>MANJARREZ</v>
          </cell>
          <cell r="P162" t="str">
            <v>Tekton Grupo Empresarial, S. A. de C. V.</v>
          </cell>
          <cell r="Q162" t="str">
            <v>TGE101215JI6</v>
          </cell>
          <cell r="V162">
            <v>42804</v>
          </cell>
          <cell r="Y162">
            <v>1515350.23</v>
          </cell>
          <cell r="AA162" t="str">
            <v>Desazolve, limpieza, rectificación y obras de protección de cauce y canal del Arroyo La Culebra, en Villas Universidad, Royal Country y Puerta Plata, municipio de Zapopan, Jalisco.</v>
          </cell>
          <cell r="AD162">
            <v>42807</v>
          </cell>
          <cell r="AE162">
            <v>42870</v>
          </cell>
        </row>
        <row r="163">
          <cell r="C163" t="str">
            <v>DOPI-MUN-FORTA-DES-AD-020-2017</v>
          </cell>
          <cell r="M163" t="str">
            <v>JOSE ANTONIO</v>
          </cell>
          <cell r="N163" t="str">
            <v>ALVAREZ</v>
          </cell>
          <cell r="O163" t="str">
            <v>GARCIA</v>
          </cell>
          <cell r="P163" t="str">
            <v>Urcoma 1970, S. A. de C. V.</v>
          </cell>
          <cell r="Q163" t="str">
            <v>UMN160125869</v>
          </cell>
          <cell r="V163">
            <v>42804</v>
          </cell>
          <cell r="Y163">
            <v>1405369.66</v>
          </cell>
          <cell r="AA163" t="str">
            <v>Desazolve, limpieza, rectificación y obras de protección de cauce y canal del Arroyos El Húmedo y El caracol y el canal Las Agujas Poniente, municipio de Zapopan, Jalisco.</v>
          </cell>
          <cell r="AD163">
            <v>42807</v>
          </cell>
          <cell r="AE163">
            <v>42870</v>
          </cell>
        </row>
        <row r="164">
          <cell r="C164" t="str">
            <v>DOPI-MUN-FORTA-DES-AD-021-2017</v>
          </cell>
          <cell r="M164" t="str">
            <v>JOSE ANTONIO</v>
          </cell>
          <cell r="N164" t="str">
            <v>ALVAREZ</v>
          </cell>
          <cell r="O164" t="str">
            <v>ZULOAGA</v>
          </cell>
          <cell r="P164" t="str">
            <v>Grupo Desarrollador Alzu, S. A. de C. V.</v>
          </cell>
          <cell r="Q164" t="str">
            <v>GDA150928286</v>
          </cell>
          <cell r="V164">
            <v>42804</v>
          </cell>
          <cell r="Y164">
            <v>1452877.98</v>
          </cell>
          <cell r="AA164" t="str">
            <v>Desazolve, limpieza, rectificación, obras de protección y adecuaciones pluviales en el canal Las Agujas Oriente, municipio de Zapopan, Jalisco.</v>
          </cell>
          <cell r="AD164">
            <v>42807</v>
          </cell>
          <cell r="AE164">
            <v>42870</v>
          </cell>
        </row>
        <row r="165">
          <cell r="C165" t="str">
            <v>DOPI-MUN-FORTA-DES-AD-022-2017</v>
          </cell>
          <cell r="M165" t="str">
            <v xml:space="preserve">GUILLERMO ALBERTO </v>
          </cell>
          <cell r="N165" t="str">
            <v>RODRIGUEZ</v>
          </cell>
          <cell r="O165" t="str">
            <v>ALLENDE</v>
          </cell>
          <cell r="P165" t="str">
            <v>Grupo Constructor MR de Jalisco, S. A. de C. V.</v>
          </cell>
          <cell r="Q165" t="str">
            <v>GCM121112J86</v>
          </cell>
          <cell r="V165">
            <v>42804</v>
          </cell>
          <cell r="Y165">
            <v>1383674.16</v>
          </cell>
          <cell r="AA165" t="str">
            <v>Desazolve, limpieza, rectificación y obras de protección en los Arroyos Seco y El Garabato, municipio de Zapopan, Jalisco.</v>
          </cell>
          <cell r="AD165">
            <v>42807</v>
          </cell>
          <cell r="AE165">
            <v>42870</v>
          </cell>
        </row>
        <row r="166">
          <cell r="C166" t="str">
            <v>DOPI-MUN-FORTA-DES-AD-023-2017</v>
          </cell>
          <cell r="M166" t="str">
            <v>OSCAR LUIS</v>
          </cell>
          <cell r="N166" t="str">
            <v>CHAVEZ</v>
          </cell>
          <cell r="O166" t="str">
            <v>GONZALEZ</v>
          </cell>
          <cell r="P166" t="str">
            <v>Euro Trade, S. A. de C. V.</v>
          </cell>
          <cell r="Q166" t="str">
            <v>ETR070417NS8</v>
          </cell>
          <cell r="V166">
            <v>42804</v>
          </cell>
          <cell r="Y166">
            <v>1475823.51</v>
          </cell>
          <cell r="AA166" t="str">
            <v>Desazolve, limpieza, rectificación, obras de protección y colocación de Gaviones en el Arroyo La Campana frente 1, municipio de Zapopan, Jalisco.</v>
          </cell>
          <cell r="AD166">
            <v>42807</v>
          </cell>
          <cell r="AE166">
            <v>42870</v>
          </cell>
        </row>
        <row r="167">
          <cell r="C167" t="str">
            <v>DOPI-MUN-FORTA-OC-024-AD-2017</v>
          </cell>
          <cell r="M167" t="str">
            <v>ELBA</v>
          </cell>
          <cell r="N167" t="str">
            <v xml:space="preserve">GONZÁLEZ </v>
          </cell>
          <cell r="O167" t="str">
            <v>AGUIRRE</v>
          </cell>
          <cell r="P167" t="str">
            <v>GA Urbanización, S. A. de C. V.</v>
          </cell>
          <cell r="Q167" t="str">
            <v>GUR120612P22</v>
          </cell>
          <cell r="V167">
            <v>42804</v>
          </cell>
          <cell r="Y167">
            <v>1350254.48</v>
          </cell>
          <cell r="AA167" t="str">
            <v>Obras emergentes de reparación y reconstrucción de infraestructura urbana pluvial y sanitaria, en el municipio de Zapopan, frente 1.</v>
          </cell>
          <cell r="AD167">
            <v>42807</v>
          </cell>
          <cell r="AE167">
            <v>42931</v>
          </cell>
        </row>
        <row r="168">
          <cell r="C168" t="str">
            <v>DOPI-MUN-FORTA-OC-AD-025-2017</v>
          </cell>
          <cell r="M168" t="str">
            <v>GUSTAVO ALEJANDRO</v>
          </cell>
          <cell r="N168" t="str">
            <v>LEDEZMA</v>
          </cell>
          <cell r="O168" t="str">
            <v xml:space="preserve"> CERVANTES</v>
          </cell>
          <cell r="P168" t="str">
            <v>Edificaciones y Proyectos Roca, S. A. de C. V.</v>
          </cell>
          <cell r="Q168" t="str">
            <v>EPR131016I71</v>
          </cell>
          <cell r="V168">
            <v>42804</v>
          </cell>
          <cell r="Y168">
            <v>1510624.8</v>
          </cell>
          <cell r="AA168" t="str">
            <v>Construcción de cárcamos para el manejo de filtraciones de lixiviados en el relleno sanitario Picachos, municipio de Zapopan, Jalisco.</v>
          </cell>
          <cell r="AD168">
            <v>42807</v>
          </cell>
          <cell r="AE168">
            <v>42870</v>
          </cell>
        </row>
        <row r="169">
          <cell r="C169" t="str">
            <v>DOPI-MUN-FORTA-OC-AD-026-2017</v>
          </cell>
          <cell r="M169" t="str">
            <v>MARÍA RAQUEL</v>
          </cell>
          <cell r="N169" t="str">
            <v>ROMO</v>
          </cell>
          <cell r="O169" t="str">
            <v>LÓPEZ</v>
          </cell>
          <cell r="P169" t="str">
            <v>B&amp;G Construcción y Rehabilitación de Redes, S. A. de C. V.</v>
          </cell>
          <cell r="Q169" t="str">
            <v>BCR080530NPA</v>
          </cell>
          <cell r="V169">
            <v>42811</v>
          </cell>
          <cell r="Y169">
            <v>917334.92</v>
          </cell>
          <cell r="AA169" t="str">
            <v>Trabajos de rehabilitación (manga con curado ultravioleta) de colector sanitario López Mateos - Pinar de la Calma, para evitar socavaciones, en el tramo de Av. Galileo Galilei a La Glorieta Las Fuentes, municipio de Zapopan, Jalisco.</v>
          </cell>
          <cell r="AD169">
            <v>42814</v>
          </cell>
          <cell r="AE169">
            <v>42885</v>
          </cell>
        </row>
        <row r="170">
          <cell r="C170" t="str">
            <v>DOPI-MUN-FORTA-IE-AD-027-2017</v>
          </cell>
          <cell r="M170" t="str">
            <v xml:space="preserve">ALEJANDRO LUIS </v>
          </cell>
          <cell r="N170" t="str">
            <v xml:space="preserve">VAIDOVITS </v>
          </cell>
          <cell r="O170" t="str">
            <v xml:space="preserve"> SCHNURER</v>
          </cell>
          <cell r="P170" t="str">
            <v>Promaco de México, S. A. de C. V.</v>
          </cell>
          <cell r="Q170" t="str">
            <v>PME930817EV7</v>
          </cell>
          <cell r="V170">
            <v>42811</v>
          </cell>
          <cell r="Y170">
            <v>1357288.84</v>
          </cell>
          <cell r="AA170" t="str">
            <v>Suministro y colocación de estructuras de protección de rayos ultravioleta en los planteles educativos: Primaria Diego Rivera (14DPR3789G) y Escuela Alfredo V. Bonfil (14EPR1115G), municipio de Zapopan, Jalisco.</v>
          </cell>
          <cell r="AD170">
            <v>42814</v>
          </cell>
          <cell r="AE170">
            <v>42901</v>
          </cell>
        </row>
        <row r="171">
          <cell r="C171" t="str">
            <v>DOPI-MUN-FORTA-IE-AD-028-2017</v>
          </cell>
          <cell r="M171" t="str">
            <v>ARTURO RAFAEL</v>
          </cell>
          <cell r="N171" t="str">
            <v>SALAZAR</v>
          </cell>
          <cell r="O171" t="str">
            <v>MARTIN DEL CAMPO</v>
          </cell>
          <cell r="P171" t="str">
            <v>Kalmani Constructora, S. A. de C. V.</v>
          </cell>
          <cell r="Q171" t="str">
            <v>KCO030922UM6</v>
          </cell>
          <cell r="V171">
            <v>42811</v>
          </cell>
          <cell r="Y171">
            <v>1374368.14</v>
          </cell>
          <cell r="AD171">
            <v>42814</v>
          </cell>
          <cell r="AE171">
            <v>42901</v>
          </cell>
        </row>
        <row r="172">
          <cell r="C172" t="str">
            <v>DOPI-MUN-FORTA-CAL-AD-029-2017</v>
          </cell>
          <cell r="M172" t="str">
            <v>RICARDO</v>
          </cell>
          <cell r="N172" t="str">
            <v>MEZA</v>
          </cell>
          <cell r="O172" t="str">
            <v>PONCE</v>
          </cell>
          <cell r="P172" t="str">
            <v>CME Calidad, Modelo de Eficacia, S. A. de C. V.</v>
          </cell>
          <cell r="Q172" t="str">
            <v>CCM1405243C4</v>
          </cell>
          <cell r="V172">
            <v>42797</v>
          </cell>
          <cell r="Y172">
            <v>975338.12</v>
          </cell>
          <cell r="AA172" t="str">
            <v>Control de calidad de diferentes obras 2017 del municipio de Zapopan, Jalisco, etapa 1.</v>
          </cell>
          <cell r="AD172">
            <v>42800</v>
          </cell>
          <cell r="AE172">
            <v>42978</v>
          </cell>
        </row>
        <row r="173">
          <cell r="C173" t="str">
            <v>DOPI-MUN-RM-PAV-AD-030-2017</v>
          </cell>
          <cell r="M173" t="str">
            <v>JOSE DE JESUS</v>
          </cell>
          <cell r="N173" t="str">
            <v xml:space="preserve">CASTILLO </v>
          </cell>
          <cell r="O173" t="str">
            <v>CARRILLO</v>
          </cell>
          <cell r="P173" t="str">
            <v>Mapa Obras y Pavimentos, S.A. de C.V.</v>
          </cell>
          <cell r="Q173" t="str">
            <v>MOP080610I53</v>
          </cell>
          <cell r="V173">
            <v>42811</v>
          </cell>
          <cell r="Y173">
            <v>1115083.45</v>
          </cell>
          <cell r="AA173"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AD173">
            <v>42814</v>
          </cell>
          <cell r="AE173">
            <v>42855</v>
          </cell>
        </row>
        <row r="174">
          <cell r="C174" t="str">
            <v>DOPI-MUN-RM-PAV-AD-031-2017</v>
          </cell>
          <cell r="M174" t="str">
            <v>DAVID EDUARDO</v>
          </cell>
          <cell r="N174" t="str">
            <v>LARA</v>
          </cell>
          <cell r="O174" t="str">
            <v>OCHOA</v>
          </cell>
          <cell r="P174" t="str">
            <v>Construcciones Icu, S. A. de C. V</v>
          </cell>
          <cell r="Q174" t="str">
            <v>CIC080626ER2</v>
          </cell>
          <cell r="V174">
            <v>42811</v>
          </cell>
          <cell r="Y174">
            <v>1498750.24</v>
          </cell>
          <cell r="AA174"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AD174">
            <v>42814</v>
          </cell>
          <cell r="AE174">
            <v>42855</v>
          </cell>
        </row>
        <row r="175">
          <cell r="C175" t="str">
            <v>DOPI-MUN-RM-PAV-AD-032-2017</v>
          </cell>
          <cell r="M175" t="str">
            <v>JOSE DE JESUS</v>
          </cell>
          <cell r="N175" t="str">
            <v>PALAFOX</v>
          </cell>
          <cell r="O175" t="str">
            <v>VILLEGAS</v>
          </cell>
          <cell r="P175" t="str">
            <v>Megaenlace Construcciones, S. A. de C. V.</v>
          </cell>
          <cell r="Q175" t="str">
            <v>MCO1510113H8</v>
          </cell>
          <cell r="V175">
            <v>42811</v>
          </cell>
          <cell r="Y175">
            <v>1015789.16</v>
          </cell>
          <cell r="AA175" t="str">
            <v>Pavimentación con adoquín y empedrado tradicional con material producto de recuperación en diferentes vialidades en el Municipio de Zapopan, Jalisco.</v>
          </cell>
          <cell r="AD175">
            <v>42814</v>
          </cell>
          <cell r="AE175">
            <v>42901</v>
          </cell>
        </row>
        <row r="176">
          <cell r="C176" t="str">
            <v>DOPI-MUN-RM-PAV-AD-033-2017</v>
          </cell>
          <cell r="M176" t="str">
            <v>ARTURO</v>
          </cell>
          <cell r="N176" t="str">
            <v>SARMIENTO</v>
          </cell>
          <cell r="O176" t="str">
            <v>SANCHEZ</v>
          </cell>
          <cell r="P176" t="str">
            <v>Construbravo, S. A. de C. V.</v>
          </cell>
          <cell r="Q176" t="str">
            <v>CON020208696</v>
          </cell>
          <cell r="V176">
            <v>42811</v>
          </cell>
          <cell r="Y176">
            <v>954124.73</v>
          </cell>
          <cell r="AA176" t="str">
            <v>Rehabilitación de machuelos de concreto hidráulico en la Av. Juan Gil Preciado, tramo 3, municipio de Zapopan, Jalisco.</v>
          </cell>
          <cell r="AD176">
            <v>42814</v>
          </cell>
          <cell r="AE176">
            <v>42855</v>
          </cell>
        </row>
        <row r="177">
          <cell r="C177" t="str">
            <v>DOPI-MUN-RM-PAV-AD-034-2017</v>
          </cell>
          <cell r="M177" t="str">
            <v>ANDRES EDUARDO</v>
          </cell>
          <cell r="N177" t="str">
            <v>ACEVES</v>
          </cell>
          <cell r="O177" t="str">
            <v>CASTAÑEDA</v>
          </cell>
          <cell r="P177" t="str">
            <v>Secri Constructora, S. A. de C. V.</v>
          </cell>
          <cell r="Q177" t="str">
            <v>SCO100609EVA</v>
          </cell>
          <cell r="V177">
            <v>42811</v>
          </cell>
          <cell r="Y177">
            <v>1401225.41</v>
          </cell>
          <cell r="AA177"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AD177">
            <v>42814</v>
          </cell>
          <cell r="AE177">
            <v>42855</v>
          </cell>
        </row>
        <row r="178">
          <cell r="C178" t="str">
            <v>DOPI-MUN-RM-PAV-AD-035-2017</v>
          </cell>
          <cell r="M178" t="str">
            <v>JOSE DANIEL</v>
          </cell>
          <cell r="N178" t="str">
            <v xml:space="preserve">MARTINEZ </v>
          </cell>
          <cell r="O178" t="str">
            <v>CASILLAS</v>
          </cell>
          <cell r="P178" t="str">
            <v>Constructora Tesisteka, S.A. de C.V.</v>
          </cell>
          <cell r="Q178" t="str">
            <v>CTE060615JX2</v>
          </cell>
          <cell r="V178">
            <v>42811</v>
          </cell>
          <cell r="Y178">
            <v>385367</v>
          </cell>
          <cell r="AA178" t="str">
            <v>Rehabilitación de la superficie de rodamiento y modificación vial del crucero de Prolongación Guadalupe y Periférico Poniente Manuel Gómez Morín, municipio de Zapopan, Jalisco.</v>
          </cell>
          <cell r="AD178">
            <v>42814</v>
          </cell>
          <cell r="AE178">
            <v>42870</v>
          </cell>
        </row>
        <row r="179">
          <cell r="C179" t="str">
            <v>DOPI-MUN-RM-PAV-AD-036-2017</v>
          </cell>
          <cell r="M179" t="str">
            <v>SERGIO CESAR</v>
          </cell>
          <cell r="N179" t="str">
            <v>DIAZ</v>
          </cell>
          <cell r="O179" t="str">
            <v>QUIROZ</v>
          </cell>
          <cell r="P179" t="str">
            <v>Grupo Unicreto de México, S.A. de C.V.</v>
          </cell>
          <cell r="Q179" t="str">
            <v>GUM111201IA5</v>
          </cell>
          <cell r="V179">
            <v>42811</v>
          </cell>
          <cell r="Y179">
            <v>1301166.0900000001</v>
          </cell>
          <cell r="AA179" t="str">
            <v>Obra complementaria en la incorporación de Av. Ecónomos a Periférico Poniente, municipio de Zapopan, Jalisco.</v>
          </cell>
          <cell r="AD179">
            <v>42814</v>
          </cell>
          <cell r="AE179">
            <v>42865</v>
          </cell>
        </row>
        <row r="180">
          <cell r="C180" t="str">
            <v>DOPI-MUN-RM-PAV-AD-037-2017</v>
          </cell>
          <cell r="M180" t="str">
            <v>JOSE OMAR</v>
          </cell>
          <cell r="N180" t="str">
            <v>FERNANDEZ</v>
          </cell>
          <cell r="O180" t="str">
            <v>VAZQUEZ</v>
          </cell>
          <cell r="P180" t="str">
            <v>Extra Construcciones, S.A. de C.V.</v>
          </cell>
          <cell r="Q180" t="str">
            <v>ECO0908115Z7</v>
          </cell>
          <cell r="V180">
            <v>42804</v>
          </cell>
          <cell r="Y180">
            <v>1112558.02</v>
          </cell>
          <cell r="AA180" t="str">
            <v>Construcción de vialidad con concreto hidráulico calle Cuatlicue desde la calle Ozomatlí a la calle Tul, incluye: guarniciones, banquetas, red de agua potable, alcantarillado, servicios complementarios, zona las Mesas, Municipio de Zapopan, Jalisco.</v>
          </cell>
          <cell r="AD180">
            <v>42807</v>
          </cell>
          <cell r="AE180">
            <v>42855</v>
          </cell>
        </row>
        <row r="181">
          <cell r="C181" t="str">
            <v>DOPI-MUN-RM-IM-AD-038-2017</v>
          </cell>
          <cell r="M181" t="str">
            <v>HUGO ARMANDO</v>
          </cell>
          <cell r="N181" t="str">
            <v>PRIETO</v>
          </cell>
          <cell r="O181" t="str">
            <v>JIMENEZ</v>
          </cell>
          <cell r="P181" t="str">
            <v>Constructora Rural del País, S. A. de C. V.</v>
          </cell>
          <cell r="Q181" t="str">
            <v>CRP870708I62</v>
          </cell>
          <cell r="V181">
            <v>42811</v>
          </cell>
          <cell r="Y181">
            <v>1215075.44</v>
          </cell>
          <cell r="AA181" t="str">
            <v>Rehabilitación y ampliación de bardas perimetrales de infraestructura hidráulica municipal, primera etapa, municipio de Zapopan, Jalisco.</v>
          </cell>
          <cell r="AD181">
            <v>42814</v>
          </cell>
          <cell r="AE181">
            <v>42886</v>
          </cell>
        </row>
        <row r="182">
          <cell r="C182" t="str">
            <v>DOPI-MUN-RM-ELE-AD-039-2017</v>
          </cell>
          <cell r="M182" t="str">
            <v>JUAN PABLO</v>
          </cell>
          <cell r="N182" t="str">
            <v>VERA</v>
          </cell>
          <cell r="O182" t="str">
            <v>TAVARES</v>
          </cell>
          <cell r="P182" t="str">
            <v>Lizette Construcciones, S. A. de C. V.</v>
          </cell>
          <cell r="Q182" t="str">
            <v>LCO080228DN2</v>
          </cell>
          <cell r="V182">
            <v>42811</v>
          </cell>
          <cell r="Y182">
            <v>196108.13</v>
          </cell>
          <cell r="AA182" t="str">
            <v>Instalación de la media tensión en la caseta de vigilancia del parque metropolitano, municipio de Zapopan, Jalisco.</v>
          </cell>
          <cell r="AD182">
            <v>42814</v>
          </cell>
          <cell r="AE182">
            <v>42855</v>
          </cell>
        </row>
        <row r="183">
          <cell r="C183" t="str">
            <v>DOPI-MUN-RM-AP-AD-040-2017</v>
          </cell>
          <cell r="M183" t="str">
            <v>EDGARDO</v>
          </cell>
          <cell r="N183" t="str">
            <v>ZUÑIGA</v>
          </cell>
          <cell r="O183" t="str">
            <v>BERISTAIN</v>
          </cell>
          <cell r="P183" t="str">
            <v>Proyección Integral Zure, S. A. de C. V.</v>
          </cell>
          <cell r="Q183" t="str">
            <v>PIZ070717DX6</v>
          </cell>
          <cell r="V183">
            <v>42804</v>
          </cell>
          <cell r="Y183">
            <v>1389276.63</v>
          </cell>
          <cell r="AA183" t="str">
            <v>Sustitución de red de agua potable en la calle Laurel de la calle Paseo de los Manzanos a calle Palmeras, en la colonia Lomas de Tabachines I sección, en el municipio de Zapopan, Jalisco.</v>
          </cell>
          <cell r="AD183">
            <v>42807</v>
          </cell>
          <cell r="AE183">
            <v>42855</v>
          </cell>
        </row>
        <row r="184">
          <cell r="C184" t="str">
            <v>DOPI-MUN-RM-IH-AD-052-2017</v>
          </cell>
          <cell r="M184" t="str">
            <v xml:space="preserve">EDUARDO </v>
          </cell>
          <cell r="N184" t="str">
            <v>MORA</v>
          </cell>
          <cell r="O184" t="str">
            <v>BLACKALLER</v>
          </cell>
          <cell r="P184" t="str">
            <v>Grupo Constructor Innoblack,
S. A. de C. V.</v>
          </cell>
          <cell r="Q184" t="str">
            <v>GCI070523CW4</v>
          </cell>
          <cell r="V184">
            <v>42824</v>
          </cell>
          <cell r="Y184">
            <v>1484671.02</v>
          </cell>
          <cell r="AA184"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AD184">
            <v>42826</v>
          </cell>
          <cell r="AE184">
            <v>42885</v>
          </cell>
        </row>
        <row r="185">
          <cell r="C185" t="str">
            <v>DOPI-MUN-RM-OC-AD-053-2017</v>
          </cell>
          <cell r="M185" t="str">
            <v xml:space="preserve">RODOLFO </v>
          </cell>
          <cell r="N185" t="str">
            <v xml:space="preserve">VELAZQUEZ </v>
          </cell>
          <cell r="O185" t="str">
            <v>ORDOÑEZ</v>
          </cell>
          <cell r="P185" t="str">
            <v>Velázquez Ingeniería Ecológica, S. A. de C. V.</v>
          </cell>
          <cell r="Q185" t="str">
            <v>VIE110125RL4</v>
          </cell>
          <cell r="V185">
            <v>42794</v>
          </cell>
          <cell r="Y185">
            <v>771128.46</v>
          </cell>
          <cell r="AA185" t="str">
            <v>Construcción de bocas de tormenta para prevención de inundaciones y conexión al colector pluvial Jalisco, ubicado en Tesistán, municipio de Zapopan, Jalisco.</v>
          </cell>
          <cell r="AD185">
            <v>42795</v>
          </cell>
          <cell r="AE185">
            <v>42855</v>
          </cell>
        </row>
        <row r="186">
          <cell r="C186" t="str">
            <v>DOPI-MUN-RM-OC-AD-054-2017</v>
          </cell>
          <cell r="M186" t="str">
            <v>GUADALUPE ALEJANDRINA</v>
          </cell>
          <cell r="N186" t="str">
            <v>MALDONADO</v>
          </cell>
          <cell r="O186" t="str">
            <v>LARA</v>
          </cell>
          <cell r="P186" t="str">
            <v>L &amp; A Ejecución Construcción y Proyectos Coorporativo JM, S. A. de C. V.</v>
          </cell>
          <cell r="Q186" t="str">
            <v>LAE1306263B5</v>
          </cell>
          <cell r="V186">
            <v>42804</v>
          </cell>
          <cell r="Y186">
            <v>518095.34</v>
          </cell>
          <cell r="AA186" t="str">
            <v>Construcción de canal pluvial prefabricado para prevención de inundaciones en la calle J. García Praga, de la calle Jalisco a la calle Ramón Corona, en la localidad de Tesistán, municipio de Zapopan, Jalisco.</v>
          </cell>
          <cell r="AD186">
            <v>42809</v>
          </cell>
          <cell r="AE186">
            <v>42855</v>
          </cell>
        </row>
        <row r="187">
          <cell r="C187" t="str">
            <v>DOPI-MUN-FORTA-BAN-AD-055-2017</v>
          </cell>
          <cell r="M187" t="str">
            <v xml:space="preserve">HÉCTOR HUGO </v>
          </cell>
          <cell r="N187" t="str">
            <v xml:space="preserve">GUILLÉN </v>
          </cell>
          <cell r="O187" t="str">
            <v>GUERRERO</v>
          </cell>
          <cell r="P187" t="str">
            <v>Construdimensión, S.A. de C.V.</v>
          </cell>
          <cell r="Q187" t="str">
            <v>CON090306I19</v>
          </cell>
          <cell r="V187">
            <v>42818</v>
          </cell>
          <cell r="Y187">
            <v>1450320.18</v>
          </cell>
          <cell r="AA187"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AD187">
            <v>42828</v>
          </cell>
          <cell r="AE187">
            <v>42886</v>
          </cell>
        </row>
        <row r="188">
          <cell r="C188" t="str">
            <v>DOPI-MUN-RM-DS-AD-056-2017</v>
          </cell>
          <cell r="M188" t="str">
            <v>ARTURO</v>
          </cell>
          <cell r="N188" t="str">
            <v>RANGEL</v>
          </cell>
          <cell r="O188" t="str">
            <v>PAEZ</v>
          </cell>
          <cell r="P188" t="str">
            <v>CONSTRUCTORA LASA, S.A. DE C.V.</v>
          </cell>
          <cell r="Q188" t="str">
            <v>CLA890925ER5</v>
          </cell>
          <cell r="V188">
            <v>42842</v>
          </cell>
          <cell r="Y188">
            <v>1102435.22</v>
          </cell>
          <cell r="AA188" t="str">
            <v>Construcción de línea de alejamiento de aguas residuales en la lateral de la carretera a Saltillo, de la calle Casiano Torres Poniente a canal pluvial, en la colonia Villa de Guadalupe, municipio de Zapopan, Jalisco.</v>
          </cell>
          <cell r="AD188">
            <v>42842</v>
          </cell>
          <cell r="AE188">
            <v>42901</v>
          </cell>
        </row>
        <row r="189">
          <cell r="C189" t="str">
            <v>DOPI-MUN-RM-IU-AD-057-2017</v>
          </cell>
          <cell r="M189" t="str">
            <v xml:space="preserve">ALEJANDRO LUIS </v>
          </cell>
          <cell r="N189" t="str">
            <v xml:space="preserve">VAIDOVITS </v>
          </cell>
          <cell r="O189" t="str">
            <v xml:space="preserve"> SCHNURER</v>
          </cell>
          <cell r="P189" t="str">
            <v>PROMACO DE MEXICO, S.A. DE C.V.</v>
          </cell>
          <cell r="Q189" t="str">
            <v>PME930817EV7</v>
          </cell>
          <cell r="V189">
            <v>42846</v>
          </cell>
          <cell r="Y189">
            <v>955444.17</v>
          </cell>
          <cell r="AA189" t="str">
            <v>Primera etapa de la renovación de imagen urbana en las localidades de Santa Ana Tepetitlán y San Juan de Ocotán, municipio de Zapopan, Jalisco.</v>
          </cell>
          <cell r="AD189">
            <v>42849</v>
          </cell>
          <cell r="AE189">
            <v>42896</v>
          </cell>
        </row>
        <row r="190">
          <cell r="C190" t="str">
            <v>DOPI-MUN-RM-IE-AD-058-2017</v>
          </cell>
          <cell r="M190" t="str">
            <v xml:space="preserve">HÉCTOR ALEJANDRO </v>
          </cell>
          <cell r="N190" t="str">
            <v xml:space="preserve">ORTEGA </v>
          </cell>
          <cell r="O190" t="str">
            <v>ROSALES</v>
          </cell>
          <cell r="P190" t="str">
            <v>IME SERVICIOS Y SUMINISTROS, S.A. DE C.V.</v>
          </cell>
          <cell r="Q190" t="str">
            <v>ISS920330811</v>
          </cell>
          <cell r="V190">
            <v>42853</v>
          </cell>
          <cell r="Y190">
            <v>1493490.23</v>
          </cell>
          <cell r="AA190"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AD190">
            <v>42857</v>
          </cell>
          <cell r="AE190">
            <v>42916</v>
          </cell>
        </row>
        <row r="191">
          <cell r="C191" t="str">
            <v>DOPI-MUN-FORTA-ID-AD-059-2017</v>
          </cell>
          <cell r="M191" t="str">
            <v xml:space="preserve">EDUARDO </v>
          </cell>
          <cell r="N191" t="str">
            <v>MERCADO</v>
          </cell>
          <cell r="O191" t="str">
            <v>VAZQUEZ</v>
          </cell>
          <cell r="P191" t="str">
            <v>ANITSUJ, S.A. DE C.V.</v>
          </cell>
          <cell r="Q191" t="str">
            <v>ANI1102217W2</v>
          </cell>
          <cell r="V191">
            <v>42846</v>
          </cell>
          <cell r="Y191">
            <v>1477840.24</v>
          </cell>
          <cell r="AA191" t="str">
            <v>Construcción de Andadores, Recubrimientos y Acabados en la Unidad Deportiva Paseos del Briseño Municipio de Zapopan, Jalisco.</v>
          </cell>
          <cell r="AD191">
            <v>42849</v>
          </cell>
          <cell r="AE191">
            <v>42946</v>
          </cell>
        </row>
        <row r="192">
          <cell r="C192" t="str">
            <v>DOPI-MUN-FORTA-SERV-AD-060-2017</v>
          </cell>
          <cell r="M192" t="str">
            <v>JOSE ALEJANDRO</v>
          </cell>
          <cell r="N192" t="str">
            <v>ALVA</v>
          </cell>
          <cell r="O192" t="str">
            <v>DELGADO</v>
          </cell>
          <cell r="P192" t="str">
            <v>SERVICIOS DE OBRAS CIVILES SERCO, S.A. DE C.V.</v>
          </cell>
          <cell r="Q192" t="str">
            <v>SOC150806E69</v>
          </cell>
          <cell r="V192">
            <v>42825</v>
          </cell>
          <cell r="Y192">
            <v>996523.74</v>
          </cell>
          <cell r="AA192" t="str">
            <v>Control de calidad de diferentes obras 2017 del municipio de Zapopan, Jalisco, etapa 2.</v>
          </cell>
          <cell r="AD192">
            <v>42828</v>
          </cell>
          <cell r="AE192">
            <v>43008</v>
          </cell>
        </row>
        <row r="193">
          <cell r="C193" t="str">
            <v>DOPI-MUN-RM-PAV-AD-061-2017</v>
          </cell>
          <cell r="M193" t="str">
            <v>HECTOR EUGENIO</v>
          </cell>
          <cell r="N193" t="str">
            <v>DE LA TORRE</v>
          </cell>
          <cell r="O193" t="str">
            <v>MENCHACA</v>
          </cell>
          <cell r="P193" t="str">
            <v>INGENIEROS DE LA TORRE, S.A. DE C.V.</v>
          </cell>
          <cell r="Q193" t="str">
            <v>ITO951005HY5</v>
          </cell>
          <cell r="V193">
            <v>42874</v>
          </cell>
          <cell r="Y193">
            <v>1510227.11</v>
          </cell>
          <cell r="AA193"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AD193">
            <v>42877</v>
          </cell>
          <cell r="AE193">
            <v>42872</v>
          </cell>
        </row>
        <row r="194">
          <cell r="C194" t="str">
            <v>DOPI-MUN-RM-PAV-AD-062-2017</v>
          </cell>
          <cell r="M194" t="str">
            <v>ALBERTO</v>
          </cell>
          <cell r="N194" t="str">
            <v>BAÑUELOS</v>
          </cell>
          <cell r="O194" t="str">
            <v>GARCIA</v>
          </cell>
          <cell r="P194" t="str">
            <v>GRIAL CONSTRUCCIONES, S.A. DE C.V.</v>
          </cell>
          <cell r="Q194" t="str">
            <v>GCO100226SU6</v>
          </cell>
          <cell r="V194">
            <v>42874</v>
          </cell>
          <cell r="Y194">
            <v>1496365.17</v>
          </cell>
          <cell r="AA194" t="str">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ell>
          <cell r="AD194">
            <v>42877</v>
          </cell>
          <cell r="AE194">
            <v>42993</v>
          </cell>
        </row>
        <row r="195">
          <cell r="C195" t="str">
            <v>DOPI-MUN-FORTA-EP-AD-067-2017</v>
          </cell>
          <cell r="M195" t="str">
            <v>HECTOR ANDRES</v>
          </cell>
          <cell r="N195" t="str">
            <v>VALADES</v>
          </cell>
          <cell r="O195" t="str">
            <v>SANCHEZ</v>
          </cell>
          <cell r="P195" t="str">
            <v>CONSTRUMOVA, S.A. P.I. DE C.V.</v>
          </cell>
          <cell r="Q195" t="str">
            <v>CON130531FB8</v>
          </cell>
          <cell r="V195">
            <v>42879</v>
          </cell>
          <cell r="Y195">
            <v>1325750.33</v>
          </cell>
          <cell r="AA195" t="str">
            <v>Instalación de reja de acero, reubicación de mobiliario existente y trabajos de adecuación en el estanque de retención de aguas pluviales en Santa María del Pueblito, municipio de Zapopan, Jalisco.</v>
          </cell>
          <cell r="AD195">
            <v>42880</v>
          </cell>
          <cell r="AE195">
            <v>42916</v>
          </cell>
        </row>
        <row r="196">
          <cell r="C196" t="str">
            <v>DOPI-MUN-FORTA-ID-AD-068-2017</v>
          </cell>
          <cell r="M196" t="str">
            <v>OSCAR LUIS</v>
          </cell>
          <cell r="N196" t="str">
            <v>CHAVEZ</v>
          </cell>
          <cell r="O196" t="str">
            <v>GONZALEZ</v>
          </cell>
          <cell r="P196" t="str">
            <v>EURO TRADE, S.A. DE C.V.</v>
          </cell>
          <cell r="Q196" t="str">
            <v>ETR070417NS8</v>
          </cell>
          <cell r="V196">
            <v>42867</v>
          </cell>
          <cell r="Y196">
            <v>1491328.97</v>
          </cell>
          <cell r="AA196" t="str">
            <v>Rehabilitación de infraestructura de servicios en el Centro Acuático Zapopan, Unidad Deportiva Francisco Villa y en la Unidad Deportiva Base Aérea, municipio de Zapopan, Jalisco.</v>
          </cell>
          <cell r="AD196">
            <v>42870</v>
          </cell>
          <cell r="AE196">
            <v>42940</v>
          </cell>
        </row>
        <row r="197">
          <cell r="C197" t="str">
            <v>DOPI-MUN-FORTA-CONT-AD-069-2017</v>
          </cell>
          <cell r="M197" t="str">
            <v>JOSE</v>
          </cell>
          <cell r="N197" t="str">
            <v xml:space="preserve">GUILLEN </v>
          </cell>
          <cell r="O197" t="str">
            <v xml:space="preserve">DIAZ  </v>
          </cell>
          <cell r="P197" t="str">
            <v>SERVICIOS PROFESIONALES PARA LA CONSTRUCCIÓN DE OCCIDENTE, S.A. DE C.V.</v>
          </cell>
          <cell r="Q197" t="str">
            <v>SPC050127BR0</v>
          </cell>
          <cell r="V197">
            <v>42881</v>
          </cell>
          <cell r="Y197">
            <v>622364.78</v>
          </cell>
          <cell r="AA197" t="str">
            <v>Obras de prevención de inundaciones en la calle Privada Guayabitos, colonia Lomas de Tabachines, municipio de Zapopan, Jalisco.</v>
          </cell>
          <cell r="AD197">
            <v>42884</v>
          </cell>
          <cell r="AE197">
            <v>42916</v>
          </cell>
        </row>
        <row r="198">
          <cell r="C198" t="str">
            <v>DOPI-MUN-FORTA-CAL-AD-070-2017</v>
          </cell>
          <cell r="M198" t="str">
            <v>JOEL</v>
          </cell>
          <cell r="N198" t="str">
            <v>ZULOAGA</v>
          </cell>
          <cell r="O198" t="str">
            <v>ACEVES</v>
          </cell>
          <cell r="P198" t="str">
            <v>TASUM SOLUCIONES EN CONSTRUCCION, S.A. DE C.V.</v>
          </cell>
          <cell r="Q198" t="str">
            <v>TSC100210E48</v>
          </cell>
          <cell r="V198">
            <v>42845</v>
          </cell>
          <cell r="Y198">
            <v>754065.98</v>
          </cell>
          <cell r="AA198" t="str">
            <v>Control de calidad de diferentes obras 2017 del municipio de Zapopan, Jalisco, etapa 3.</v>
          </cell>
          <cell r="AD198">
            <v>42849</v>
          </cell>
          <cell r="AE198">
            <v>43013</v>
          </cell>
        </row>
        <row r="199">
          <cell r="C199" t="str">
            <v>DOPI-MUN-FORTA-PROY-AD-071-2017</v>
          </cell>
          <cell r="M199" t="str">
            <v>JOSE DE JESUS</v>
          </cell>
          <cell r="N199" t="str">
            <v xml:space="preserve">CASTILLO </v>
          </cell>
          <cell r="O199" t="str">
            <v>CARRILLO</v>
          </cell>
          <cell r="P199" t="str">
            <v>MAPA OBRAS Y PAVIMENTOS, S.A. DE C.V.</v>
          </cell>
          <cell r="Q199" t="str">
            <v>MOP080610I53</v>
          </cell>
          <cell r="V199">
            <v>42845</v>
          </cell>
          <cell r="Y199">
            <v>1002644.28</v>
          </cell>
          <cell r="AA199" t="str">
            <v>Estudios de mecánica de suelos y diseño de pavimentos de diferentes obras 2017 del municipio de Zapopan, Jalisco, etapa 1.</v>
          </cell>
          <cell r="AD199">
            <v>42849</v>
          </cell>
          <cell r="AE199">
            <v>43013</v>
          </cell>
        </row>
        <row r="200">
          <cell r="C200" t="str">
            <v>DOPI-MUN-FORTA-BAN-AD-072-2017</v>
          </cell>
          <cell r="M200" t="str">
            <v>ERICK</v>
          </cell>
          <cell r="N200" t="str">
            <v>VILLASEÑOR</v>
          </cell>
          <cell r="O200" t="str">
            <v>GUTIERREZ</v>
          </cell>
          <cell r="P200" t="str">
            <v>PIXIDE CONSTRUCTORA, S.A. DE C.V.</v>
          </cell>
          <cell r="Q200" t="str">
            <v>PCO140829425</v>
          </cell>
          <cell r="V200">
            <v>42859</v>
          </cell>
          <cell r="Y200">
            <v>506572.74</v>
          </cell>
          <cell r="AA200" t="str">
            <v>Peatonalización, construcción de banquetas, sustitución de guarniciones y bolardos en calle Ingeniero Alberto Mora López, desde la calle Elote a Carretera a Saltillo, zona las Mesas, municipio de Zapopan, Jalisco.</v>
          </cell>
          <cell r="AD200">
            <v>42863</v>
          </cell>
          <cell r="AE200">
            <v>42916</v>
          </cell>
        </row>
        <row r="201">
          <cell r="C201" t="str">
            <v>DOPI-MUN-FORTA-ID-AD-073-2017</v>
          </cell>
          <cell r="M201" t="str">
            <v>DAVID</v>
          </cell>
          <cell r="N201" t="str">
            <v>LEDESMA</v>
          </cell>
          <cell r="O201" t="str">
            <v>MARTIN DEL CAMPO</v>
          </cell>
          <cell r="P201" t="str">
            <v>DAVID LEDESMA MARTIN DEL CAMPO</v>
          </cell>
          <cell r="Q201" t="str">
            <v>LEMD880217U53</v>
          </cell>
          <cell r="V201">
            <v>42853</v>
          </cell>
          <cell r="Y201">
            <v>621688.56000000006</v>
          </cell>
          <cell r="AA201" t="str">
            <v>Construcción de Skatepark en la Unidad Deportiva Miguel de la Madrid, municipio de Zapopan, Jalisco.</v>
          </cell>
          <cell r="AD201">
            <v>42857</v>
          </cell>
          <cell r="AE201">
            <v>42946</v>
          </cell>
        </row>
        <row r="202">
          <cell r="C202" t="str">
            <v>DOPI-MUN-FORTA-IM-AD-074-2017</v>
          </cell>
          <cell r="M202" t="str">
            <v>LEOBARDO</v>
          </cell>
          <cell r="N202" t="str">
            <v>PRECIADO</v>
          </cell>
          <cell r="O202" t="str">
            <v>ZEPEDA</v>
          </cell>
          <cell r="P202" t="str">
            <v>CONSORCIO CONSTRUCTOR ADOBES, S.A. DE C.V.</v>
          </cell>
          <cell r="Q202" t="str">
            <v>CCA971126QC9</v>
          </cell>
          <cell r="V202">
            <v>42886</v>
          </cell>
          <cell r="Y202">
            <v>710320.06</v>
          </cell>
          <cell r="AA202" t="str">
            <v>Construcción de muros de mampostería y obra complementaria en el parque El Polvorín II, municipio de Zapopan, Jalisco.</v>
          </cell>
          <cell r="AD202">
            <v>42887</v>
          </cell>
          <cell r="AE202">
            <v>42931</v>
          </cell>
        </row>
        <row r="203">
          <cell r="C203" t="str">
            <v>DOPI-MUN-FORTA-PAV-AD-075-2017</v>
          </cell>
          <cell r="M203" t="str">
            <v>OFELIA</v>
          </cell>
          <cell r="N203" t="str">
            <v>BARRAGAN</v>
          </cell>
          <cell r="O203" t="str">
            <v>REYNAGA</v>
          </cell>
          <cell r="P203" t="str">
            <v>I+A INGENIERIA Y ARQUITECTURA CONSTRUCCION Y PROYECTOS, S. DE R.L. DE C.V.</v>
          </cell>
          <cell r="Q203" t="str">
            <v>IIA160303MFA</v>
          </cell>
          <cell r="V203">
            <v>42867</v>
          </cell>
          <cell r="Y203">
            <v>1394454.07</v>
          </cell>
          <cell r="AA203" t="str">
            <v>Construcción de pavimento de concreto hidráulico, banquetas, adecuaciones de la red sanitaria e hidráulica, en la Av. D, colonia El Tigre II, municipio de Zapopan, Jalisco, tramo 2.</v>
          </cell>
          <cell r="AD203">
            <v>42870</v>
          </cell>
          <cell r="AE203">
            <v>42940</v>
          </cell>
        </row>
        <row r="204">
          <cell r="C204" t="str">
            <v>DOPI-MUN-FORTA-DS-AD-076-2017</v>
          </cell>
          <cell r="M204" t="str">
            <v>LUIS ERAZMO</v>
          </cell>
          <cell r="N204" t="str">
            <v>DURAN</v>
          </cell>
          <cell r="O204" t="str">
            <v>GODINA</v>
          </cell>
          <cell r="P204" t="str">
            <v>CONSTRUCTORA Y URBANIZADORA PROYEXEM, S.A. DE C.V.</v>
          </cell>
          <cell r="Q204" t="str">
            <v>CUP130507Q85</v>
          </cell>
          <cell r="V204">
            <v>42842</v>
          </cell>
          <cell r="Y204">
            <v>1714660.23</v>
          </cell>
          <cell r="AA204" t="str">
            <v>Sustitución de red de drenaje sanitario en calles de la colonia Lomas de Tabachines I sección, en el municipio de Zapopan, Jalisco, primera etapa.</v>
          </cell>
          <cell r="AD204">
            <v>42842</v>
          </cell>
          <cell r="AE204">
            <v>42931</v>
          </cell>
        </row>
        <row r="205">
          <cell r="C205" t="str">
            <v>DOPI-MUN-FORTA-PROY-AD-094-2017</v>
          </cell>
          <cell r="M205" t="str">
            <v>PATRICIA</v>
          </cell>
          <cell r="N205" t="str">
            <v>NAMUR</v>
          </cell>
          <cell r="O205" t="str">
            <v>MARTÍNEZ</v>
          </cell>
          <cell r="P205" t="str">
            <v>SERVICIOS TOPOGRAFICOS ESPECIALIZADOS, S.A. DE C.V.</v>
          </cell>
          <cell r="Q205" t="str">
            <v>STE990210U51</v>
          </cell>
          <cell r="V205">
            <v>42886</v>
          </cell>
          <cell r="Y205">
            <v>1110450.23</v>
          </cell>
          <cell r="AA205" t="str">
            <v>Estudios básicos topográficos para diferentes obras 2017, frente 1, del municipio de Zapopan, Jalisco.</v>
          </cell>
          <cell r="AD205">
            <v>42887</v>
          </cell>
          <cell r="AE205">
            <v>43039</v>
          </cell>
        </row>
        <row r="206">
          <cell r="C206" t="str">
            <v>DOPI-MUN-FORTA-BAN-AD-119-2017</v>
          </cell>
          <cell r="M206" t="str">
            <v xml:space="preserve">Eduardo </v>
          </cell>
          <cell r="N206" t="str">
            <v>Plascencia</v>
          </cell>
          <cell r="O206" t="str">
            <v>Macias</v>
          </cell>
          <cell r="P206" t="str">
            <v>Constructora y Edificadora Plasma, S.A. de C.V.</v>
          </cell>
          <cell r="Q206" t="str">
            <v>CEP080129EK6</v>
          </cell>
          <cell r="V206">
            <v>42899</v>
          </cell>
          <cell r="Y206">
            <v>1702315.57</v>
          </cell>
          <cell r="AA206" t="str">
            <v>Peatonalización, construcción de banquetas, sustitución de guarniciones, bolardos y obra complementaria en el estacionamiento en el Hospital General de Zapopan, Municipio de Zapopan, Jalisco.</v>
          </cell>
          <cell r="AD206">
            <v>42900</v>
          </cell>
          <cell r="AE206">
            <v>42942</v>
          </cell>
        </row>
        <row r="207">
          <cell r="C207" t="str">
            <v>DOPI-MUN-RM-BACHEO-AD-120-2017</v>
          </cell>
          <cell r="M207" t="str">
            <v>Luis Armando</v>
          </cell>
          <cell r="N207" t="str">
            <v>Linares</v>
          </cell>
          <cell r="O207" t="str">
            <v>Cacho</v>
          </cell>
          <cell r="P207" t="str">
            <v>Urbanizadora y Constructora Roal, S.A. de C.V.</v>
          </cell>
          <cell r="Q207" t="str">
            <v>URC160310857</v>
          </cell>
          <cell r="V207">
            <v>42919</v>
          </cell>
          <cell r="Y207">
            <v>1715234.39</v>
          </cell>
          <cell r="AA207" t="str">
            <v>Programa emergente de bacheo, renivelaciones y sellado en vialidades, Zona Centro, Frente 1, municipio de Zapopan, Jalisco.</v>
          </cell>
          <cell r="AD207">
            <v>42919</v>
          </cell>
          <cell r="AE207">
            <v>42993</v>
          </cell>
        </row>
        <row r="208">
          <cell r="C208" t="str">
            <v>DOPI-MUN-RM-BACHEO-AD-121-2017</v>
          </cell>
          <cell r="M208" t="str">
            <v>José Antonio</v>
          </cell>
          <cell r="N208" t="str">
            <v>Álvarez</v>
          </cell>
          <cell r="O208" t="str">
            <v>Garcia</v>
          </cell>
          <cell r="P208" t="str">
            <v>Urcoma 1970, S. A. de C. V. PCZ-041/2016</v>
          </cell>
          <cell r="Q208" t="str">
            <v>UMN160125869</v>
          </cell>
          <cell r="V208">
            <v>42919</v>
          </cell>
          <cell r="Y208">
            <v>1724125.79</v>
          </cell>
          <cell r="AA208" t="str">
            <v>Programa emergente de bacheo, renivelaciones y sellado en vialidades, Zona Centro, Frente 2, municipio de Zapopan, Jalisco.</v>
          </cell>
          <cell r="AD208">
            <v>42919</v>
          </cell>
          <cell r="AE208">
            <v>42993</v>
          </cell>
        </row>
        <row r="209">
          <cell r="C209" t="str">
            <v>DOPI-MUN-RM-IM-AD-122-2017</v>
          </cell>
          <cell r="M209" t="str">
            <v>J. JESÚS</v>
          </cell>
          <cell r="N209" t="str">
            <v>CONTRERAS</v>
          </cell>
          <cell r="O209" t="str">
            <v>VILLANUEVA</v>
          </cell>
          <cell r="P209" t="str">
            <v>CONSTRUCCIÓNES COVIMEX, S.A. DE C.V.</v>
          </cell>
          <cell r="Q209" t="str">
            <v>CCO0404226D8</v>
          </cell>
          <cell r="V209">
            <v>42915</v>
          </cell>
          <cell r="Y209">
            <v>998558.74</v>
          </cell>
          <cell r="AA209" t="str">
            <v>Rehabilitación de Salón Vecinal, zona 6, Colonia Paseos del Sol, municipio de Zapopan, Jalisco, primera etapa.</v>
          </cell>
          <cell r="AD209">
            <v>42919</v>
          </cell>
          <cell r="AE209">
            <v>42962</v>
          </cell>
        </row>
        <row r="210">
          <cell r="C210" t="str">
            <v>DOPI-MUN-R33-IH-AD-123-2017</v>
          </cell>
          <cell r="M210" t="str">
            <v>CARLOS CELSO</v>
          </cell>
          <cell r="N210" t="str">
            <v>GARCÍA</v>
          </cell>
          <cell r="O210" t="str">
            <v>QUINTERO</v>
          </cell>
          <cell r="P210" t="str">
            <v>GRUPO CONSTRUCTOR HISACA, S.A. DE C.V.</v>
          </cell>
          <cell r="Q210" t="str">
            <v>GCH070702SH8</v>
          </cell>
          <cell r="V210">
            <v>42915</v>
          </cell>
          <cell r="Y210">
            <v>1700244.87</v>
          </cell>
          <cell r="AA210" t="str">
            <v>Revestimiento de canal pluvial y obras de drenaje, sobre calle Pinos de calle Periodistas a calle Fresno, en la colonia Lomas del Centinela, municipio de Zapopan, Jalisco. Primera etapa.</v>
          </cell>
          <cell r="AD210">
            <v>42919</v>
          </cell>
          <cell r="AE210">
            <v>42981</v>
          </cell>
        </row>
        <row r="211">
          <cell r="C211" t="str">
            <v>DOPI-MUN-RM-BACHEO-AD-124-2017</v>
          </cell>
          <cell r="M211" t="str">
            <v>Rodrigo</v>
          </cell>
          <cell r="N211" t="str">
            <v>Ramos</v>
          </cell>
          <cell r="O211" t="str">
            <v>Garibi</v>
          </cell>
          <cell r="P211" t="str">
            <v>Metro Asfaltos, S.A. de C.V.</v>
          </cell>
          <cell r="Q211" t="str">
            <v>CMA070307RU6</v>
          </cell>
          <cell r="V211">
            <v>42919</v>
          </cell>
          <cell r="Y211">
            <v>1718789.14</v>
          </cell>
          <cell r="AA211" t="str">
            <v>Programa emergente de bacheo, renivelaciones y sellado en vialidades, Zona Sur, Frente 1, municipio de Zapopan, Jalisco.</v>
          </cell>
          <cell r="AD211">
            <v>42919</v>
          </cell>
          <cell r="AE211">
            <v>42993</v>
          </cell>
        </row>
        <row r="212">
          <cell r="C212" t="str">
            <v>DOPI-MUN-RM-BACHEO-AD-125-2017</v>
          </cell>
          <cell r="M212" t="str">
            <v>SALVADOR ALEJANDRO</v>
          </cell>
          <cell r="N212" t="str">
            <v>CURIEL</v>
          </cell>
          <cell r="O212" t="str">
            <v>SANCHEZ</v>
          </cell>
          <cell r="P212" t="str">
            <v>PROYECTOS Y CONSTRUCCIONES CUPE, S.A. DE C.V.</v>
          </cell>
          <cell r="Q212" t="str">
            <v>PYC1004139E5</v>
          </cell>
          <cell r="V212">
            <v>42919</v>
          </cell>
          <cell r="Y212">
            <v>1102004.26</v>
          </cell>
          <cell r="AA212" t="str">
            <v>Programa emergente de bacheo, renivelaciones y sellado en vialidades, Zona Surponiente, Frente 1, municipio de Zapopan, Jalisco.</v>
          </cell>
          <cell r="AD212">
            <v>42919</v>
          </cell>
          <cell r="AE212">
            <v>42993</v>
          </cell>
        </row>
        <row r="213">
          <cell r="C213" t="str">
            <v>DOPI-MUN-RM-BACHEO-AD-126-2017</v>
          </cell>
          <cell r="M213" t="str">
            <v>Mario</v>
          </cell>
          <cell r="N213" t="str">
            <v>Beltrán</v>
          </cell>
          <cell r="O213" t="str">
            <v>Rodríguez</v>
          </cell>
          <cell r="P213" t="str">
            <v xml:space="preserve">Constructora y Desarrolladora Barba y Asociados, S. A. de C. V. </v>
          </cell>
          <cell r="Q213" t="str">
            <v>CDB0506068Z4</v>
          </cell>
          <cell r="V213">
            <v>42919</v>
          </cell>
          <cell r="Y213">
            <v>1720415.17</v>
          </cell>
          <cell r="AA213" t="str">
            <v>Programa emergente de bacheo, renivelaciones y sellado en vialidades, Zona Poniente, Frente 1, municipio de Zapopan, Jalisco.</v>
          </cell>
          <cell r="AD213">
            <v>42919</v>
          </cell>
          <cell r="AE213">
            <v>42993</v>
          </cell>
        </row>
        <row r="214">
          <cell r="C214" t="str">
            <v>DOPI-MUN-RM-BACHEO-AD-127-2017</v>
          </cell>
          <cell r="M214" t="str">
            <v>CARLOS OMAR</v>
          </cell>
          <cell r="N214" t="str">
            <v>FIGUEROA</v>
          </cell>
          <cell r="O214" t="str">
            <v>CORONADO</v>
          </cell>
          <cell r="P214" t="str">
            <v>VACO GRUPO TECNICO DE CONSTRUCCIONES, S.A. DE C.V.</v>
          </cell>
          <cell r="Q214" t="str">
            <v>VGT1402126T0</v>
          </cell>
          <cell r="V214">
            <v>42920</v>
          </cell>
          <cell r="Y214">
            <v>1151981.04</v>
          </cell>
          <cell r="AA214" t="str">
            <v>Programa emergente de bacheo, renivelaciones y sellado en vialidades, Zona Norponiente, Frente 1, municipio de Zapopan, Jalisco.</v>
          </cell>
          <cell r="AD214">
            <v>42920</v>
          </cell>
          <cell r="AE214">
            <v>42994</v>
          </cell>
        </row>
        <row r="215">
          <cell r="C215" t="str">
            <v>DOPI-MUN-RM-BACHEO-AD-128-2017</v>
          </cell>
          <cell r="M215" t="str">
            <v>ANGEL SALOMON</v>
          </cell>
          <cell r="N215" t="str">
            <v>RINCON</v>
          </cell>
          <cell r="O215" t="str">
            <v>DE LA ROSA</v>
          </cell>
          <cell r="P215" t="str">
            <v>ARO ASFALTOS Y RIEGOS DE OCCIDENTE, S.A. DE C.V.</v>
          </cell>
          <cell r="Q215" t="str">
            <v>AAR120507VA9</v>
          </cell>
          <cell r="V215">
            <v>42919</v>
          </cell>
          <cell r="Y215">
            <v>1724418.16</v>
          </cell>
          <cell r="AA215" t="str">
            <v>Programa emergente de bacheo, renivelaciones y sellado en vialidades, Zona Norte, Frente 1, municipio de Zapopan, Jalisco.</v>
          </cell>
          <cell r="AD215">
            <v>42919</v>
          </cell>
          <cell r="AE215">
            <v>42993</v>
          </cell>
        </row>
        <row r="216">
          <cell r="C216" t="str">
            <v>DOPI-MUN-RM-BACHEO-AD-129-2017</v>
          </cell>
          <cell r="M216" t="str">
            <v xml:space="preserve">HUGO </v>
          </cell>
          <cell r="N216" t="str">
            <v>BOJORQUEZ</v>
          </cell>
          <cell r="O216" t="str">
            <v>SANCHEZ</v>
          </cell>
          <cell r="P216" t="str">
            <v>BACHEO JET, S.A. DE C.V.</v>
          </cell>
          <cell r="Q216" t="str">
            <v>BJE1308202Z2</v>
          </cell>
          <cell r="V216">
            <v>42919</v>
          </cell>
          <cell r="Y216">
            <v>1705443.99</v>
          </cell>
          <cell r="AA216" t="str">
            <v>Programa emergente de bacheo por el método de bacheo a presión en vialidades, Zonas Centro y Sur, Frente 2, municipio de Zapopan, Jalisco.</v>
          </cell>
          <cell r="AD216">
            <v>42919</v>
          </cell>
          <cell r="AE216">
            <v>42993</v>
          </cell>
        </row>
        <row r="217">
          <cell r="C217" t="str">
            <v>DOPI-MUN-FORTA-IM-AD-130-2017</v>
          </cell>
          <cell r="M217" t="str">
            <v>CLAUDIA PATRICIA</v>
          </cell>
          <cell r="N217" t="str">
            <v xml:space="preserve">SANCHEZ </v>
          </cell>
          <cell r="O217" t="str">
            <v>VALLES</v>
          </cell>
          <cell r="P217" t="str">
            <v>CONSTRUCTORA JMA, S.A. DE C.V.</v>
          </cell>
          <cell r="Q217" t="str">
            <v>CJM121221Q73</v>
          </cell>
          <cell r="V217">
            <v>42919</v>
          </cell>
          <cell r="Y217">
            <v>1530188.23</v>
          </cell>
          <cell r="AA217" t="str">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ell>
          <cell r="AD217">
            <v>42920</v>
          </cell>
          <cell r="AE217">
            <v>42977</v>
          </cell>
        </row>
        <row r="218">
          <cell r="C218" t="str">
            <v>DOPI-MUN-FORTA-IS-AD-131-2017</v>
          </cell>
          <cell r="M218" t="str">
            <v xml:space="preserve">Eduardo </v>
          </cell>
          <cell r="N218" t="str">
            <v>Plascencia</v>
          </cell>
          <cell r="O218" t="str">
            <v>Macias</v>
          </cell>
          <cell r="P218" t="str">
            <v>Constructora y Edificadora Plasma, S.A. de C.V.</v>
          </cell>
          <cell r="Q218" t="str">
            <v>CEP080129EK6</v>
          </cell>
          <cell r="V218">
            <v>42919</v>
          </cell>
          <cell r="Y218">
            <v>705487.23</v>
          </cell>
          <cell r="AA218" t="str">
            <v>Obra complementaria para la terminación del Centro de Salud Atemajac, ubicado en la colonia Atemajac del Valle, municipio de Zapopan, Jalisco.</v>
          </cell>
          <cell r="AD218">
            <v>42920</v>
          </cell>
          <cell r="AE218">
            <v>42977</v>
          </cell>
        </row>
        <row r="219">
          <cell r="C219" t="str">
            <v>DOPI-MUN-FORTA-IU-AD-132-2017</v>
          </cell>
          <cell r="M219" t="str">
            <v xml:space="preserve">RAFAEL </v>
          </cell>
          <cell r="N219" t="str">
            <v>ARREGUIN</v>
          </cell>
          <cell r="O219" t="str">
            <v>RENTERIA</v>
          </cell>
          <cell r="P219" t="str">
            <v xml:space="preserve">ARH DESARROLLOS INMOBILIARIOS, S.A. DE C.V. </v>
          </cell>
          <cell r="Q219" t="str">
            <v>ADI130522MB7</v>
          </cell>
          <cell r="V219">
            <v>42940</v>
          </cell>
          <cell r="Y219">
            <v>1630250.47</v>
          </cell>
          <cell r="AA219" t="str">
            <v>Primera etapa de la renovación de imagen urbana en la colonia Díaz Ordaz, municipio de Zapopan, Jalisco.</v>
          </cell>
          <cell r="AD219">
            <v>42940</v>
          </cell>
          <cell r="AE219">
            <v>43022</v>
          </cell>
        </row>
        <row r="220">
          <cell r="C220" t="str">
            <v>DOPI-MUN-RM-PAV-AD-133-2017</v>
          </cell>
          <cell r="M220" t="str">
            <v xml:space="preserve">SANTIAGO </v>
          </cell>
          <cell r="N220" t="str">
            <v xml:space="preserve">BUENO </v>
          </cell>
          <cell r="O220" t="str">
            <v>FUENTES</v>
          </cell>
          <cell r="P220" t="str">
            <v>CONSTRUCTORA SBF, S.A. DE C.V.</v>
          </cell>
          <cell r="Q220" t="str">
            <v>CSB940503EB3</v>
          </cell>
          <cell r="V220">
            <v>42935</v>
          </cell>
          <cell r="Y220">
            <v>1228660.2</v>
          </cell>
          <cell r="AA220" t="str">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ell>
          <cell r="AD220">
            <v>42936</v>
          </cell>
          <cell r="AE220">
            <v>42977</v>
          </cell>
        </row>
        <row r="221">
          <cell r="C221" t="str">
            <v>DOPI-MUN-RM-IM-AD-134-2017</v>
          </cell>
          <cell r="M221" t="str">
            <v>DAVID SERGIO</v>
          </cell>
          <cell r="N221" t="str">
            <v>DOMINGUEZ</v>
          </cell>
          <cell r="O221" t="str">
            <v>MEZA</v>
          </cell>
          <cell r="P221" t="str">
            <v>VALIKA CONSTRUCTORA, S.A. DE C.V.</v>
          </cell>
          <cell r="Q221" t="str">
            <v>VCO9412201J0</v>
          </cell>
          <cell r="V221">
            <v>42935</v>
          </cell>
          <cell r="Y221">
            <v>997556.34</v>
          </cell>
          <cell r="AA221" t="str">
            <v>Automatización del sistema de bombeo en la red de drenaje, cárcamo de agua residuales y construcción de losa de techo en la colonia Lomas Atlas, municipio de Zapopan, Jalisco.</v>
          </cell>
          <cell r="AD221">
            <v>42936</v>
          </cell>
          <cell r="AE221">
            <v>42977</v>
          </cell>
        </row>
        <row r="222">
          <cell r="C222" t="str">
            <v>DOPI-MUN-FORTA-PAV-AD-135-2017</v>
          </cell>
          <cell r="M222" t="str">
            <v>TOMAS</v>
          </cell>
          <cell r="N222" t="str">
            <v>SANDOVAL</v>
          </cell>
          <cell r="O222" t="str">
            <v>ALVAREZ</v>
          </cell>
          <cell r="P222" t="str">
            <v>CONSTRUCCIONES Y RENTAS DE MAQUINARIA DE OCCIDENTE, S.A. DE C.V.</v>
          </cell>
          <cell r="Q222" t="str">
            <v>CRM910909K48</v>
          </cell>
          <cell r="V222">
            <v>42930</v>
          </cell>
          <cell r="Y222">
            <v>1710514.78</v>
          </cell>
          <cell r="AA222" t="str">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ell>
          <cell r="AD222">
            <v>42930</v>
          </cell>
          <cell r="AE222">
            <v>42993</v>
          </cell>
        </row>
        <row r="223">
          <cell r="C223" t="str">
            <v>DOPI-MUN-FORTA-PAV-AD-136-2017</v>
          </cell>
          <cell r="M223" t="str">
            <v xml:space="preserve">GUILLERMO EMMANUEL </v>
          </cell>
          <cell r="N223" t="str">
            <v xml:space="preserve">LARA </v>
          </cell>
          <cell r="O223" t="str">
            <v>OCHOA</v>
          </cell>
          <cell r="P223" t="str">
            <v>ALQUIMIA GRUPO CONSTRUCTOR, S.A. DE C.V.</v>
          </cell>
          <cell r="Q223" t="str">
            <v>AGC070223J95</v>
          </cell>
          <cell r="V223">
            <v>42935</v>
          </cell>
          <cell r="Y223">
            <v>1004338.5</v>
          </cell>
          <cell r="AA223" t="str">
            <v>Sello asfáltico, renivelaciones y bacheo en vialidades de la colonia Loma Bonita Ejidal, municipio de Zapopan, Jalisco, primera etapa.</v>
          </cell>
          <cell r="AD223">
            <v>42935</v>
          </cell>
          <cell r="AE223">
            <v>42962</v>
          </cell>
        </row>
        <row r="224">
          <cell r="C224" t="str">
            <v>DOPI-MUN-RM-PAV-AD-137-2017</v>
          </cell>
          <cell r="M224" t="str">
            <v>JESUS DAVID</v>
          </cell>
          <cell r="N224" t="str">
            <v xml:space="preserve">GARZA </v>
          </cell>
          <cell r="O224" t="str">
            <v>GARCIA</v>
          </cell>
          <cell r="P224" t="str">
            <v>CONSTRUCCIONES  ELECTRIFICACIONES Y ARRENDAMIENTO DE MAQUINARIA S.A. DE C.V.</v>
          </cell>
          <cell r="Q224" t="str">
            <v>CEA010615GT0</v>
          </cell>
          <cell r="V224">
            <v>42935</v>
          </cell>
          <cell r="Y224">
            <v>978686.25</v>
          </cell>
          <cell r="AA224" t="str">
            <v>Construcción de camino de acceso a la celda 5 del relleno sanitario Picachos, municipio de Zapopan, Jalisco.</v>
          </cell>
          <cell r="AD224">
            <v>42935</v>
          </cell>
          <cell r="AE224">
            <v>42962</v>
          </cell>
        </row>
        <row r="225">
          <cell r="C225" t="str">
            <v>DOPI-MUN-FORTA-ID-AD-138-2017</v>
          </cell>
          <cell r="M225" t="str">
            <v>JAIME FERNANDO</v>
          </cell>
          <cell r="N225" t="str">
            <v>ALVAREZ</v>
          </cell>
          <cell r="O225" t="str">
            <v>LOZANO</v>
          </cell>
          <cell r="P225" t="str">
            <v>INOVACIONES EN MOBILIARIO URBANO S.A. DE C.V.</v>
          </cell>
          <cell r="Q225" t="str">
            <v>IMU120820NM7</v>
          </cell>
          <cell r="V225">
            <v>42935</v>
          </cell>
          <cell r="Y225">
            <v>937274.17</v>
          </cell>
          <cell r="AA225" t="str">
            <v>Albañilería, acabados, pasto sintético y mobiliario urbano en el Polvorín, municipio de Zapopan, Jalisco.</v>
          </cell>
          <cell r="AD225">
            <v>42935</v>
          </cell>
          <cell r="AE225">
            <v>42977</v>
          </cell>
        </row>
        <row r="226">
          <cell r="C226" t="str">
            <v>DOPI-MUN-RM-IE-AD-139-2017</v>
          </cell>
          <cell r="M226" t="str">
            <v xml:space="preserve">JESÚS </v>
          </cell>
          <cell r="N226" t="str">
            <v>CUETO</v>
          </cell>
          <cell r="O226" t="str">
            <v>GARCÍA</v>
          </cell>
          <cell r="P226" t="str">
            <v>CONSTRUCTORA MICUET, S.A. DE C.V.</v>
          </cell>
          <cell r="Q226" t="str">
            <v>CMI0312018W4</v>
          </cell>
          <cell r="V226">
            <v>42982</v>
          </cell>
          <cell r="Y226">
            <v>1712572.4</v>
          </cell>
          <cell r="AA226" t="str">
            <v>Estructura para protección de rayos ultravioleta en la secundaria 18 mixta, ubicada en Privada Circunvalación Oriente, entre Calzada de Los Fresnos y calzada de Los Ángeles, en la colonia Ciudad Granja, municipio de Zapopan, Jalisco.</v>
          </cell>
          <cell r="AD226">
            <v>42989</v>
          </cell>
          <cell r="AE226">
            <v>43063</v>
          </cell>
        </row>
        <row r="227">
          <cell r="C227" t="str">
            <v>DOPI-MUN-R33R-DS-AD-140-2017</v>
          </cell>
          <cell r="M227" t="str">
            <v>IRMA GUADALUPE</v>
          </cell>
          <cell r="N227" t="str">
            <v>RIZO</v>
          </cell>
          <cell r="O227" t="str">
            <v>ACUÑA</v>
          </cell>
          <cell r="P227" t="str">
            <v>FOGU GRUPO CONSTRUCTOR, S.A. DE C.V.</v>
          </cell>
          <cell r="Q227" t="str">
            <v>FGC100909TW9</v>
          </cell>
          <cell r="V227">
            <v>42937</v>
          </cell>
          <cell r="Y227">
            <v>997850.24</v>
          </cell>
          <cell r="AA227" t="str">
            <v>Construcción de red de drenaje sanitario en las calles: San Nicolás, El Palomar e Ing. Gómez, en la colonia los Cajetes, municipio de Zapopan, Jalisco.</v>
          </cell>
          <cell r="AD227">
            <v>42940</v>
          </cell>
          <cell r="AE227">
            <v>43023</v>
          </cell>
        </row>
        <row r="228">
          <cell r="C228" t="str">
            <v>DOPI-MUN-FORTA-BAN-AD-141-2017</v>
          </cell>
          <cell r="M228" t="str">
            <v>SERGIO CESAR</v>
          </cell>
          <cell r="N228" t="str">
            <v>DÍAZ</v>
          </cell>
          <cell r="O228" t="str">
            <v>QUIROZ</v>
          </cell>
          <cell r="P228" t="str">
            <v>TRANSCRETO S.A. DE C.V.</v>
          </cell>
          <cell r="Q228" t="str">
            <v>TRA750528286</v>
          </cell>
          <cell r="V228">
            <v>42920</v>
          </cell>
          <cell r="Y228">
            <v>1279687.06</v>
          </cell>
          <cell r="AA228" t="str">
            <v>Peatonalización, construcción de banquetas, sustitución de guarniciones, bolardos, en Prolongación Av. Guadalupe, de Prolongación Mariano Otero al Arroyo El Garabato, municipio de Zapopan, Jalisco.</v>
          </cell>
          <cell r="AD228">
            <v>42920</v>
          </cell>
          <cell r="AE228">
            <v>42962</v>
          </cell>
        </row>
        <row r="229">
          <cell r="C229" t="str">
            <v>DOPI-MUN-RM-PAV-AD-142-2017</v>
          </cell>
          <cell r="M229" t="str">
            <v>JOSÉ OMAR</v>
          </cell>
          <cell r="N229" t="str">
            <v>FERNÁNDEZ</v>
          </cell>
          <cell r="O229" t="str">
            <v>VÁZQUEZ</v>
          </cell>
          <cell r="P229" t="str">
            <v>EXTRA CONSTRUCCIÓNES, S.A. DE C.V.</v>
          </cell>
          <cell r="Q229" t="str">
            <v>ECO0908115Z7</v>
          </cell>
          <cell r="V229">
            <v>42982</v>
          </cell>
          <cell r="Y229">
            <v>1650254.87</v>
          </cell>
          <cell r="AA229" t="str">
            <v>Pavimentación con adoquín y empedrado tradicional con material producto de recuperación en diferentes vialidades en el municipio de Zapopan, Jalisco, frente 2.</v>
          </cell>
          <cell r="AD229">
            <v>42989</v>
          </cell>
          <cell r="AE229">
            <v>43078</v>
          </cell>
        </row>
        <row r="230">
          <cell r="C230" t="str">
            <v>DOPI-MUN-RM-PROY-AD-143-2017</v>
          </cell>
          <cell r="M230" t="str">
            <v>CARLOS CELSO</v>
          </cell>
          <cell r="N230" t="str">
            <v>GARCÍA</v>
          </cell>
          <cell r="O230" t="str">
            <v>QUINTERO</v>
          </cell>
          <cell r="P230" t="str">
            <v>GRUPO CONSTRUCTOR HISACA, S.A. DE C.V.</v>
          </cell>
          <cell r="Q230" t="str">
            <v>GCH070702SH8</v>
          </cell>
          <cell r="V230">
            <v>42982</v>
          </cell>
          <cell r="Y230">
            <v>542300</v>
          </cell>
          <cell r="AA230" t="str">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ell>
          <cell r="AD230">
            <v>42989</v>
          </cell>
          <cell r="AE230">
            <v>43058</v>
          </cell>
        </row>
        <row r="231">
          <cell r="C231" t="str">
            <v>DOPI-MUN-R33R-AP-AD-144-2017</v>
          </cell>
          <cell r="M231" t="str">
            <v>JOSÉ DE JESÚS</v>
          </cell>
          <cell r="N231" t="str">
            <v>PALAFOX</v>
          </cell>
          <cell r="O231" t="str">
            <v>VILLEGAS</v>
          </cell>
          <cell r="P231" t="str">
            <v>MEGAENLACE CONSTRUCCIÓNES S.A. DE C.V.</v>
          </cell>
          <cell r="Q231" t="str">
            <v>MCO1510113H8</v>
          </cell>
          <cell r="V231">
            <v>42944</v>
          </cell>
          <cell r="Y231">
            <v>950235.48</v>
          </cell>
          <cell r="AA231" t="str">
            <v>Construcción de red de agua potable y drenaje sanitario en la calle Ramón López Velarde de calle Pablo Neruda a cerrada, y calle Juan José Arreola de calle Pablo Neruda a cerrada, colonia La Coronilla, municipio de Zapopan, Jalisco.</v>
          </cell>
          <cell r="AD231">
            <v>42945</v>
          </cell>
          <cell r="AE231">
            <v>43028</v>
          </cell>
        </row>
        <row r="232">
          <cell r="C232" t="str">
            <v>DOPI-MUN-R33-IH-AD-163-2017</v>
          </cell>
          <cell r="M232" t="str">
            <v>JOSÉ JAIME</v>
          </cell>
          <cell r="N232" t="str">
            <v>CAMARENA</v>
          </cell>
          <cell r="O232" t="str">
            <v>CORREA</v>
          </cell>
          <cell r="P232" t="str">
            <v>FIRMITAS CONSTRUCTA, S.A. DE C.V.</v>
          </cell>
          <cell r="Q232" t="str">
            <v>FCO110711N24</v>
          </cell>
          <cell r="V232">
            <v>42950</v>
          </cell>
          <cell r="Y232">
            <v>1569323.53</v>
          </cell>
          <cell r="AA232" t="str">
            <v>Revestimiento de canal pluvial y obras de drenaje, sobre calle Pinos de calle Periodistas a calle Fresno, en la colonia Lomas del Centinela, municipio de Zapopan, Jalisco. Primera etapa.</v>
          </cell>
          <cell r="AD232">
            <v>42954</v>
          </cell>
          <cell r="AE232">
            <v>43016</v>
          </cell>
        </row>
        <row r="233">
          <cell r="C233" t="str">
            <v>DOPI-EST-CR-PAV-AD-179-2017</v>
          </cell>
          <cell r="M233" t="str">
            <v>OSCAR</v>
          </cell>
          <cell r="N233" t="str">
            <v>MARTÍNEZ</v>
          </cell>
          <cell r="O233" t="str">
            <v>RODRÍGUEZ</v>
          </cell>
          <cell r="P233" t="str">
            <v>CADACO CONSTRUCCIÓNES, S.A. DE C.V.</v>
          </cell>
          <cell r="Q233" t="str">
            <v>CCO070612CT2</v>
          </cell>
          <cell r="V233">
            <v>42958</v>
          </cell>
          <cell r="Y233">
            <v>956408.83</v>
          </cell>
          <cell r="AA233" t="str">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ell>
          <cell r="AD233">
            <v>42958</v>
          </cell>
          <cell r="AE233">
            <v>43008</v>
          </cell>
        </row>
        <row r="234">
          <cell r="C234" t="str">
            <v>DOPI-MUN-RM-APDS-180-2017</v>
          </cell>
          <cell r="M234" t="str">
            <v>ERICK</v>
          </cell>
          <cell r="N234" t="str">
            <v>VILLASEÑOR</v>
          </cell>
          <cell r="O234" t="str">
            <v>GUTIÉRREZ</v>
          </cell>
          <cell r="P234" t="str">
            <v>PIXIDE CONSTRUCTORA, S.A. DE C.V.</v>
          </cell>
          <cell r="Q234" t="str">
            <v>PCO140829425</v>
          </cell>
          <cell r="V234">
            <v>42951</v>
          </cell>
          <cell r="Y234">
            <v>1248911.51</v>
          </cell>
          <cell r="AA234" t="str">
            <v>Construcción de línea de impulsión del pozo a tanque de almacenamiento y rehabilitación de tanque superficial de almacenamiento de agua en el Ejido Copalita, municipio de Zapopan, Jalisco.</v>
          </cell>
          <cell r="AD234">
            <v>42954</v>
          </cell>
          <cell r="AE234">
            <v>43008</v>
          </cell>
        </row>
        <row r="235">
          <cell r="C235" t="str">
            <v>DOPI-MUN-R33R-APDS-AD-181-2017</v>
          </cell>
          <cell r="M235" t="str">
            <v>RAFAEL AUGUSTO</v>
          </cell>
          <cell r="N235" t="str">
            <v>CABALLERO</v>
          </cell>
          <cell r="O235" t="str">
            <v>QUIRARTE</v>
          </cell>
          <cell r="P235" t="str">
            <v>PROYECTOS ARQUITECTONICOS TRIANGULO, S.A. DE C.V.</v>
          </cell>
          <cell r="Q235" t="str">
            <v>PAT110331HH0</v>
          </cell>
          <cell r="V235">
            <v>42977</v>
          </cell>
          <cell r="Y235">
            <v>1655035.68</v>
          </cell>
          <cell r="AA235" t="str">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ell>
          <cell r="AD235">
            <v>42982</v>
          </cell>
          <cell r="AE235">
            <v>43039</v>
          </cell>
        </row>
        <row r="236">
          <cell r="C236" t="str">
            <v>DOPI-MUN-RM-MOV-AD-182-2017</v>
          </cell>
          <cell r="M236" t="str">
            <v>JULIO EDUARDO</v>
          </cell>
          <cell r="N236" t="str">
            <v>LÓPEZ</v>
          </cell>
          <cell r="O236" t="str">
            <v>PÉREZ</v>
          </cell>
          <cell r="P236" t="str">
            <v>PROYECTOS E INSUMOS INDUSTRIALES JELP, S.A. DE C.V.</v>
          </cell>
          <cell r="Q236" t="str">
            <v>PEI020208RW0</v>
          </cell>
          <cell r="V236">
            <v>42920</v>
          </cell>
          <cell r="Y236">
            <v>328518.01</v>
          </cell>
          <cell r="AA236" t="str">
            <v>Señalética horizontal-vertical y obra complementaria en la calle Jalisco de la calle Aldama a la calle San Francisco, en la localidad de Tesistán, municipio de Zapopan, Jalisco.</v>
          </cell>
          <cell r="AD236">
            <v>42926</v>
          </cell>
          <cell r="AE236">
            <v>42962</v>
          </cell>
        </row>
        <row r="237">
          <cell r="C237" t="str">
            <v>DOPI-MUN-R33R-AP-AD-183-2017</v>
          </cell>
          <cell r="M237" t="str">
            <v>MIGUEL ÁNGEL</v>
          </cell>
          <cell r="N237" t="str">
            <v>RUÍZ</v>
          </cell>
          <cell r="O237" t="str">
            <v>CASTAÑEDA</v>
          </cell>
          <cell r="P237" t="str">
            <v>SERVICIOS DE INGENIERIA APLICADA, S.A. DE C.V.</v>
          </cell>
          <cell r="Q237" t="str">
            <v>SIA011224UN1</v>
          </cell>
          <cell r="V237">
            <v>42979</v>
          </cell>
          <cell r="Y237">
            <v>892500.25</v>
          </cell>
          <cell r="AA237" t="str">
            <v>Construcción de red de agua potable en la calle Vicente Guerrero de Pinos a la Av. Agua Fría, Privada Vicente Guerrero, Andador Pinos de Pinos a calle Agua Fría en la colonia Miguel Hidalgo, municipio de Zapopan, Jalisco.</v>
          </cell>
          <cell r="AD237">
            <v>42984</v>
          </cell>
          <cell r="AE237">
            <v>43033</v>
          </cell>
        </row>
        <row r="238">
          <cell r="C238" t="str">
            <v>DOPI-MUN-CUSMAX-SER-AD-204-2017</v>
          </cell>
          <cell r="M238" t="str">
            <v xml:space="preserve">GERARDO </v>
          </cell>
          <cell r="N238" t="str">
            <v>SÁNCHEZ</v>
          </cell>
          <cell r="O238" t="str">
            <v>SENDRA</v>
          </cell>
          <cell r="P238" t="str">
            <v>ESTUDIO PI. S.C.</v>
          </cell>
          <cell r="Q238" t="str">
            <v>EPI070531P51</v>
          </cell>
          <cell r="V238">
            <v>43012</v>
          </cell>
          <cell r="Y238">
            <v>1498350.24</v>
          </cell>
          <cell r="AA238" t="str">
            <v>Proyecto ejecutivo arquitectónico de la primera etapa de integración peatonal y paisaje de espacio público en la zona Andares, en el municipio de Zapopan, Jalisco.</v>
          </cell>
          <cell r="AD238">
            <v>43012</v>
          </cell>
          <cell r="AE238">
            <v>43131</v>
          </cell>
        </row>
        <row r="239">
          <cell r="C239" t="str">
            <v>DOPI-MUN-RM-IS-AD-205-2017</v>
          </cell>
          <cell r="M239" t="str">
            <v>JOSÉ DE JESÚS</v>
          </cell>
          <cell r="N239" t="str">
            <v>ROMERO</v>
          </cell>
          <cell r="O239" t="str">
            <v>GARCÍA</v>
          </cell>
          <cell r="P239" t="str">
            <v>URBANIZADORA Y CONSTRUCTORA ROAL, S.A. DE C.V.</v>
          </cell>
          <cell r="Q239" t="str">
            <v>URC160310857</v>
          </cell>
          <cell r="V239">
            <v>42993</v>
          </cell>
          <cell r="Y239">
            <v>1570922.15</v>
          </cell>
          <cell r="AA239" t="str">
            <v>Adecuación del área de urgencias y obra complementaria en la Cruz Verde Federalismo, municipio de Zapopan, Jalisco.</v>
          </cell>
          <cell r="AD239">
            <v>42996</v>
          </cell>
          <cell r="AE239">
            <v>43049</v>
          </cell>
        </row>
        <row r="240">
          <cell r="C240" t="str">
            <v>DOPI-MUN-FORTA-PAV-AD-206-2017</v>
          </cell>
          <cell r="M240" t="str">
            <v>HUGO ARMANDO</v>
          </cell>
          <cell r="N240" t="str">
            <v>PRIETO</v>
          </cell>
          <cell r="O240" t="str">
            <v>JIMÉNEZ</v>
          </cell>
          <cell r="P240" t="str">
            <v>CONSTRUCTORA RURAL DEL PAIS, S.A. DE C.V.</v>
          </cell>
          <cell r="Q240" t="str">
            <v>CRP870708I62</v>
          </cell>
          <cell r="V240">
            <v>42984</v>
          </cell>
          <cell r="Y240">
            <v>585223.57999999996</v>
          </cell>
          <cell r="AA240" t="str">
            <v>Obra complementaria en la pavimentación de la calle Mármol, de calle Cantera al Arroyo y en la calle Obsidiana, de calle Ópalo a calle Coral, en la Colonia Pedregal de Zapopan (Loma del Pedregal), en Zapopan, Jalisco.</v>
          </cell>
          <cell r="AD240">
            <v>42984</v>
          </cell>
          <cell r="AE240">
            <v>43028</v>
          </cell>
        </row>
        <row r="241">
          <cell r="C241" t="str">
            <v>DOPI-MUN-R33R-AP-AD-207-2017</v>
          </cell>
          <cell r="M241" t="str">
            <v>ROBERTO</v>
          </cell>
          <cell r="N241" t="str">
            <v>FLORES</v>
          </cell>
          <cell r="O241" t="str">
            <v>ARREOLA</v>
          </cell>
          <cell r="P241" t="str">
            <v>ESTUDIOS SISTEMAS Y CONSTRUCCIÓNES, S.A. DE C.V.</v>
          </cell>
          <cell r="Q241" t="str">
            <v>ESC930617KW9</v>
          </cell>
          <cell r="V241">
            <v>43005</v>
          </cell>
          <cell r="Y241">
            <v>1203779.8</v>
          </cell>
          <cell r="AA241" t="str">
            <v>Construcción de red de agua potable del pozo El Trébol a la colonia La Agrícola, en Santa Ana Tepetitlan, Municipio de Zapopan, Jalisco.</v>
          </cell>
          <cell r="AD241">
            <v>43005</v>
          </cell>
          <cell r="AE241">
            <v>43084</v>
          </cell>
        </row>
        <row r="242">
          <cell r="C242" t="str">
            <v>DOPI-MUN-FORTA-CONT-AD-208-2017</v>
          </cell>
          <cell r="M242" t="str">
            <v>EMILIO MIGUEL</v>
          </cell>
          <cell r="N242" t="str">
            <v>ZULOAGA</v>
          </cell>
          <cell r="O242" t="str">
            <v>SAENZ</v>
          </cell>
          <cell r="P242" t="str">
            <v>CONSTRUCTORA Y SERVICIOS NOVACREA, S.A. DE C.V.</v>
          </cell>
          <cell r="Q242" t="str">
            <v>CSN150923FGA</v>
          </cell>
          <cell r="V242">
            <v>43003</v>
          </cell>
          <cell r="Y242">
            <v>625674.23</v>
          </cell>
          <cell r="AA242" t="str">
            <v>Obra emergente para la reconstrucción de muro de contención en el arroyo seco en el tramo de la calle Michoacán a Privada Arroyo y en el tramo de la calle Guanajuato y Tlaxcala a calle Michoacán, en la colonia El Mante, Municipio de Zapopan, Jalisco.</v>
          </cell>
          <cell r="AD242">
            <v>43004</v>
          </cell>
          <cell r="AE242">
            <v>43034</v>
          </cell>
        </row>
        <row r="243">
          <cell r="C243" t="str">
            <v>DOPI-EST-CR-PAV-AD-209-2017</v>
          </cell>
          <cell r="M243" t="str">
            <v>J. JESÚS</v>
          </cell>
          <cell r="N243" t="str">
            <v>CONTRERAS</v>
          </cell>
          <cell r="O243" t="str">
            <v>VILLANUEVA</v>
          </cell>
          <cell r="P243" t="str">
            <v>CONSTRUCCIÓNES COVIMEX, S.A. DE C.V.</v>
          </cell>
          <cell r="Q243" t="str">
            <v>CCO0404226D8</v>
          </cell>
          <cell r="V243">
            <v>43005</v>
          </cell>
          <cell r="Y243">
            <v>940711.37</v>
          </cell>
          <cell r="AA243" t="str">
            <v>Construcción de la segunda etapa de la calle Juárez, de la calle 5 de Mayo a calle Primavera con concreto hidráulico en Santa Ana Tepetitlan, incluye: guarniciones, banquetas, red de agua potable, alcantarillado y alumbrado público, Municipio de Zapopan, Jalisco.</v>
          </cell>
          <cell r="AD243">
            <v>43006</v>
          </cell>
          <cell r="AE243">
            <v>43069</v>
          </cell>
        </row>
        <row r="244">
          <cell r="C244" t="str">
            <v>DOPI-MUN-RM-PROY-AD-210-2017</v>
          </cell>
          <cell r="M244" t="str">
            <v xml:space="preserve">JUAN IGNACIO </v>
          </cell>
          <cell r="N244" t="str">
            <v xml:space="preserve">MICHEL </v>
          </cell>
          <cell r="O244" t="str">
            <v>ZEPEDA</v>
          </cell>
          <cell r="P244" t="str">
            <v>PROTOTIPOS COMPETITIVOS, S.A. DE C.V.</v>
          </cell>
          <cell r="Q244" t="str">
            <v>PCO051124BL2</v>
          </cell>
          <cell r="V244">
            <v>42947</v>
          </cell>
          <cell r="Y244">
            <v>754115.28</v>
          </cell>
          <cell r="AA244" t="str">
            <v>Elaboración de proyecto ejecutivo para la rehabilitación del área infantil y del Parque Unidad de Manejo Ambiental Villa Fantasía, colonia Tepeyac, Municipio de Zapopan, Jalisco.</v>
          </cell>
          <cell r="AD244">
            <v>42948</v>
          </cell>
          <cell r="AE244">
            <v>43054</v>
          </cell>
        </row>
        <row r="245">
          <cell r="C245" t="str">
            <v>DOPI-MUN-R33R-ELE-AD-211-2017</v>
          </cell>
          <cell r="M245" t="str">
            <v>JOSÉ DE JESÚS</v>
          </cell>
          <cell r="N245" t="str">
            <v>MARQUEZ</v>
          </cell>
          <cell r="O245" t="str">
            <v>ÁVILA</v>
          </cell>
          <cell r="P245" t="str">
            <v>FUTUROBRAS, S.A. DE C.V.</v>
          </cell>
          <cell r="Q245" t="str">
            <v>FUT1110275V9</v>
          </cell>
          <cell r="V245">
            <v>43021</v>
          </cell>
          <cell r="Y245">
            <v>1496418.42</v>
          </cell>
          <cell r="AA245" t="str">
            <v>Electrificación en las calles 1ra Norte, 2a Norte, 11a Poniente y 10a Poniente, colonia Jardines de Nuevo México, municipio de Zapopan, Jalisco.</v>
          </cell>
          <cell r="AD245">
            <v>43024</v>
          </cell>
          <cell r="AE245">
            <v>43084</v>
          </cell>
        </row>
        <row r="246">
          <cell r="C246" t="str">
            <v>DOPI-MUN-RM-MOV-AD-212-2017</v>
          </cell>
          <cell r="M246" t="str">
            <v>ANTONIO</v>
          </cell>
          <cell r="N246" t="str">
            <v>CARRILLO</v>
          </cell>
          <cell r="O246" t="str">
            <v>SEGURA</v>
          </cell>
          <cell r="P246" t="str">
            <v>ITERACION, S.A. DE C.V.</v>
          </cell>
          <cell r="Q246" t="str">
            <v>ITE080214UD3</v>
          </cell>
          <cell r="V246">
            <v>43013</v>
          </cell>
          <cell r="Y246">
            <v>591006.87</v>
          </cell>
          <cell r="AA246" t="str">
            <v>Señalética horizontal-vertical y obra complementaria en la Prolongación Laureles de Av. Del Rodeo a Periférico Norte Manuel Gómez Morín, municipio de Zapopan, Jalisco.</v>
          </cell>
          <cell r="AD246">
            <v>43017</v>
          </cell>
          <cell r="AE246">
            <v>43039</v>
          </cell>
        </row>
        <row r="247">
          <cell r="C247" t="str">
            <v>DOPI-EST-CR-PAV-AD-213-2017</v>
          </cell>
          <cell r="M247" t="str">
            <v>FELIPE DANIEL II</v>
          </cell>
          <cell r="N247" t="str">
            <v>NUÑEZ</v>
          </cell>
          <cell r="O247" t="str">
            <v>PINZON</v>
          </cell>
          <cell r="P247" t="str">
            <v>GRUPO NUVECO, S.A. DE C.V.</v>
          </cell>
          <cell r="Q247" t="str">
            <v>GNU120809KX1</v>
          </cell>
          <cell r="V247">
            <v>43011</v>
          </cell>
          <cell r="Y247">
            <v>889217.79</v>
          </cell>
          <cell r="AA247" t="str">
            <v>Construcción de la primera etapa de la calle Elote de calle Chícharo a calle Chícharo con concreto hidráulico en la zona de la Mesa Colorada, incluye: guarniciones, banquetas, red de agua potable, alcantarillado y alumbrado público, municipio de Zapopan, Jalisco.</v>
          </cell>
          <cell r="AD247">
            <v>43018</v>
          </cell>
          <cell r="AE247">
            <v>43084</v>
          </cell>
        </row>
        <row r="248">
          <cell r="C248" t="str">
            <v>DOPI-MUN-CUSMAX-PROY-AD-214-2017</v>
          </cell>
          <cell r="M248" t="str">
            <v xml:space="preserve">RODOLFO </v>
          </cell>
          <cell r="N248" t="str">
            <v xml:space="preserve">VELAZQUEZ </v>
          </cell>
          <cell r="O248" t="str">
            <v>ORDOÑEZ</v>
          </cell>
          <cell r="P248" t="str">
            <v>VELAZQUEZ INGENIERIA ECOLOGICA, S.A. DE C.V.</v>
          </cell>
          <cell r="Q248" t="str">
            <v>VIE110125RL4</v>
          </cell>
          <cell r="V248">
            <v>43017</v>
          </cell>
          <cell r="Y248">
            <v>1394337.14</v>
          </cell>
          <cell r="AA248" t="str">
            <v>Elaboración de proyectos arquitectónicos para diferentes obras del programa Cusmax 2017, frente 1, municipio de Zapopan, Jalisco.</v>
          </cell>
          <cell r="AD248">
            <v>43018</v>
          </cell>
          <cell r="AE248">
            <v>43100</v>
          </cell>
        </row>
        <row r="249">
          <cell r="C249" t="str">
            <v>DOPI-MUN-RM-PROY-AD-215-2017</v>
          </cell>
          <cell r="M249" t="str">
            <v>ENRIQUE FRANCISCO</v>
          </cell>
          <cell r="N249" t="str">
            <v>TOUSSAINT</v>
          </cell>
          <cell r="O249" t="str">
            <v>OCHOA</v>
          </cell>
          <cell r="P249" t="str">
            <v>GRUPO ARQUITECTOS TOUSSAINT Y ORENDAIN SC</v>
          </cell>
          <cell r="Q249" t="str">
            <v>GAT920520R72</v>
          </cell>
          <cell r="V249">
            <v>43017</v>
          </cell>
          <cell r="Y249">
            <v>638122.43999999994</v>
          </cell>
          <cell r="AA249" t="str">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ell>
          <cell r="AD249">
            <v>43018</v>
          </cell>
          <cell r="AE249">
            <v>43100</v>
          </cell>
        </row>
        <row r="250">
          <cell r="C250" t="str">
            <v>DOPI-MUN-CUSMAX-SER-AD-229-2017</v>
          </cell>
          <cell r="M250" t="str">
            <v>JUAN FRANCISCO</v>
          </cell>
          <cell r="N250" t="str">
            <v>TOSCANO</v>
          </cell>
          <cell r="O250" t="str">
            <v>LASES</v>
          </cell>
          <cell r="P250" t="str">
            <v>INFOGRAFIA DIGITAL DE OCCIDENTE, S.A. DE C.V.</v>
          </cell>
          <cell r="Q250" t="str">
            <v>IDO100427QG2</v>
          </cell>
          <cell r="V250">
            <v>43017</v>
          </cell>
          <cell r="Y250">
            <v>812650.35</v>
          </cell>
          <cell r="AA250" t="str">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ell>
          <cell r="AD250">
            <v>43018</v>
          </cell>
          <cell r="AE250">
            <v>43109</v>
          </cell>
        </row>
        <row r="251">
          <cell r="C251" t="str">
            <v>DOPI-MUN-RM-BAN-AD-230-2017</v>
          </cell>
          <cell r="M251" t="str">
            <v>MARÍA DE LOURDES</v>
          </cell>
          <cell r="N251" t="str">
            <v xml:space="preserve">CASTAÑEDA </v>
          </cell>
          <cell r="O251" t="str">
            <v>LACARIERE</v>
          </cell>
          <cell r="P251" t="str">
            <v>LACARIERE EDIFICACIONES, S.A. DE C.V.</v>
          </cell>
          <cell r="Q251" t="str">
            <v>LED091006JG1</v>
          </cell>
          <cell r="V251">
            <v>43011</v>
          </cell>
          <cell r="Y251">
            <v>1498650.24</v>
          </cell>
          <cell r="AA251" t="str">
            <v>Peatonalización, construcción de banquetas, sustitución de guarniciones, bolardos, accesibilidad primera etapa en la colonia La Tuzania Ejidal, municipio de Zapopan, Jalisco.</v>
          </cell>
          <cell r="AD251">
            <v>43018</v>
          </cell>
          <cell r="AE251">
            <v>43084</v>
          </cell>
        </row>
        <row r="252">
          <cell r="C252" t="str">
            <v>DOPI-MUN-RM-BAN-AD-231-2017</v>
          </cell>
          <cell r="M252" t="str">
            <v>JOSÉ DE JESÚS</v>
          </cell>
          <cell r="N252" t="str">
            <v>CÁRDENAS</v>
          </cell>
          <cell r="O252" t="str">
            <v xml:space="preserve">SOLÍS </v>
          </cell>
          <cell r="P252" t="str">
            <v>CEIESE CONSTRUCCIÓN Y EDIFICACION, S.A. DE C.V.</v>
          </cell>
          <cell r="Q252" t="str">
            <v>CCE170517HW2</v>
          </cell>
          <cell r="V252">
            <v>43017</v>
          </cell>
          <cell r="Y252">
            <v>1501787.44</v>
          </cell>
          <cell r="AA252" t="str">
            <v>Peatonalización, construcción de banquetas, sustitución de guarniciones, rehabilitación de empedrado, bolardos, accesibilidad,  primera etapa en Cuidad Granja, municipio de Zapopan, Jalisco.</v>
          </cell>
          <cell r="AD252">
            <v>43018</v>
          </cell>
          <cell r="AE252">
            <v>43084</v>
          </cell>
        </row>
        <row r="253">
          <cell r="C253" t="str">
            <v>DOPI-MUN-CUSMAX-BAN-AD-234-2017</v>
          </cell>
          <cell r="M253" t="str">
            <v xml:space="preserve">HUGO ALEJANDRO </v>
          </cell>
          <cell r="N253" t="str">
            <v xml:space="preserve">ALMANZOR </v>
          </cell>
          <cell r="O253" t="str">
            <v>GONZÁLEZ</v>
          </cell>
          <cell r="P253" t="str">
            <v>AL-MANSUR CONSTRUCCIONES, S.A. DE C.V.</v>
          </cell>
          <cell r="Q253" t="str">
            <v>ACO0806185Z3</v>
          </cell>
          <cell r="V253">
            <v>43019</v>
          </cell>
          <cell r="Y253">
            <v>1429650.48</v>
          </cell>
          <cell r="AA253" t="str">
            <v>Primera etapa de la peatonalización en la colonia Jardines de San Ignacio (incluye: machuelos, banquetas, accesibilidad universal, bolardos y nomenclatura).</v>
          </cell>
          <cell r="AD253">
            <v>43024</v>
          </cell>
          <cell r="AE253">
            <v>43084</v>
          </cell>
        </row>
        <row r="254">
          <cell r="C254" t="str">
            <v>DOPI-MUN-RM-BAN-AD-240-2017</v>
          </cell>
          <cell r="M254" t="str">
            <v>GUSTAVO</v>
          </cell>
          <cell r="N254" t="str">
            <v>DURAN</v>
          </cell>
          <cell r="O254" t="str">
            <v>JIMÉNEZ</v>
          </cell>
          <cell r="P254" t="str">
            <v>DURAN JIMÉNEZ ARQUITECTOS Y ASOCIADOS, S.A. DE C.V.</v>
          </cell>
          <cell r="Q254" t="str">
            <v>DJA9405184G7</v>
          </cell>
          <cell r="V254">
            <v>43021</v>
          </cell>
          <cell r="Y254">
            <v>902056.34</v>
          </cell>
          <cell r="AA254" t="str">
            <v>Peatonalización, construcción de banquetas, guarniciones, accesibilidad, bolardos, en el cruce de Av. Acueducto y Av. Patria, reparación de junta de calzada en la Rampa de ingreso al paso elevado de Av. Patria y Av. Acueducto, municipio de Zapopan, Jalisco.</v>
          </cell>
          <cell r="AD254">
            <v>43022</v>
          </cell>
          <cell r="AE254">
            <v>43054</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D88" t="str">
            <v>DOPI-MUN-CISZ-RM-LP-140-2016</v>
          </cell>
          <cell r="I88" t="str">
            <v>Estudios, proyecto ejecutivo, construcción, equipamiento del Centro Integral de Servicios del Municipio de Zapopan.</v>
          </cell>
          <cell r="W88" t="str">
            <v>Constructora San Sebastián, S.A. de C.V. en asociación en participación  con Desarrolladores Verde Vallarta, S.A. de C.V.</v>
          </cell>
          <cell r="AD88">
            <v>42956</v>
          </cell>
          <cell r="AG88">
            <v>531279657.50999999</v>
          </cell>
          <cell r="AM88">
            <v>42957</v>
          </cell>
          <cell r="AN88">
            <v>43326</v>
          </cell>
          <cell r="AS88" t="str">
            <v>Colonia Tepeyac</v>
          </cell>
        </row>
        <row r="89">
          <cell r="B89" t="str">
            <v>Licitación por Invitación Restringida</v>
          </cell>
          <cell r="D89" t="str">
            <v>DOPI-MUN-CRM-AP-CI-141-2016</v>
          </cell>
          <cell r="I89" t="str">
            <v>Construcción de linea de conducción de agua potable desde el pozo de La Soledad de Nextipac a la Colonia Fuentesillas, en la localidad de Nextipac; Construccuón de red de drenaje y descargas sanitarias en la Colonia Vinatera, municipio de Zapopan, Jalisco.</v>
          </cell>
          <cell r="T89" t="str">
            <v>Claudio Felipe</v>
          </cell>
          <cell r="U89" t="str">
            <v>Trujillo</v>
          </cell>
          <cell r="V89" t="str">
            <v>Gracián</v>
          </cell>
          <cell r="W89" t="str">
            <v>Desarrolladora Lumadi, S.A. de C.V.</v>
          </cell>
          <cell r="X89" t="str">
            <v>DLU100818F46</v>
          </cell>
          <cell r="AD89">
            <v>42685</v>
          </cell>
          <cell r="AG89">
            <v>5289583.63</v>
          </cell>
          <cell r="AM89">
            <v>42688</v>
          </cell>
          <cell r="AN89">
            <v>42728</v>
          </cell>
          <cell r="AS89" t="str">
            <v>Localidad de Nextipac</v>
          </cell>
        </row>
        <row r="90">
          <cell r="B90" t="str">
            <v>Licitación por Invitación Restringida</v>
          </cell>
          <cell r="D90" t="str">
            <v>DOPI-MUN-CRM-AP-CI-142-2016</v>
          </cell>
          <cell r="I90" t="str">
            <v>Perforación y Equipamiento de pozo profundo en la localidad de Milpillas Mesa de San Juan, municipio de Zapopan, Jalisco</v>
          </cell>
          <cell r="T90" t="str">
            <v>Víctor Saul</v>
          </cell>
          <cell r="U90" t="str">
            <v>Ramos</v>
          </cell>
          <cell r="V90" t="str">
            <v>Morales</v>
          </cell>
          <cell r="W90" t="str">
            <v>Ramper Drilling, S.A. de C.V.</v>
          </cell>
          <cell r="X90" t="str">
            <v>RDR100922131</v>
          </cell>
          <cell r="AD90">
            <v>42685</v>
          </cell>
          <cell r="AG90">
            <v>5113699.54</v>
          </cell>
          <cell r="AM90">
            <v>42688</v>
          </cell>
          <cell r="AN90">
            <v>42759</v>
          </cell>
          <cell r="AS90" t="str">
            <v>Localidad Milpillas</v>
          </cell>
        </row>
        <row r="91">
          <cell r="B91" t="str">
            <v>Licitación por Invitación Restringida</v>
          </cell>
          <cell r="D91" t="str">
            <v>DOPI-MUN-CRM-AP-CI-143-2016</v>
          </cell>
          <cell r="I91" t="str">
            <v>Perforación y equipamiento de pozo profundo en la localidad de Cerca Morada, municipio de Zapopan, Jalisco.</v>
          </cell>
          <cell r="T91" t="str">
            <v>Antonio José Rodolfo</v>
          </cell>
          <cell r="U91" t="str">
            <v>Corcuera</v>
          </cell>
          <cell r="V91" t="str">
            <v>Garza Madero</v>
          </cell>
          <cell r="W91" t="str">
            <v>Alcor de Occidente, S.A. de C.V.</v>
          </cell>
          <cell r="X91" t="str">
            <v>AOC830810TG9</v>
          </cell>
          <cell r="AD91">
            <v>42685</v>
          </cell>
          <cell r="AG91">
            <v>4937334.7300000004</v>
          </cell>
          <cell r="AM91">
            <v>42688</v>
          </cell>
          <cell r="AN91">
            <v>42759</v>
          </cell>
          <cell r="AS91" t="str">
            <v>Localidad Cerca Morada</v>
          </cell>
        </row>
        <row r="92">
          <cell r="B92" t="str">
            <v>Licitación por Invitación Restringida</v>
          </cell>
          <cell r="D92" t="str">
            <v>DOPI-MUN-RM-IS-CI-144-2016</v>
          </cell>
          <cell r="I92" t="str">
            <v>Rehabilitación del área de consultorios, urgencias,mortuario y acabados en general en la Cruz Verde Sur Las Aguilas, ubicada en Av. López Mateos y calle Cruz del Sur en la Colonia Las Aguilas, municipio de Zapopan, Jalisco.</v>
          </cell>
          <cell r="T92" t="str">
            <v>Marco Antonio</v>
          </cell>
          <cell r="U92" t="str">
            <v>Cortés</v>
          </cell>
          <cell r="V92" t="str">
            <v>González</v>
          </cell>
          <cell r="W92" t="str">
            <v>Grupo Taube de México, S.A. de C.V.</v>
          </cell>
          <cell r="X92" t="str">
            <v>GTM050418384</v>
          </cell>
          <cell r="AD92">
            <v>42685</v>
          </cell>
          <cell r="AG92">
            <v>3504992.46</v>
          </cell>
          <cell r="AM92">
            <v>42688</v>
          </cell>
          <cell r="AN92">
            <v>42728</v>
          </cell>
          <cell r="AS92" t="str">
            <v>Colonia Las Aguilas</v>
          </cell>
        </row>
        <row r="93">
          <cell r="B93" t="str">
            <v>Licitación por Invitación Restringida</v>
          </cell>
          <cell r="D93" t="str">
            <v>DOPI-MUN-RM-AP-CI-145-2016</v>
          </cell>
          <cell r="I93" t="str">
            <v>Sustitución de red de agua potable, drenaje sanitario y adecuaciones pluviales en la Avenida Juan Manuel Ruvalcaba en el tramo de la calle Río Amazonas y Pedro Moreno, localidad de Santa Lucia, municipio de Zapopan, Jalisco.</v>
          </cell>
          <cell r="T93" t="str">
            <v>Mario</v>
          </cell>
          <cell r="U93" t="str">
            <v>Beltrán</v>
          </cell>
          <cell r="V93" t="str">
            <v>Rodríguez</v>
          </cell>
          <cell r="W93" t="str">
            <v xml:space="preserve">Constructora y Desarrolladora Barba y Asociados, S. A. de C. V. </v>
          </cell>
          <cell r="X93" t="str">
            <v>CDB0506068Z4</v>
          </cell>
          <cell r="AD93">
            <v>42685</v>
          </cell>
          <cell r="AG93">
            <v>5120884.03</v>
          </cell>
          <cell r="AM93">
            <v>42688</v>
          </cell>
          <cell r="AN93">
            <v>42728</v>
          </cell>
          <cell r="AS93" t="str">
            <v>Localidad de Santa Lucia</v>
          </cell>
        </row>
        <row r="94">
          <cell r="B94" t="str">
            <v>Licitación por Invitación Restringida</v>
          </cell>
          <cell r="D94" t="str">
            <v>DOPI-MUN-RM-IE-CI-146-2016</v>
          </cell>
          <cell r="I94"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4" t="str">
            <v>Gustavo</v>
          </cell>
          <cell r="U94" t="str">
            <v>Durán</v>
          </cell>
          <cell r="V94" t="str">
            <v>Jiménez</v>
          </cell>
          <cell r="W94" t="str">
            <v>Durán Jiménez Arquitectos y Asociados, S.A. de C.V.</v>
          </cell>
          <cell r="X94" t="str">
            <v>DJA9405184G7</v>
          </cell>
          <cell r="AD94">
            <v>42685</v>
          </cell>
          <cell r="AG94">
            <v>4839304.3099999996</v>
          </cell>
          <cell r="AM94">
            <v>42688</v>
          </cell>
          <cell r="AN94">
            <v>42728</v>
          </cell>
          <cell r="AS94" t="str">
            <v>Colonia Centro, El Vigia, Santa Ana Tepetitlán, Jardines del Valle, Lomas de Tabachines, Paraisos del Colli y Vicente Guerrero</v>
          </cell>
        </row>
        <row r="95">
          <cell r="B95" t="str">
            <v>Licitación por Invitación Restringida</v>
          </cell>
          <cell r="D95" t="str">
            <v>DOPI-MUN-RM-AP-CI-147-2016</v>
          </cell>
          <cell r="I95" t="str">
            <v>Perforación y equipamiento de pozo en el ejido de Copalita.</v>
          </cell>
          <cell r="T95" t="str">
            <v>Karla Mariana</v>
          </cell>
          <cell r="U95" t="str">
            <v>Méndez</v>
          </cell>
          <cell r="V95" t="str">
            <v>Rodríguez</v>
          </cell>
          <cell r="W95" t="str">
            <v>Grupo la Fuente, S.A. de C.V.</v>
          </cell>
          <cell r="X95" t="str">
            <v>GFU021009BC1</v>
          </cell>
          <cell r="AD95">
            <v>42685</v>
          </cell>
          <cell r="AG95">
            <v>5204600.13</v>
          </cell>
          <cell r="AM95">
            <v>42688</v>
          </cell>
          <cell r="AN95">
            <v>42759</v>
          </cell>
          <cell r="AS95" t="str">
            <v>Ejido Copalita</v>
          </cell>
        </row>
        <row r="96">
          <cell r="B96" t="str">
            <v>Licitación por Invitación Restringida</v>
          </cell>
          <cell r="D96" t="str">
            <v>DOPI-MUN-R33-ELE-CI-148-2016</v>
          </cell>
          <cell r="I96"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6" t="str">
            <v>Héctor Alejandro</v>
          </cell>
          <cell r="U96" t="str">
            <v>Ortega</v>
          </cell>
          <cell r="V96" t="str">
            <v>Rosales</v>
          </cell>
          <cell r="W96" t="str">
            <v xml:space="preserve">IME Servicios y Suministros, S. A. de C. V. </v>
          </cell>
          <cell r="X96" t="str">
            <v>ISS920330811</v>
          </cell>
          <cell r="AD96">
            <v>42685</v>
          </cell>
          <cell r="AG96">
            <v>4251366.43</v>
          </cell>
          <cell r="AM96">
            <v>42688</v>
          </cell>
          <cell r="AN96">
            <v>42728</v>
          </cell>
          <cell r="AS96" t="str">
            <v>Varias colonias del Municipio</v>
          </cell>
        </row>
        <row r="97">
          <cell r="B97" t="str">
            <v>Licitación por Invitación Restringida</v>
          </cell>
          <cell r="D97" t="str">
            <v>DOPI-MUN-R33-AP-CI-149-2016</v>
          </cell>
          <cell r="I97"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7" t="str">
            <v>Eduardo</v>
          </cell>
          <cell r="U97" t="str">
            <v>Romero</v>
          </cell>
          <cell r="V97" t="str">
            <v>Lugo</v>
          </cell>
          <cell r="W97" t="str">
            <v>RS Obras y Servicios, S.A. de C.V.</v>
          </cell>
          <cell r="X97" t="str">
            <v>ROS120904PV9</v>
          </cell>
          <cell r="AD97">
            <v>42727</v>
          </cell>
          <cell r="AG97">
            <v>4456704.66</v>
          </cell>
          <cell r="AM97">
            <v>42730</v>
          </cell>
          <cell r="AN97">
            <v>42831</v>
          </cell>
          <cell r="AS97" t="str">
            <v>Colonia Mesa Colorada Oriente y colonia Mesa de los Ocotes</v>
          </cell>
        </row>
        <row r="98">
          <cell r="B98" t="str">
            <v>Licitación por Invitación Restringida</v>
          </cell>
          <cell r="D98" t="str">
            <v>DOPI-MUN-RM-PAV-CI-150-2016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8" t="str">
            <v>David Eduardo</v>
          </cell>
          <cell r="U98" t="str">
            <v>Lara</v>
          </cell>
          <cell r="V98" t="str">
            <v>Ochoa</v>
          </cell>
          <cell r="W98" t="str">
            <v xml:space="preserve">Construcciones ICU, S.A. de C.V. </v>
          </cell>
          <cell r="X98" t="str">
            <v>CIC080626ER2</v>
          </cell>
          <cell r="AD98">
            <v>42685</v>
          </cell>
          <cell r="AG98">
            <v>4960902.49</v>
          </cell>
          <cell r="AM98">
            <v>42688</v>
          </cell>
          <cell r="AN98">
            <v>42728</v>
          </cell>
          <cell r="AS98" t="str">
            <v>San Juan de Ocotán</v>
          </cell>
        </row>
        <row r="99">
          <cell r="B99" t="str">
            <v>Licitación por Invitación Restringida</v>
          </cell>
          <cell r="D99" t="str">
            <v>DOPI-MUN-RM-PAV-CI-151-2016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9" t="str">
            <v>Luis Armando</v>
          </cell>
          <cell r="U99" t="str">
            <v>Linares</v>
          </cell>
          <cell r="V99" t="str">
            <v>Cacho</v>
          </cell>
          <cell r="W99" t="str">
            <v>Urbanizadora y Constructora Roal, S.A. de C.V.</v>
          </cell>
          <cell r="X99" t="str">
            <v>URC160310857</v>
          </cell>
          <cell r="AD99">
            <v>42685</v>
          </cell>
          <cell r="AG99">
            <v>4130342.71</v>
          </cell>
          <cell r="AM99">
            <v>42688</v>
          </cell>
          <cell r="AN99">
            <v>42728</v>
          </cell>
          <cell r="AS99" t="str">
            <v>San Juan de Ocotán</v>
          </cell>
        </row>
        <row r="100">
          <cell r="B100" t="str">
            <v>Licitación por Invitación Restringida</v>
          </cell>
          <cell r="D100" t="str">
            <v>DOPI-MUN-RM-PAV-CI-152-2016</v>
          </cell>
          <cell r="I100"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100" t="str">
            <v>Carlos Ignacio</v>
          </cell>
          <cell r="U100" t="str">
            <v>Curiel</v>
          </cell>
          <cell r="V100" t="str">
            <v>Dueñas</v>
          </cell>
          <cell r="W100" t="str">
            <v>Constructora Cecuchi, S.A. de C.V.</v>
          </cell>
          <cell r="X100" t="str">
            <v>CCE130723IR7</v>
          </cell>
          <cell r="AD100">
            <v>42685</v>
          </cell>
          <cell r="AG100">
            <v>5069996.18</v>
          </cell>
          <cell r="AM100">
            <v>42688</v>
          </cell>
          <cell r="AN100">
            <v>42728</v>
          </cell>
          <cell r="AS100" t="str">
            <v>San Juan de Ocotán</v>
          </cell>
        </row>
        <row r="101">
          <cell r="B101" t="str">
            <v>Licitación por Invitación Restringida</v>
          </cell>
          <cell r="D101" t="str">
            <v>DOPI-MUN-RM-PAV-CI-153-2016</v>
          </cell>
          <cell r="I101"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1" t="str">
            <v xml:space="preserve"> Martha </v>
          </cell>
          <cell r="U101" t="str">
            <v>Jiménez</v>
          </cell>
          <cell r="V101" t="str">
            <v>López</v>
          </cell>
          <cell r="W101" t="str">
            <v>Inmobiliaria Bochum S. de R.L. de C.V.</v>
          </cell>
          <cell r="X101" t="str">
            <v>IBO090918ET9</v>
          </cell>
          <cell r="AD101">
            <v>42685</v>
          </cell>
          <cell r="AG101">
            <v>7253719.3200000003</v>
          </cell>
          <cell r="AM101">
            <v>42688</v>
          </cell>
          <cell r="AN101">
            <v>42728</v>
          </cell>
          <cell r="AS101" t="str">
            <v>Localidad de Tesistán</v>
          </cell>
        </row>
        <row r="102">
          <cell r="B102" t="str">
            <v>Licitación por Invitación Restringida</v>
          </cell>
          <cell r="D102" t="str">
            <v>DOPI-MUN-RM-PAV-CI-154-2016</v>
          </cell>
          <cell r="I102"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2" t="str">
            <v>Carlos</v>
          </cell>
          <cell r="U102" t="str">
            <v>Pérez</v>
          </cell>
          <cell r="V102" t="str">
            <v>Cruz</v>
          </cell>
          <cell r="W102" t="str">
            <v>Constructora Pecru, S.A. de C.V.</v>
          </cell>
          <cell r="X102" t="str">
            <v>CPE070123PD4</v>
          </cell>
          <cell r="AD102">
            <v>42685</v>
          </cell>
          <cell r="AG102">
            <v>3382310.92</v>
          </cell>
          <cell r="AM102">
            <v>42688</v>
          </cell>
          <cell r="AN102">
            <v>42728</v>
          </cell>
          <cell r="AS102" t="str">
            <v>Colonia La Calma</v>
          </cell>
        </row>
        <row r="103">
          <cell r="B103" t="str">
            <v>Licitación por Invitación Restringida</v>
          </cell>
          <cell r="D103" t="str">
            <v>DOPI-MUN-RM-PAV-CI-155-2016</v>
          </cell>
          <cell r="I103" t="str">
            <v>Construcción de empedrado tradicional y huellas de rodamiento de concreto hidráulico MR-42, cunetas, guarniciones, banquetas, señalamiento vertical y horizontal en el camino al Arenero, municipio de Zapopan, Jalisco.</v>
          </cell>
          <cell r="T103" t="str">
            <v>Arturo</v>
          </cell>
          <cell r="U103" t="str">
            <v>Rangel</v>
          </cell>
          <cell r="V103" t="str">
            <v>Paez</v>
          </cell>
          <cell r="W103" t="str">
            <v>Constructora Lasa, S.A. de C.V.</v>
          </cell>
          <cell r="X103" t="str">
            <v>CLA890925ER5</v>
          </cell>
          <cell r="AD103">
            <v>42685</v>
          </cell>
          <cell r="AG103">
            <v>7468157.6799999997</v>
          </cell>
          <cell r="AM103">
            <v>42688</v>
          </cell>
          <cell r="AN103">
            <v>42728</v>
          </cell>
          <cell r="AS103" t="str">
            <v>Colonia Bajío</v>
          </cell>
        </row>
        <row r="104">
          <cell r="B104" t="str">
            <v>Licitación por Invitación Restringida</v>
          </cell>
          <cell r="D104" t="str">
            <v>DOPI-MUN-RM-IE-CI-156-2016</v>
          </cell>
          <cell r="I104"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4" t="str">
            <v>Eduardo</v>
          </cell>
          <cell r="U104" t="str">
            <v>Cruz</v>
          </cell>
          <cell r="V104" t="str">
            <v>Moguel</v>
          </cell>
          <cell r="W104" t="str">
            <v>Balken, S.A. de C.V.</v>
          </cell>
          <cell r="X104" t="str">
            <v>BAL990803661</v>
          </cell>
          <cell r="AD104">
            <v>42685</v>
          </cell>
          <cell r="AG104">
            <v>4189228.4</v>
          </cell>
          <cell r="AM104">
            <v>42688</v>
          </cell>
          <cell r="AN104">
            <v>42728</v>
          </cell>
          <cell r="AS104" t="str">
            <v>Varias colonias del Municipio</v>
          </cell>
        </row>
        <row r="105">
          <cell r="B105" t="str">
            <v>Licitación por Invitación Restringida</v>
          </cell>
          <cell r="D105" t="str">
            <v>DOPI-MUN-RM-IE-CI-157-2016</v>
          </cell>
          <cell r="I105"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5" t="str">
            <v>Vicente</v>
          </cell>
          <cell r="U105" t="str">
            <v>Mendoza</v>
          </cell>
          <cell r="V105" t="str">
            <v>Lamas</v>
          </cell>
          <cell r="W105" t="str">
            <v>Constructora y Urbanizadora Arista, S.A. de C.V.</v>
          </cell>
          <cell r="X105" t="str">
            <v>CUA130425I70</v>
          </cell>
          <cell r="AD105">
            <v>42685</v>
          </cell>
          <cell r="AG105">
            <v>3269771.91</v>
          </cell>
          <cell r="AM105">
            <v>42688</v>
          </cell>
          <cell r="AN105">
            <v>42728</v>
          </cell>
          <cell r="AS105" t="str">
            <v>Varias colonias del Municipio</v>
          </cell>
        </row>
        <row r="106">
          <cell r="B106" t="str">
            <v>Licitación por Invitación Restringida</v>
          </cell>
          <cell r="D106" t="str">
            <v>DOPI-MUN-RM-IE-CI-158-2016</v>
          </cell>
          <cell r="I106"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6" t="str">
            <v>J. Gerardo</v>
          </cell>
          <cell r="U106" t="str">
            <v>Nicanor</v>
          </cell>
          <cell r="V106" t="str">
            <v>Mejia Mariscal</v>
          </cell>
          <cell r="W106" t="str">
            <v>Ineco Construye, S.A. de C.V.</v>
          </cell>
          <cell r="X106" t="str">
            <v>ICO980722M04</v>
          </cell>
          <cell r="AD106">
            <v>42685</v>
          </cell>
          <cell r="AG106">
            <v>3328458.75</v>
          </cell>
          <cell r="AM106">
            <v>42688</v>
          </cell>
          <cell r="AN106">
            <v>42728</v>
          </cell>
          <cell r="AS106" t="str">
            <v>Varias colonias del Municipio</v>
          </cell>
        </row>
        <row r="107">
          <cell r="B107" t="str">
            <v>Licitación Pública</v>
          </cell>
          <cell r="D107" t="str">
            <v>DOPI-MUN-RM-IM-LP-173-2016</v>
          </cell>
          <cell r="I107" t="str">
            <v>Rehabilitación de la instalación eléctrica, iluminación y alumbrado público en el mercado municipal de Atemajac, municipio de Zapopan, Jalisco.</v>
          </cell>
          <cell r="T107" t="str">
            <v>Amalia</v>
          </cell>
          <cell r="U107" t="str">
            <v>Moreno</v>
          </cell>
          <cell r="V107" t="str">
            <v>Maldonado</v>
          </cell>
          <cell r="W107" t="str">
            <v>Grupo Constructor los Muros, S.A. de C.V.</v>
          </cell>
          <cell r="X107" t="str">
            <v>GCM020226F28</v>
          </cell>
          <cell r="AD107">
            <v>42726</v>
          </cell>
          <cell r="AG107">
            <v>8929443.7100000009</v>
          </cell>
          <cell r="AM107">
            <v>42727</v>
          </cell>
          <cell r="AN107">
            <v>42816</v>
          </cell>
          <cell r="AS107" t="str">
            <v>Atemajac</v>
          </cell>
        </row>
        <row r="108">
          <cell r="B108" t="str">
            <v>Licitación Pública</v>
          </cell>
          <cell r="D108" t="str">
            <v>DOPI-MUN-RM-IM-LP-174-2016</v>
          </cell>
          <cell r="I108" t="str">
            <v>Rehabilitación de la red hidrosanitaria, instalación de la red contra incendio, obra civil, elevador y acabados en el mercado municipal de Atemajac, municipio de Zapopan , Jalisco.</v>
          </cell>
          <cell r="T108" t="str">
            <v xml:space="preserve">Leobardo </v>
          </cell>
          <cell r="U108" t="str">
            <v>Preciado</v>
          </cell>
          <cell r="V108" t="str">
            <v>Zepeda</v>
          </cell>
          <cell r="W108" t="str">
            <v xml:space="preserve">Consorcio Constructor Adobes, S. A. de C. V. </v>
          </cell>
          <cell r="X108" t="str">
            <v>CCA971126QC9</v>
          </cell>
          <cell r="AD108">
            <v>42726</v>
          </cell>
          <cell r="AG108">
            <v>10276943.060000001</v>
          </cell>
          <cell r="AM108">
            <v>42727</v>
          </cell>
          <cell r="AN108">
            <v>42816</v>
          </cell>
          <cell r="AS108" t="str">
            <v>Atemajac</v>
          </cell>
        </row>
        <row r="109">
          <cell r="B109" t="str">
            <v>Licitación Pública</v>
          </cell>
          <cell r="D109" t="str">
            <v>DOPI-MUN-RM-DP-LP-175-2016</v>
          </cell>
          <cell r="I109" t="str">
            <v>Sustitución de rejillas de bocas de tormenta en diferentes vialidades del municipio.</v>
          </cell>
          <cell r="T109" t="str">
            <v>José Omar</v>
          </cell>
          <cell r="U109" t="str">
            <v>Fernández</v>
          </cell>
          <cell r="V109" t="str">
            <v>Vázquez</v>
          </cell>
          <cell r="W109" t="str">
            <v>José Omar Fernández Vázquez</v>
          </cell>
          <cell r="X109" t="str">
            <v>FEVO740619686</v>
          </cell>
          <cell r="AD109">
            <v>42726</v>
          </cell>
          <cell r="AG109">
            <v>2998448.3</v>
          </cell>
          <cell r="AM109">
            <v>42727</v>
          </cell>
          <cell r="AN109">
            <v>42846</v>
          </cell>
          <cell r="AS109" t="str">
            <v>Varias colonias del Municipio</v>
          </cell>
        </row>
        <row r="110">
          <cell r="B110" t="str">
            <v>Licitación Pública</v>
          </cell>
          <cell r="D110" t="str">
            <v>DOPI-MUN-RM-ID-LP-176-2016</v>
          </cell>
          <cell r="I110" t="str">
            <v>Rehabilitación de las instalaciones y equipamiento deportivo de la Unidad Deportiva Miramar, municipio de Zapopan, Jalisco</v>
          </cell>
          <cell r="T110" t="str">
            <v>José Antonio</v>
          </cell>
          <cell r="U110" t="str">
            <v>Álvarez</v>
          </cell>
          <cell r="V110" t="str">
            <v>Garcia</v>
          </cell>
          <cell r="W110" t="str">
            <v>Urcoma 1970, S.A. de C.V.</v>
          </cell>
          <cell r="X110" t="str">
            <v>UMN160125869</v>
          </cell>
          <cell r="AD110">
            <v>42726</v>
          </cell>
          <cell r="AG110">
            <v>7420078.3799999999</v>
          </cell>
          <cell r="AM110">
            <v>42727</v>
          </cell>
          <cell r="AN110">
            <v>42816</v>
          </cell>
          <cell r="AS110" t="str">
            <v>Colonia Miramar</v>
          </cell>
        </row>
        <row r="111">
          <cell r="B111" t="str">
            <v>Licitación Pública</v>
          </cell>
          <cell r="D111" t="str">
            <v>DOPI-MUN-RM-ID-LP-177-2016</v>
          </cell>
          <cell r="I111" t="str">
            <v>Rehabilitación de las Instalaciones y equipamiento deportivo de la Unidad Deportiva Paseos del Briseño, municipio de Zapopan, Jalisco</v>
          </cell>
          <cell r="T111" t="str">
            <v>Francisco Javier</v>
          </cell>
          <cell r="U111" t="str">
            <v>Diaz</v>
          </cell>
          <cell r="V111" t="str">
            <v>Ruiz</v>
          </cell>
          <cell r="W111" t="str">
            <v>Constructora Diru, S.A. de C.V.</v>
          </cell>
          <cell r="X111" t="str">
            <v>CDI950714B79</v>
          </cell>
          <cell r="AD111">
            <v>42726</v>
          </cell>
          <cell r="AG111">
            <v>8768312.9199999999</v>
          </cell>
          <cell r="AM111">
            <v>42727</v>
          </cell>
          <cell r="AN111">
            <v>42816</v>
          </cell>
          <cell r="AS111" t="str">
            <v>Colonia Paseos del Briseño</v>
          </cell>
        </row>
        <row r="112">
          <cell r="B112" t="str">
            <v>Licitación Pública</v>
          </cell>
          <cell r="D112" t="str">
            <v>DOPI-MUN-RM-ID-LP-178-2016</v>
          </cell>
          <cell r="I112" t="str">
            <v>Rehabilitación de las Instalaciones y equipamiento deportivo de la Unidad Deportiva San Juan de Ocotán, municipio de Zapopan, Jalisco</v>
          </cell>
          <cell r="T112" t="str">
            <v>Eduardo</v>
          </cell>
          <cell r="U112" t="str">
            <v>Romero</v>
          </cell>
          <cell r="V112" t="str">
            <v>Lugo</v>
          </cell>
          <cell r="W112" t="str">
            <v>RS Obras y Servicios S.A. de C.V.</v>
          </cell>
          <cell r="X112" t="str">
            <v>ROS120904PV9</v>
          </cell>
          <cell r="AD112">
            <v>42726</v>
          </cell>
          <cell r="AG112">
            <v>7913055.7999999998</v>
          </cell>
          <cell r="AM112">
            <v>42727</v>
          </cell>
          <cell r="AN112">
            <v>42794</v>
          </cell>
          <cell r="AS112" t="str">
            <v>Colonia San Juan de Ocotán</v>
          </cell>
        </row>
        <row r="113">
          <cell r="B113" t="str">
            <v>Licitación Pública</v>
          </cell>
          <cell r="D113" t="str">
            <v>DOPI-MUN-RM-MOV-LP-179-2016</v>
          </cell>
          <cell r="I113" t="str">
            <v>Construcción de cruceros seguros, incluye señaletica horizontal y vertical, acceso universal en esquinas,semaforización y paradas de autobús en diferentes cruceros, zona 1 del Municipio de Zapopan, Jallisco</v>
          </cell>
          <cell r="T113" t="str">
            <v>José Omar</v>
          </cell>
          <cell r="U113" t="str">
            <v>Fernández</v>
          </cell>
          <cell r="V113" t="str">
            <v>Vázquez</v>
          </cell>
          <cell r="W113" t="str">
            <v>José Omar Fernández Vázquez</v>
          </cell>
          <cell r="X113" t="str">
            <v>FEVO740619686</v>
          </cell>
          <cell r="AD113">
            <v>42726</v>
          </cell>
          <cell r="AG113">
            <v>3582511.3</v>
          </cell>
          <cell r="AM113">
            <v>42727</v>
          </cell>
          <cell r="AN113">
            <v>42846</v>
          </cell>
          <cell r="AS113" t="str">
            <v>Varias colonias del Municipio</v>
          </cell>
        </row>
        <row r="114">
          <cell r="B114" t="str">
            <v>Licitación Pública</v>
          </cell>
          <cell r="D114" t="str">
            <v>DOPI-MUN-RM-MOV-LP-180-2016</v>
          </cell>
          <cell r="I114" t="str">
            <v>Construcción de cruceros seguros, incluye señaletica horizontal y vertical, acceso universal en esquinas,semaforización y paradas de autobús en diferentes cruceros, zona 2 del Municipio de Zapopan, Jallisco</v>
          </cell>
          <cell r="T114" t="str">
            <v>José Jaime</v>
          </cell>
          <cell r="U114" t="str">
            <v>Camarena</v>
          </cell>
          <cell r="V114" t="str">
            <v>Correa</v>
          </cell>
          <cell r="W114" t="str">
            <v>Firmitas Constructa, S.A de C.V.</v>
          </cell>
          <cell r="X114" t="str">
            <v>FCO110711N24</v>
          </cell>
          <cell r="AD114">
            <v>42726</v>
          </cell>
          <cell r="AG114">
            <v>4703307.2300000004</v>
          </cell>
          <cell r="AM114">
            <v>42727</v>
          </cell>
          <cell r="AN114">
            <v>42846</v>
          </cell>
          <cell r="AS114" t="str">
            <v>Varias colonias del Municipio</v>
          </cell>
        </row>
        <row r="115">
          <cell r="D115" t="str">
            <v>DOPI-FED-R23-IM-LP-188-2016</v>
          </cell>
          <cell r="T115" t="str">
            <v>Luis German</v>
          </cell>
          <cell r="U115" t="str">
            <v xml:space="preserve">Delgadillo </v>
          </cell>
          <cell r="V115" t="str">
            <v>Alcazar</v>
          </cell>
          <cell r="W115" t="str">
            <v>Axioma Proyectos e Ingeniería, S. A. de C. V.</v>
          </cell>
          <cell r="X115" t="str">
            <v>APE111122MI0</v>
          </cell>
          <cell r="AD115">
            <v>42704</v>
          </cell>
          <cell r="AG115">
            <v>18435309.59</v>
          </cell>
          <cell r="AL115" t="str">
            <v>Construcción de la primera etapa del centro comunitario, Centro de Emprendimiento, en Miramar, frente 1.</v>
          </cell>
          <cell r="AM115">
            <v>42705</v>
          </cell>
          <cell r="AN115">
            <v>42735</v>
          </cell>
          <cell r="AS115" t="str">
            <v>Colonia Miramar</v>
          </cell>
        </row>
        <row r="116">
          <cell r="D116" t="str">
            <v>DOPI-FED-R23-IM-LP-189-2016</v>
          </cell>
          <cell r="T116" t="str">
            <v>Gustavo Alejandro</v>
          </cell>
          <cell r="U116" t="str">
            <v>Ledezma</v>
          </cell>
          <cell r="V116" t="str">
            <v xml:space="preserve"> Cervantes</v>
          </cell>
          <cell r="W116" t="str">
            <v>Edificaciones y Proyectos Roca, S.A. de C.V.</v>
          </cell>
          <cell r="X116" t="str">
            <v>EPR131016I71</v>
          </cell>
          <cell r="AD116">
            <v>42704</v>
          </cell>
          <cell r="AG116">
            <v>4817658.4800000004</v>
          </cell>
          <cell r="AL116" t="str">
            <v>Construcción de la primera etapa del centro comunitario, Centro de Emprendimiento, en Miramar, frente 2.</v>
          </cell>
          <cell r="AM116">
            <v>42705</v>
          </cell>
          <cell r="AN116">
            <v>42735</v>
          </cell>
          <cell r="AS116" t="str">
            <v>Colonia Miramar</v>
          </cell>
        </row>
        <row r="117">
          <cell r="D117" t="str">
            <v>DOPI-FED-PR-PAV-LP-190-2016</v>
          </cell>
          <cell r="T117" t="str">
            <v>Blanca Estela</v>
          </cell>
          <cell r="U117" t="str">
            <v>Moreno</v>
          </cell>
          <cell r="V117" t="str">
            <v>Lemus</v>
          </cell>
          <cell r="W117" t="str">
            <v xml:space="preserve">Estudios, Proyectos y Construcciones de Guadalajara, S.A. de C.V. </v>
          </cell>
          <cell r="X117" t="str">
            <v>EPC7107236R1</v>
          </cell>
          <cell r="AD117">
            <v>42704</v>
          </cell>
          <cell r="AG117">
            <v>2963838.41</v>
          </cell>
          <cell r="AL117" t="str">
            <v>Pavimentación con concreto hidráulico de la Calle Rizo Ayala, incluye: red de agua potable y alcantarillado, alumbrado público y guarniciones, banquetas, renivelación de pozos y cajas, señalamiento horizontal y vertical, municipio de Zapopan, Jalisco.</v>
          </cell>
          <cell r="AM117">
            <v>42705</v>
          </cell>
          <cell r="AN117">
            <v>42735</v>
          </cell>
          <cell r="AS117" t="str">
            <v>Colonia La Martinica</v>
          </cell>
        </row>
        <row r="118">
          <cell r="D118" t="str">
            <v>DOPI-FED-PR-PAV-LP-191-2016</v>
          </cell>
          <cell r="T118" t="str">
            <v>Sergio Cesar</v>
          </cell>
          <cell r="U118" t="str">
            <v>Diaz</v>
          </cell>
          <cell r="V118" t="str">
            <v>Quiroz</v>
          </cell>
          <cell r="W118" t="str">
            <v>Grupo Unicreto S.A. de C.V.</v>
          </cell>
          <cell r="X118" t="str">
            <v>GUN880613NY1</v>
          </cell>
          <cell r="AD118">
            <v>42704</v>
          </cell>
          <cell r="AG118">
            <v>9700078.7599999998</v>
          </cell>
          <cell r="AL118" t="str">
            <v>Reencarpetamiento de vialidad Calle Pípila con concreto hidráulico desde la Calle Felipe Ángeles a la Calle Rizo Ayala, incluye: guarniciones, banquetas, renivelación de pozos y cajas, señalamiento vertical y horizontal, Municipio de Zapopan, Jalisco</v>
          </cell>
          <cell r="AM118">
            <v>42705</v>
          </cell>
          <cell r="AN118">
            <v>42735</v>
          </cell>
          <cell r="AS118" t="str">
            <v>Colonia La Martinica</v>
          </cell>
        </row>
        <row r="119">
          <cell r="D119" t="str">
            <v>DOPI-FED-PR-PAV-LP-192-2016</v>
          </cell>
          <cell r="T119" t="str">
            <v>José</v>
          </cell>
          <cell r="U119" t="str">
            <v>Plascencia</v>
          </cell>
          <cell r="V119" t="str">
            <v>Casillas</v>
          </cell>
          <cell r="W119" t="str">
            <v>PyP Constructora, S.A. de C.V.</v>
          </cell>
          <cell r="X119" t="str">
            <v>PPC980828SY4</v>
          </cell>
          <cell r="AD119">
            <v>42704</v>
          </cell>
          <cell r="AG119">
            <v>9006202.9700000007</v>
          </cell>
          <cell r="AL119"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9">
            <v>42705</v>
          </cell>
          <cell r="AN119">
            <v>42735</v>
          </cell>
          <cell r="AS119" t="str">
            <v>Colonia Parque del Auditorio</v>
          </cell>
        </row>
        <row r="120">
          <cell r="D120" t="str">
            <v>DOPI-FED-PR-PAV-LP-193-2016</v>
          </cell>
          <cell r="T120" t="str">
            <v>Erick</v>
          </cell>
          <cell r="U120" t="str">
            <v>Villaseñor</v>
          </cell>
          <cell r="V120" t="str">
            <v>Gutiérrez</v>
          </cell>
          <cell r="W120" t="str">
            <v>Pixide Constructora, S.A. de C.V.</v>
          </cell>
          <cell r="X120" t="str">
            <v>PCO140829425</v>
          </cell>
          <cell r="AD120">
            <v>42704</v>
          </cell>
          <cell r="AG120">
            <v>1879618.12</v>
          </cell>
          <cell r="AL120"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20">
            <v>42705</v>
          </cell>
          <cell r="AN120">
            <v>42735</v>
          </cell>
          <cell r="AS120" t="str">
            <v>Colonia Mesa Colorada Oriente</v>
          </cell>
        </row>
        <row r="121">
          <cell r="D121" t="str">
            <v>DOPI-FED-SM-RS-LP-194-2016</v>
          </cell>
          <cell r="T121" t="str">
            <v>Héctor</v>
          </cell>
          <cell r="U121" t="str">
            <v>Gaytán</v>
          </cell>
          <cell r="V121" t="str">
            <v>Galicia</v>
          </cell>
          <cell r="W121" t="str">
            <v>Secoi Construcciones y Servicios, S.A. de C.V.</v>
          </cell>
          <cell r="X121" t="str">
            <v>SCS1301173MA</v>
          </cell>
          <cell r="AD121">
            <v>42704</v>
          </cell>
          <cell r="AG121">
            <v>53876349.590000004</v>
          </cell>
          <cell r="AL121" t="str">
            <v>Construcción de la celda V y primera fase del equipamiento de la planta de separación y alta compactación para el relleno sanitario Picachos del municipio de Zapopan, Jalisco.</v>
          </cell>
          <cell r="AM121">
            <v>42705</v>
          </cell>
          <cell r="AN121">
            <v>42735</v>
          </cell>
          <cell r="AS121" t="str">
            <v>Relleno Sanitario de Picachos</v>
          </cell>
        </row>
        <row r="122">
          <cell r="D122" t="str">
            <v>DOPI-EST-FC-IS-LP-195-2016</v>
          </cell>
          <cell r="T122" t="str">
            <v>Luis Armando</v>
          </cell>
          <cell r="U122" t="str">
            <v>Linares</v>
          </cell>
          <cell r="V122" t="str">
            <v>Cacho</v>
          </cell>
          <cell r="W122" t="str">
            <v>Urbanizadora y Constructora Roal, S.A. de C.V.</v>
          </cell>
          <cell r="X122" t="str">
            <v>URC160310857</v>
          </cell>
          <cell r="AD122">
            <v>42726</v>
          </cell>
          <cell r="AG122">
            <v>4495293.74</v>
          </cell>
          <cell r="AL122" t="str">
            <v>Rehabilitación de Cruz Verde Federalismo, Municipio de Zapopan, Jalisco.</v>
          </cell>
          <cell r="AM122">
            <v>42727</v>
          </cell>
          <cell r="AN122">
            <v>42816</v>
          </cell>
          <cell r="AS122" t="str">
            <v>Colonia Auditorio</v>
          </cell>
        </row>
        <row r="123">
          <cell r="D123" t="str">
            <v>DOPI-EST-CR-IM-LP-196-2016</v>
          </cell>
          <cell r="T123" t="str">
            <v>José Antonio</v>
          </cell>
          <cell r="U123" t="str">
            <v>Álvarez</v>
          </cell>
          <cell r="V123" t="str">
            <v>García</v>
          </cell>
          <cell r="W123" t="str">
            <v>Urcoma 1970, S.A. de C.V.</v>
          </cell>
          <cell r="X123" t="str">
            <v>UMN160125869</v>
          </cell>
          <cell r="AD123">
            <v>42726</v>
          </cell>
          <cell r="AG123">
            <v>14395555.26</v>
          </cell>
          <cell r="AL123" t="str">
            <v>Construcción del Centro Cultural en Villa de Guadalupe.</v>
          </cell>
          <cell r="AM123">
            <v>42727</v>
          </cell>
          <cell r="AN123">
            <v>42846</v>
          </cell>
          <cell r="AS123" t="str">
            <v>Colonia Villa de Guadalupe</v>
          </cell>
        </row>
        <row r="124">
          <cell r="D124" t="str">
            <v>DOPI‐MUN‐PP‐EP‐CI‐198‐2016</v>
          </cell>
          <cell r="T124" t="str">
            <v>Amalia</v>
          </cell>
          <cell r="U124" t="str">
            <v>Moreno</v>
          </cell>
          <cell r="V124" t="str">
            <v>Maldonado</v>
          </cell>
          <cell r="W124" t="str">
            <v>Grupo Constructor los Muros, S.A. de C.V.</v>
          </cell>
          <cell r="X124" t="str">
            <v>GCM020226F28</v>
          </cell>
          <cell r="AD124">
            <v>42727</v>
          </cell>
          <cell r="AG124">
            <v>8110239.25</v>
          </cell>
          <cell r="AL124" t="str">
            <v>Mejoramiento de la imagen urbana de la plaza pública de localidad de Tesistán municipio de Zapopan, Jalisco.</v>
          </cell>
          <cell r="AM124">
            <v>42730</v>
          </cell>
          <cell r="AN124">
            <v>42831</v>
          </cell>
          <cell r="AS124" t="str">
            <v>Localidad de Tesistán</v>
          </cell>
        </row>
        <row r="125">
          <cell r="D125" t="str">
            <v>DOPI‐MUN‐PP‐IS‐LP‐199‐2016</v>
          </cell>
          <cell r="T125" t="str">
            <v>Ernesto</v>
          </cell>
          <cell r="U125" t="str">
            <v>Olivares</v>
          </cell>
          <cell r="V125" t="str">
            <v>Álvarez</v>
          </cell>
          <cell r="W125" t="str">
            <v>Servicios Metropolitanos de Jalisco, S.A. de C.V.</v>
          </cell>
          <cell r="X125" t="str">
            <v>SMJ090317FS9</v>
          </cell>
          <cell r="AD125">
            <v>42754</v>
          </cell>
          <cell r="AG125">
            <v>28125202.050000001</v>
          </cell>
          <cell r="AL125" t="str">
            <v>Construcción de la cruz verde Villa de Guadalupe, en la zona de las mesas, municipio de Zapopan, Jalisco.</v>
          </cell>
          <cell r="AM125">
            <v>42755</v>
          </cell>
          <cell r="AN125">
            <v>42874</v>
          </cell>
          <cell r="AS125" t="str">
            <v>Zona de Las Mesas</v>
          </cell>
        </row>
        <row r="126">
          <cell r="D126" t="str">
            <v>DOPI-MUN-PP-ID-CI-200-2016</v>
          </cell>
          <cell r="T126" t="str">
            <v>Carlos Alberto</v>
          </cell>
          <cell r="U126" t="str">
            <v>Villaseñor</v>
          </cell>
          <cell r="V126" t="str">
            <v>Núñez</v>
          </cell>
          <cell r="W126" t="str">
            <v>MTQ de México, S.A. de C.V.</v>
          </cell>
          <cell r="X126" t="str">
            <v>MME011214IV5</v>
          </cell>
          <cell r="AD126">
            <v>42727</v>
          </cell>
          <cell r="AG126">
            <v>6502584.6699999999</v>
          </cell>
          <cell r="AL126" t="str">
            <v>Rehabilitación de las instalaciones y equipamiento deportivo de la Unidad Deportiva Lomas de Tabachines, municipio de Zapopan, Jalisco.</v>
          </cell>
          <cell r="AM126">
            <v>42730</v>
          </cell>
          <cell r="AN126">
            <v>42820</v>
          </cell>
          <cell r="AS126" t="str">
            <v>Colonia Lomas de Tabachines</v>
          </cell>
        </row>
        <row r="127">
          <cell r="D127" t="str">
            <v>DOPI-MUN-RM-ID-CI-201-2016</v>
          </cell>
          <cell r="T127" t="str">
            <v>Juan José</v>
          </cell>
          <cell r="U127" t="str">
            <v>Gutiérrez</v>
          </cell>
          <cell r="V127" t="str">
            <v>Contreras</v>
          </cell>
          <cell r="W127" t="str">
            <v>Rencoist Construcciones, S.A. de C.V.</v>
          </cell>
          <cell r="X127" t="str">
            <v>RCO130920JX9</v>
          </cell>
          <cell r="AD127">
            <v>42727</v>
          </cell>
          <cell r="AG127">
            <v>7474586.25</v>
          </cell>
          <cell r="AL127" t="str">
            <v>Rehabilitación de las instalaciones y equipamiento deportivo de la Unidad Deportiva Santa María del Pueblito, municipio de Zapopan, Jalisco.</v>
          </cell>
          <cell r="AM127">
            <v>42730</v>
          </cell>
          <cell r="AN127">
            <v>42850</v>
          </cell>
          <cell r="AS127" t="str">
            <v>Colonia Santa Maria del Pueblito</v>
          </cell>
        </row>
        <row r="128">
          <cell r="D128" t="str">
            <v>DOPI-EST-CM-PAV-LP-202-2016</v>
          </cell>
          <cell r="T128" t="str">
            <v>Ignacio Javier</v>
          </cell>
          <cell r="U128" t="str">
            <v>Curiel</v>
          </cell>
          <cell r="V128" t="str">
            <v>Dueñas</v>
          </cell>
          <cell r="W128" t="str">
            <v>TC Construcción y Mantenimiento, S.A. de C.V.</v>
          </cell>
          <cell r="X128" t="str">
            <v>TCM100915HA1</v>
          </cell>
          <cell r="AD128">
            <v>42754</v>
          </cell>
          <cell r="AG128">
            <v>16710004.48</v>
          </cell>
          <cell r="AL128" t="str">
            <v>Renovación urbana en área habitacional y de zona comercial del Andador 20 de Noviembre en el Centro de Zapopan, Jalisco.</v>
          </cell>
          <cell r="AM128">
            <v>42755</v>
          </cell>
          <cell r="AN128">
            <v>42834</v>
          </cell>
          <cell r="AS128" t="str">
            <v>Zapopan Centro</v>
          </cell>
        </row>
        <row r="129">
          <cell r="D129" t="str">
            <v>DOPI-EST-CM-PAV-LP-203-2016</v>
          </cell>
          <cell r="T129" t="str">
            <v>Felipe Daniel</v>
          </cell>
          <cell r="U129" t="str">
            <v>Nuñez</v>
          </cell>
          <cell r="V129" t="str">
            <v>Hernández</v>
          </cell>
          <cell r="W129" t="str">
            <v>Grupo Constructor Felca, S.A. de C.V.</v>
          </cell>
          <cell r="X129" t="str">
            <v>GCF8504255B8</v>
          </cell>
          <cell r="AD129">
            <v>42754</v>
          </cell>
          <cell r="AG129">
            <v>12580210.390000001</v>
          </cell>
          <cell r="AL129" t="str">
            <v>Renovación urbana de área habitacional y de zona comercial de laterales de Av. Aviación, del tramo de Juan Gil Preciado a Camino Antiguo a Tesistán, en Zapopan, Jalisco.</v>
          </cell>
          <cell r="AM129">
            <v>42755</v>
          </cell>
          <cell r="AN129">
            <v>42834</v>
          </cell>
          <cell r="AS129" t="str">
            <v>Col. Nuevo México</v>
          </cell>
        </row>
        <row r="130">
          <cell r="D130" t="str">
            <v>DOPI-EST-CM-PAV-LP-204-2016</v>
          </cell>
          <cell r="T130" t="str">
            <v>Andrés Eduardo</v>
          </cell>
          <cell r="U130" t="str">
            <v>Aceves</v>
          </cell>
          <cell r="V130" t="str">
            <v>Castañeda</v>
          </cell>
          <cell r="W130" t="str">
            <v>Secri Constructora, S.A. de C.V.</v>
          </cell>
          <cell r="X130" t="str">
            <v>SCO100609EVA</v>
          </cell>
          <cell r="AD130">
            <v>42754</v>
          </cell>
          <cell r="AG130">
            <v>44287096.670000002</v>
          </cell>
          <cell r="AL130" t="str">
            <v>Renovación urbana de área habitacional y de zona comercial de Av. Aviación, del tramo del Ingreso de Base Aérea No. 2 a Camino Antiguo a Tesistán, en Zapopan, Jalisco.</v>
          </cell>
          <cell r="AM130">
            <v>42755</v>
          </cell>
          <cell r="AN130">
            <v>42834</v>
          </cell>
          <cell r="AS130" t="str">
            <v>Col. Nuevo México</v>
          </cell>
        </row>
        <row r="131">
          <cell r="D131" t="str">
            <v>DOPI-EST-CM-PAV-LP-205-2016</v>
          </cell>
          <cell r="T131" t="str">
            <v>Mario</v>
          </cell>
          <cell r="U131" t="str">
            <v>Beltrán</v>
          </cell>
          <cell r="V131" t="str">
            <v>Rodríguez</v>
          </cell>
          <cell r="W131" t="str">
            <v xml:space="preserve">Constructora y Desarrolladora Barba y Asociados, S. A. de C. V. </v>
          </cell>
          <cell r="X131" t="str">
            <v>CDB0506068Z4</v>
          </cell>
          <cell r="AD131">
            <v>42754</v>
          </cell>
          <cell r="AG131">
            <v>18744083.59</v>
          </cell>
          <cell r="AL131"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1">
            <v>42755</v>
          </cell>
          <cell r="AN131">
            <v>42834</v>
          </cell>
          <cell r="AS131" t="str">
            <v>Col. San Juan de Ocotán</v>
          </cell>
        </row>
        <row r="132">
          <cell r="D132" t="str">
            <v>DOPI-MUN-RM-ID-CI-206-2016</v>
          </cell>
          <cell r="T132" t="str">
            <v>Apolinar</v>
          </cell>
          <cell r="U132" t="str">
            <v>Gómez</v>
          </cell>
          <cell r="V132" t="str">
            <v>Alonso</v>
          </cell>
          <cell r="W132" t="str">
            <v>Edificaciones y Transformaciones Técnicas, S.A. de C.V.</v>
          </cell>
          <cell r="X132" t="str">
            <v>ETT9302049B2</v>
          </cell>
          <cell r="AD132">
            <v>42727</v>
          </cell>
          <cell r="AG132">
            <v>7998190.21</v>
          </cell>
          <cell r="AL132" t="str">
            <v>Rehabilitación de las instalaciones y equipamiento deportivo de la Unidad Deportiva Miguel de la Madrid, municipio de Zapopan, Jalisco.</v>
          </cell>
          <cell r="AM132">
            <v>42730</v>
          </cell>
          <cell r="AN132">
            <v>42850</v>
          </cell>
          <cell r="AS132" t="str">
            <v>Colonia Miguel de la Madrid</v>
          </cell>
        </row>
        <row r="133">
          <cell r="D133" t="str">
            <v>DOPI-MUN-RM-ID-CI-207-2016</v>
          </cell>
          <cell r="T133" t="str">
            <v xml:space="preserve">Leobardo </v>
          </cell>
          <cell r="U133" t="str">
            <v>Preciado</v>
          </cell>
          <cell r="V133" t="str">
            <v>Zepeda</v>
          </cell>
          <cell r="W133" t="str">
            <v>Consorcio Constructor Adobes, S. A. de C. V.</v>
          </cell>
          <cell r="X133" t="str">
            <v>CCA971126QC9</v>
          </cell>
          <cell r="AD133">
            <v>42727</v>
          </cell>
          <cell r="AG133">
            <v>7900442.7599999998</v>
          </cell>
          <cell r="AL133" t="str">
            <v>Rehabilitación de las instalaciones y equipamiento deportivo de la Unidad Deportiva Villas de Guadalupe, municipio de Zapopan, Jalisco.</v>
          </cell>
          <cell r="AM133">
            <v>42730</v>
          </cell>
          <cell r="AN133">
            <v>42850</v>
          </cell>
          <cell r="AS133" t="str">
            <v>Colonia Villa de Guadalupe</v>
          </cell>
        </row>
        <row r="134">
          <cell r="D134" t="str">
            <v>DOPI-MUN-RM-ID-CI-208-2016</v>
          </cell>
          <cell r="T134" t="str">
            <v>David</v>
          </cell>
          <cell r="U134" t="str">
            <v>Hernández</v>
          </cell>
          <cell r="V134" t="str">
            <v>Flores</v>
          </cell>
          <cell r="W134" t="str">
            <v>Constructora San Sebastián, S.A. de C.V.</v>
          </cell>
          <cell r="X134" t="str">
            <v>CSS8303089S9</v>
          </cell>
          <cell r="AD134">
            <v>42727</v>
          </cell>
          <cell r="AG134">
            <v>7996437.3600000003</v>
          </cell>
          <cell r="AL134" t="str">
            <v>Rehabilitación de las instalaciones y equipamiento deportivo de la Unidad Deportiva Santa Margarita, municipio de Zapopan, Jalisco.</v>
          </cell>
          <cell r="AM134">
            <v>42730</v>
          </cell>
          <cell r="AN134">
            <v>42850</v>
          </cell>
          <cell r="AS134" t="str">
            <v>Colonia Santa Margarita</v>
          </cell>
        </row>
        <row r="135">
          <cell r="D135" t="str">
            <v>DOPI-MUN-RM-PAV-CI-209-2016</v>
          </cell>
          <cell r="T135" t="str">
            <v>Jorge Alfredo</v>
          </cell>
          <cell r="U135" t="str">
            <v>Ochoa</v>
          </cell>
          <cell r="V135" t="str">
            <v>González</v>
          </cell>
          <cell r="W135" t="str">
            <v>Aedificant, S.A. de C.V.</v>
          </cell>
          <cell r="X135" t="str">
            <v>AED890925181</v>
          </cell>
          <cell r="AD135">
            <v>42727</v>
          </cell>
          <cell r="AG135">
            <v>5570941.0800000001</v>
          </cell>
          <cell r="AL135" t="str">
            <v>Construcción de pavimento de concreto hidráulico MR-45 y jardinería, en la Glorieta Venustiano Carranza en la colonia Constitución, municipio de Zapopan, Jalisco</v>
          </cell>
          <cell r="AM135">
            <v>42730</v>
          </cell>
          <cell r="AN135">
            <v>42762</v>
          </cell>
          <cell r="AS135" t="str">
            <v>Colonia Constitución</v>
          </cell>
        </row>
        <row r="136">
          <cell r="D136" t="str">
            <v>DOPI-MUN-RM-PAV-CI-210-2016</v>
          </cell>
          <cell r="T136" t="str">
            <v>Elvia Alejandra</v>
          </cell>
          <cell r="U136" t="str">
            <v>Torres</v>
          </cell>
          <cell r="V136" t="str">
            <v>Villa</v>
          </cell>
          <cell r="W136" t="str">
            <v>Procourza, S.A. de C.V.</v>
          </cell>
          <cell r="X136" t="str">
            <v>PRO0205208F2</v>
          </cell>
          <cell r="AD136">
            <v>42727</v>
          </cell>
          <cell r="AG136">
            <v>7995338.8700000001</v>
          </cell>
          <cell r="AL136"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6">
            <v>42730</v>
          </cell>
          <cell r="AN136">
            <v>42820</v>
          </cell>
          <cell r="AS136" t="str">
            <v>Colonia Belenes Norte</v>
          </cell>
        </row>
        <row r="137">
          <cell r="D137" t="str">
            <v>DOPI-MUN-RM-AP-CI-211-2016</v>
          </cell>
          <cell r="T137" t="str">
            <v>Rosalba Edilia</v>
          </cell>
          <cell r="U137" t="str">
            <v>Sandoval</v>
          </cell>
          <cell r="V137" t="str">
            <v>Huizar</v>
          </cell>
          <cell r="W137" t="str">
            <v>Infraestructura San Miguel, S.A. de C.V.</v>
          </cell>
          <cell r="X137" t="str">
            <v>ISM0112209Y5</v>
          </cell>
          <cell r="AD137">
            <v>42727</v>
          </cell>
          <cell r="AG137">
            <v>2591650.5499999998</v>
          </cell>
          <cell r="AL137" t="str">
            <v>Construcción de línea de agua potable, drenaje sanitario, preparación para instalaciones de Telmex y CFE, pozos de absorción, en la Glorieta Venustiano Carranza en la colonia Constitución, municipio de Zapopan, Jalisco</v>
          </cell>
          <cell r="AM137">
            <v>42730</v>
          </cell>
          <cell r="AN137">
            <v>42760</v>
          </cell>
          <cell r="AS137" t="str">
            <v>Colonia Constitución</v>
          </cell>
        </row>
        <row r="138">
          <cell r="D138" t="str">
            <v>DOPI-FED-HAB-PAV-CI-214-2016</v>
          </cell>
          <cell r="T138" t="str">
            <v>Miguel Ángel</v>
          </cell>
          <cell r="U138" t="str">
            <v>Romero</v>
          </cell>
          <cell r="V138" t="str">
            <v>Lugo</v>
          </cell>
          <cell r="W138" t="str">
            <v>Obras y Comercialización de la Construcción, S.A. de C.V.</v>
          </cell>
          <cell r="X138" t="str">
            <v>OCC940714PB0</v>
          </cell>
          <cell r="AD138">
            <v>42717</v>
          </cell>
          <cell r="AG138">
            <v>6282745.2800000003</v>
          </cell>
          <cell r="AL138" t="str">
            <v>Pavimentación de concreto hidráulico en la calle Casiano Torres Poniente, municipio de Zapopan, Jalisco.</v>
          </cell>
          <cell r="AM138">
            <v>42718</v>
          </cell>
          <cell r="AN138">
            <v>42735</v>
          </cell>
          <cell r="AS138" t="str">
            <v>Colonia Vista Hermosa</v>
          </cell>
        </row>
        <row r="139">
          <cell r="T139" t="str">
            <v>Edgardo</v>
          </cell>
          <cell r="U139" t="str">
            <v>Zúñiga</v>
          </cell>
          <cell r="V139" t="str">
            <v>Beristaín</v>
          </cell>
          <cell r="W139" t="str">
            <v>Proyección Integral Zure, S.A. de C.V.</v>
          </cell>
          <cell r="X139" t="str">
            <v>PIZ070717DX6</v>
          </cell>
          <cell r="AD139">
            <v>42727</v>
          </cell>
          <cell r="AG139">
            <v>2484449.75</v>
          </cell>
          <cell r="AL139" t="str">
            <v>Rehabilitación de la Unidad Administrativa Las Águilas (cubierta, pintura, instalaciones eléctricas, instalaciones hidráulicas, nave central, impermeabilización, accesibilidad, baños, puertas de acceso principal) Frente 2</v>
          </cell>
          <cell r="AM139">
            <v>42730</v>
          </cell>
          <cell r="AN139">
            <v>42820</v>
          </cell>
        </row>
        <row r="140">
          <cell r="D140" t="str">
            <v>DOPI-MUN-RM-MOV-CI-226-2016</v>
          </cell>
          <cell r="T140" t="str">
            <v>Bernardo</v>
          </cell>
          <cell r="U140" t="str">
            <v>Saenz</v>
          </cell>
          <cell r="V140" t="str">
            <v>Barba</v>
          </cell>
          <cell r="W140" t="str">
            <v>Grupo Edificador Mayab, S.A. de C.V.</v>
          </cell>
          <cell r="X140" t="str">
            <v>GEM070112PX8</v>
          </cell>
          <cell r="AD140">
            <v>42727</v>
          </cell>
          <cell r="AG140">
            <v>3949999.31</v>
          </cell>
          <cell r="AL140" t="str">
            <v>Rehabilitación de ciclovía Santa Margarita e iluminación, municipio de Zapopan, Jalisco.</v>
          </cell>
          <cell r="AM140">
            <v>42730</v>
          </cell>
          <cell r="AN140">
            <v>42820</v>
          </cell>
        </row>
        <row r="141">
          <cell r="B141" t="str">
            <v>Licitación por Invitación Restringida</v>
          </cell>
          <cell r="D141" t="str">
            <v>DOPI-MUN-R33-AP-CI-228-2016</v>
          </cell>
          <cell r="T141" t="str">
            <v>Karla Mariana</v>
          </cell>
          <cell r="U141" t="str">
            <v>Méndez</v>
          </cell>
          <cell r="V141" t="str">
            <v>Rodríguez</v>
          </cell>
          <cell r="W141" t="str">
            <v>Grupo la Fuente, S.A. de C.V.</v>
          </cell>
          <cell r="X141" t="str">
            <v>GFU021009BC1</v>
          </cell>
          <cell r="AD141">
            <v>42727</v>
          </cell>
          <cell r="AG141">
            <v>6196741.5800000001</v>
          </cell>
          <cell r="AL141" t="str">
            <v xml:space="preserve">Perforación y equipamiento de pozo en la localidad de Los Patios, en el municipio de Zapopan, Jalisco. </v>
          </cell>
          <cell r="AM141">
            <v>42730</v>
          </cell>
          <cell r="AN141">
            <v>42850</v>
          </cell>
          <cell r="AS141" t="str">
            <v>Localidad Los Patios</v>
          </cell>
        </row>
        <row r="142">
          <cell r="B142" t="str">
            <v>Licitación por Invitación Restringida</v>
          </cell>
          <cell r="D142" t="str">
            <v>DOPI-MUN-R33-AP-CI-229-2016</v>
          </cell>
          <cell r="T142" t="str">
            <v>José Antonio</v>
          </cell>
          <cell r="U142" t="str">
            <v>Álvarez</v>
          </cell>
          <cell r="V142" t="str">
            <v>García</v>
          </cell>
          <cell r="W142" t="str">
            <v>Urcoma 1970, S.A. de C.V.</v>
          </cell>
          <cell r="X142" t="str">
            <v>UMN160125869</v>
          </cell>
          <cell r="AD142">
            <v>42727</v>
          </cell>
          <cell r="AG142">
            <v>3453426.13</v>
          </cell>
          <cell r="AL142" t="str">
            <v>Construcción de línea de conducción de agua potable de 3" de tubería galvanizada, en la localidad San José, en el municipio de Zapopan, Jalisco.</v>
          </cell>
          <cell r="AM142">
            <v>42730</v>
          </cell>
          <cell r="AN142">
            <v>42850</v>
          </cell>
          <cell r="AS142" t="str">
            <v>Localidad San José</v>
          </cell>
        </row>
        <row r="143">
          <cell r="B143" t="str">
            <v>Licitación por Invitación Restringida</v>
          </cell>
          <cell r="D143" t="str">
            <v>DOPI-MUN-R33-AP-CI-230-2016</v>
          </cell>
          <cell r="T143" t="str">
            <v>Ernesto</v>
          </cell>
          <cell r="U143" t="str">
            <v>Zamora</v>
          </cell>
          <cell r="V143" t="str">
            <v>Corona</v>
          </cell>
          <cell r="W143" t="str">
            <v>Keops Ingenieria y Construccion, S.A. de C.V.</v>
          </cell>
          <cell r="X143" t="str">
            <v>KIC040617JIA</v>
          </cell>
          <cell r="AD143">
            <v>42727</v>
          </cell>
          <cell r="AG143">
            <v>1996402.43</v>
          </cell>
          <cell r="AL143" t="str">
            <v>Construcción de línea de agua potable en la Carretera a San Esteban de Carretera a Saltillo a calle Norte, en la localidad de San Isidro, en el municipio de Zapopan, Jalisco.</v>
          </cell>
          <cell r="AM143">
            <v>42730</v>
          </cell>
          <cell r="AN143">
            <v>42820</v>
          </cell>
          <cell r="AS143" t="str">
            <v>Localidad San Isidro</v>
          </cell>
        </row>
        <row r="144">
          <cell r="B144" t="str">
            <v>Licitación por Invitación Restringida</v>
          </cell>
          <cell r="D144" t="str">
            <v>DOPI-MUN-R33-AP-CI-231-2016</v>
          </cell>
          <cell r="T144" t="str">
            <v>Adalberto</v>
          </cell>
          <cell r="U144" t="str">
            <v>Medina</v>
          </cell>
          <cell r="V144" t="str">
            <v>Morales</v>
          </cell>
          <cell r="W144" t="str">
            <v>Urdem, S.A. de C.V.</v>
          </cell>
          <cell r="X144" t="str">
            <v>URD130830U21</v>
          </cell>
          <cell r="AD144">
            <v>42727</v>
          </cell>
          <cell r="AG144">
            <v>3589467.88</v>
          </cell>
          <cell r="AL144" t="str">
            <v>Construcción de la primera etapa de línea de agua potable en la colonia Colinas del Rio, en el municipio de Zapopan, Jalisco.</v>
          </cell>
          <cell r="AM144">
            <v>42730</v>
          </cell>
          <cell r="AN144">
            <v>42850</v>
          </cell>
          <cell r="AS144" t="str">
            <v>Colonia Colinas del Rio</v>
          </cell>
        </row>
        <row r="145">
          <cell r="B145" t="str">
            <v>Licitación por Invitación Restringida</v>
          </cell>
          <cell r="D145" t="str">
            <v>DOPI-MUN-R33-PAV-CI-232-2016</v>
          </cell>
          <cell r="T145" t="str">
            <v>Edwin</v>
          </cell>
          <cell r="U145" t="str">
            <v>Aguiar</v>
          </cell>
          <cell r="V145" t="str">
            <v>Escatel</v>
          </cell>
          <cell r="W145" t="str">
            <v>Manjarrez Urbanizaciones, S.A. de C.V.</v>
          </cell>
          <cell r="X145" t="str">
            <v>MUR090325P33</v>
          </cell>
          <cell r="AD145">
            <v>42727</v>
          </cell>
          <cell r="AG145">
            <v>3867999.72</v>
          </cell>
          <cell r="AL145" t="str">
            <v>Pavimentación con concreto hidráulico, línea de agua potable, drenaje sanitario y alumbrado público, en la calle Abel Salgado, de Carretera a Saltillo a calle Ojo de Agua, en la colonia Agua Fría, municipio de Zapopan Jalisco, frente 1.</v>
          </cell>
          <cell r="AM145">
            <v>42730</v>
          </cell>
          <cell r="AN145">
            <v>42880</v>
          </cell>
          <cell r="AS145" t="str">
            <v>Colonia Agua Fria</v>
          </cell>
        </row>
        <row r="146">
          <cell r="B146" t="str">
            <v>Licitación por Invitación Restringida</v>
          </cell>
          <cell r="D146" t="str">
            <v>DOPI-MUN-R33-PAV-CI-233-2016</v>
          </cell>
          <cell r="T146" t="str">
            <v>Clarissa Gabriela</v>
          </cell>
          <cell r="U146" t="str">
            <v>Valdez</v>
          </cell>
          <cell r="V146" t="str">
            <v>Manjarrez</v>
          </cell>
          <cell r="W146" t="str">
            <v>Tekton Grupo Empresarial, S.A. de C.V.</v>
          </cell>
          <cell r="X146" t="str">
            <v>TGE101215JI6</v>
          </cell>
          <cell r="AD146">
            <v>42727</v>
          </cell>
          <cell r="AG146">
            <v>3638106.52</v>
          </cell>
          <cell r="AL146" t="str">
            <v>Pavimentación con concreto hidráulico, línea de agua potable, drenaje sanitario y alumbrado público,  en la calle Abel Salgado, de Carretera a Saltillo a calle Ojo de Agua, en la colonia Agua Fría, municipio de Zapopan Jalisco, frente 2.</v>
          </cell>
          <cell r="AM146">
            <v>42730</v>
          </cell>
          <cell r="AN146">
            <v>42880</v>
          </cell>
          <cell r="AS146" t="str">
            <v>Colonia Agua Fria</v>
          </cell>
        </row>
        <row r="147">
          <cell r="B147" t="str">
            <v>Licitación por Invitación Restringida</v>
          </cell>
          <cell r="D147" t="str">
            <v>DOPI-MUN-R33-PAV-CI-238-2016</v>
          </cell>
          <cell r="T147" t="str">
            <v>Hugo Armando</v>
          </cell>
          <cell r="U147" t="str">
            <v>Prieto</v>
          </cell>
          <cell r="V147" t="str">
            <v>Jiménez</v>
          </cell>
          <cell r="W147" t="str">
            <v>Constructora Rural del Pais, S.A. de C.V.</v>
          </cell>
          <cell r="X147" t="str">
            <v>CRP870708I62</v>
          </cell>
          <cell r="AD147">
            <v>42727</v>
          </cell>
          <cell r="AG147">
            <v>2216780.09</v>
          </cell>
          <cell r="AL147" t="str">
            <v>Pavimentación con empedrado zampeado en la calle Mármol, de calle Cantera al arroyo y calle Obsidiana, de calle Opalo a calle Coral, en la colonia Pedregal de Zapopan (Loma el Pedregal), en Zapopan, Jalisco</v>
          </cell>
          <cell r="AM147">
            <v>42730</v>
          </cell>
          <cell r="AN147">
            <v>42880</v>
          </cell>
          <cell r="AS147" t="str">
            <v>Colonia Loma el Pedregal</v>
          </cell>
        </row>
        <row r="148">
          <cell r="D148" t="str">
            <v>DOPI-MUN-RM-PAV-CI-001-2017</v>
          </cell>
          <cell r="T148" t="str">
            <v>Antonio</v>
          </cell>
          <cell r="U148" t="str">
            <v>Chávez</v>
          </cell>
          <cell r="V148" t="str">
            <v>Navarro</v>
          </cell>
          <cell r="W148" t="str">
            <v>Constructora Industrial Chávez S.A. de C.V.</v>
          </cell>
          <cell r="X148" t="str">
            <v>CIC960718BW4</v>
          </cell>
          <cell r="AD148">
            <v>42790</v>
          </cell>
          <cell r="AG148">
            <v>5476517.9699999997</v>
          </cell>
          <cell r="AL148" t="str">
            <v>Rehabilitación del camino a Copalita en el tramo de la Carretera a Colotlán a Copalita (Km. 0+000 al Km. 2+000), muncipio de Zapopan, Jalisco.</v>
          </cell>
          <cell r="AM148">
            <v>42791</v>
          </cell>
          <cell r="AN148">
            <v>42835</v>
          </cell>
        </row>
        <row r="149">
          <cell r="D149" t="str">
            <v>DOPI-MUN-RM-ELE-CI-002-2017</v>
          </cell>
          <cell r="T149" t="str">
            <v>Pia Lorena</v>
          </cell>
          <cell r="U149" t="str">
            <v>Buenrostro</v>
          </cell>
          <cell r="V149" t="str">
            <v>Ahued</v>
          </cell>
          <cell r="W149" t="str">
            <v>Birmek Construcciones, S.A. de C.V.</v>
          </cell>
          <cell r="X149" t="str">
            <v>BCO070129512</v>
          </cell>
          <cell r="AD149">
            <v>42790</v>
          </cell>
          <cell r="AG149">
            <v>4994034.3099999996</v>
          </cell>
          <cell r="AL149" t="str">
            <v>Primera etapa de la rehabilitación de la red de media y baja tensión, alumbrado público, en la colonia Constitución, municipio de Zapopan, Jalisco.</v>
          </cell>
          <cell r="AM149">
            <v>42791</v>
          </cell>
          <cell r="AN149">
            <v>42835</v>
          </cell>
          <cell r="AS149" t="str">
            <v>Col. Constitución</v>
          </cell>
        </row>
        <row r="150">
          <cell r="D150" t="str">
            <v>DOPI-MUN-RM-EP-CI-003-2017</v>
          </cell>
          <cell r="T150" t="str">
            <v xml:space="preserve">Eduardo </v>
          </cell>
          <cell r="U150" t="str">
            <v>Plascencia</v>
          </cell>
          <cell r="V150" t="str">
            <v>Macias</v>
          </cell>
          <cell r="W150" t="str">
            <v>Constructora y Edificadora Plasma, S.A. de C.V.</v>
          </cell>
          <cell r="X150" t="str">
            <v>CEP080129EK6</v>
          </cell>
          <cell r="AD150">
            <v>42790</v>
          </cell>
          <cell r="AG150">
            <v>2493488.7200000002</v>
          </cell>
          <cell r="AL150" t="str">
            <v>Rehabilitación de la Unidad Administrativa Las Aguilas (cubierta, pintura, instalaciones eléctricas, instalaciones hidráulicas, nave central, impermeabilización, accesibilidad, baños, puertas de acceso principal), municipio de Zapopan, Jalisco.</v>
          </cell>
          <cell r="AM150">
            <v>42791</v>
          </cell>
          <cell r="AN150">
            <v>42850</v>
          </cell>
          <cell r="AS150" t="str">
            <v>Col. Las Aguilas</v>
          </cell>
        </row>
        <row r="151">
          <cell r="D151" t="str">
            <v>DOPI-MUN-FORTA-BAN-CI-041-2017</v>
          </cell>
          <cell r="T151" t="str">
            <v>Omar</v>
          </cell>
          <cell r="U151" t="str">
            <v>Mora</v>
          </cell>
          <cell r="V151" t="str">
            <v>Montes de Oca</v>
          </cell>
          <cell r="W151" t="str">
            <v>Dommont Construcciones, S.A. de C.V.</v>
          </cell>
          <cell r="X151" t="str">
            <v>DCO130215C16</v>
          </cell>
          <cell r="AD151">
            <v>42877</v>
          </cell>
          <cell r="AJ151">
            <v>2990803.7</v>
          </cell>
          <cell r="AL151" t="str">
            <v>Peatonalización (banquetas y obras de accesibilidad) del área de influencia de escuelas, hospitales, mercados, centros culturales, plazas públicas y clínicas, municipio de Zapopan, Jalisco, Frente 1.</v>
          </cell>
          <cell r="AS151" t="str">
            <v>Col. Lomas de Tabachines, Jardines del Valle, El Vigia, Misión del Bosque</v>
          </cell>
        </row>
        <row r="152">
          <cell r="D152" t="str">
            <v>DOPI-MUN-FORTA-BAN-CI-042-2017</v>
          </cell>
          <cell r="T152" t="str">
            <v>Elba</v>
          </cell>
          <cell r="U152" t="str">
            <v xml:space="preserve">González </v>
          </cell>
          <cell r="V152" t="str">
            <v>Aguirre</v>
          </cell>
          <cell r="W152" t="str">
            <v>GA Urbanización, S.A. de C.V.</v>
          </cell>
          <cell r="X152" t="str">
            <v>GUR120612P22</v>
          </cell>
          <cell r="AD152">
            <v>42877</v>
          </cell>
          <cell r="AJ152">
            <v>2994800.57</v>
          </cell>
          <cell r="AL152" t="str">
            <v>Peatonalización (banquetas y obras de accesibilidad) del área de influencia de escuelas, hospitales, mercados, centros culturales, plazas públicas y clínicas, municipio de Zapopan, Jalisco, Frente 2.</v>
          </cell>
          <cell r="AS152" t="str">
            <v>Col. Nextipac, Mariano Otero</v>
          </cell>
        </row>
        <row r="153">
          <cell r="D153" t="str">
            <v>DOPI-MUN-RM-IH-CI-043-2017</v>
          </cell>
          <cell r="T153" t="str">
            <v xml:space="preserve">Marco Antonio </v>
          </cell>
          <cell r="U153" t="str">
            <v>Lozano</v>
          </cell>
          <cell r="V153" t="str">
            <v>Estrada</v>
          </cell>
          <cell r="W153" t="str">
            <v>Desarrolladora Fulham S. de R.L. de C.V.</v>
          </cell>
          <cell r="X153" t="str">
            <v>DFU090928JB5</v>
          </cell>
          <cell r="AD153">
            <v>42868</v>
          </cell>
          <cell r="AJ153">
            <v>7752532.1600000001</v>
          </cell>
          <cell r="AL153" t="str">
            <v>Construcción de estructuras de llegada, demasías, de acceso y de control e instalación de gaviones en el estanque de retención de agua pluviales para mitigar riesgo de inundaciones en Santa María del Pueblito, municipio de Zapopan, Jalisco.</v>
          </cell>
          <cell r="AS153" t="str">
            <v>Col. Santa Maria del Pueblito</v>
          </cell>
        </row>
        <row r="154">
          <cell r="D154" t="str">
            <v>DOPI-MUN-RM-IH-CI-044-2017</v>
          </cell>
          <cell r="T154" t="str">
            <v>Claudio Felipe</v>
          </cell>
          <cell r="U154" t="str">
            <v>Trujillo</v>
          </cell>
          <cell r="V154" t="str">
            <v>Gracián</v>
          </cell>
          <cell r="W154" t="str">
            <v>Desarrolladora Lumadi, S.A. de C.V.</v>
          </cell>
          <cell r="X154" t="str">
            <v>DLU100818F46</v>
          </cell>
          <cell r="AD154">
            <v>42868</v>
          </cell>
          <cell r="AJ154">
            <v>3706562.02</v>
          </cell>
          <cell r="AL154" t="str">
            <v>Construcción colector de alejamiento del vaso regulador de Santa María del Pueblito, municipio de Zapopan, Jalisco.</v>
          </cell>
          <cell r="AS154" t="str">
            <v>Col. Santa Maria del Pueblito</v>
          </cell>
        </row>
        <row r="155">
          <cell r="D155" t="str">
            <v>DOPI-MUN-RM-PAV-CI-045-2017</v>
          </cell>
          <cell r="T155" t="str">
            <v>Sergio Alberto</v>
          </cell>
          <cell r="U155" t="str">
            <v>Baylon</v>
          </cell>
          <cell r="V155" t="str">
            <v>Moreno</v>
          </cell>
          <cell r="W155" t="str">
            <v>Edificaciones Estructurales Cobay, S. A. de C. V.</v>
          </cell>
          <cell r="X155" t="str">
            <v>EEC9909173A7</v>
          </cell>
          <cell r="AD155">
            <v>42868</v>
          </cell>
          <cell r="AJ155">
            <v>6368591.04</v>
          </cell>
          <cell r="AL155"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AS155" t="str">
            <v>Col. El Tigre</v>
          </cell>
        </row>
        <row r="156">
          <cell r="D156" t="str">
            <v>DOPI-MUN-RM-PAV-CI-046-2017</v>
          </cell>
          <cell r="T156" t="str">
            <v>Luis Armando</v>
          </cell>
          <cell r="U156" t="str">
            <v>Linares</v>
          </cell>
          <cell r="V156" t="str">
            <v>Cacho</v>
          </cell>
          <cell r="W156" t="str">
            <v>Urbanizadora y Constructora Roal, S.A. de C.V.</v>
          </cell>
          <cell r="X156" t="str">
            <v>URC160310857</v>
          </cell>
          <cell r="AD156">
            <v>42868</v>
          </cell>
          <cell r="AJ156">
            <v>5822124.1500000004</v>
          </cell>
          <cell r="AL156"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AS156" t="str">
            <v>Col. El Tigre</v>
          </cell>
        </row>
        <row r="157">
          <cell r="D157" t="str">
            <v>DOPI-MUN-RM-PAV-CI-047-2017</v>
          </cell>
          <cell r="T157" t="str">
            <v>Miguel Ángel</v>
          </cell>
          <cell r="U157" t="str">
            <v>Romero</v>
          </cell>
          <cell r="V157" t="str">
            <v>Lugo</v>
          </cell>
          <cell r="W157" t="str">
            <v>Obras y Comercialización de la Construcción, S.A. de C.V.</v>
          </cell>
          <cell r="X157" t="str">
            <v>OCC940714PB0</v>
          </cell>
          <cell r="AD157">
            <v>42868</v>
          </cell>
          <cell r="AJ157">
            <v>3722082.59</v>
          </cell>
          <cell r="AL157"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AS157" t="str">
            <v>Col. La Martinica</v>
          </cell>
        </row>
        <row r="158">
          <cell r="D158" t="str">
            <v>DOPI-MUN-RM-PAV-CI-048-2017</v>
          </cell>
          <cell r="T158" t="str">
            <v>Victor</v>
          </cell>
          <cell r="U158" t="str">
            <v>Zayas</v>
          </cell>
          <cell r="V158" t="str">
            <v>Riquelme</v>
          </cell>
          <cell r="W158" t="str">
            <v>Geminis Internacional Constructora, S.A. de C.V.</v>
          </cell>
          <cell r="X158" t="str">
            <v>GIC810323RA6</v>
          </cell>
          <cell r="AD158">
            <v>42868</v>
          </cell>
          <cell r="AJ158">
            <v>4544310.46</v>
          </cell>
          <cell r="AL158" t="str">
            <v>Construcción de puente vehicular y adecuaciones pluviales sobre El Arroyo Seco, en la colonia El Briseño, municipio de Zapopan, Jalisco.</v>
          </cell>
          <cell r="AS158" t="str">
            <v>Col. El Briseño</v>
          </cell>
        </row>
        <row r="159">
          <cell r="D159" t="str">
            <v>DOPI-MUN-RM-EP-LP-049-2017</v>
          </cell>
          <cell r="T159" t="str">
            <v>Ignacio Javier</v>
          </cell>
          <cell r="U159" t="str">
            <v>Curiel</v>
          </cell>
          <cell r="V159" t="str">
            <v>Dueñas</v>
          </cell>
          <cell r="W159" t="str">
            <v>TC Construcción y Mantenimiento, S.A. de C.V.</v>
          </cell>
          <cell r="X159" t="str">
            <v>TCM100915HA1</v>
          </cell>
          <cell r="AD159">
            <v>42893</v>
          </cell>
          <cell r="AJ159">
            <v>9027947.1300000008</v>
          </cell>
          <cell r="AL159" t="str">
            <v>Construcción de Fuente interactiva en plaza Las Américas, municipio de Zapopan, Jalisco.</v>
          </cell>
          <cell r="AS159" t="str">
            <v>Col. Centro</v>
          </cell>
        </row>
        <row r="160">
          <cell r="D160" t="str">
            <v>DOPI-MUN-RM-PAV-LP-050-2017</v>
          </cell>
          <cell r="T160" t="str">
            <v>ENRIQUE</v>
          </cell>
          <cell r="U160" t="str">
            <v>LUGO</v>
          </cell>
          <cell r="V160" t="str">
            <v>IBARRA</v>
          </cell>
          <cell r="W160" t="str">
            <v>LUGO IBARRA CONSORCIO CONSTRUCTOR, S.A. DE C.V.</v>
          </cell>
          <cell r="X160" t="str">
            <v>CMI110222AA0</v>
          </cell>
          <cell r="AD160">
            <v>42893</v>
          </cell>
          <cell r="AJ160">
            <v>4304584.1399999997</v>
          </cell>
          <cell r="AL160" t="str">
            <v>Pavimentación con concreto hidráulico en la colonia El Rehilete, incluye: agua potable, drenaje sanitario, guarniciones, banquetas, accesibilidad, media tensión y servicios complementarios, en el municipio de Zapopan, Jalisco, frente 1.</v>
          </cell>
          <cell r="AS160" t="str">
            <v>Col. El Rehilete</v>
          </cell>
        </row>
        <row r="161">
          <cell r="D161" t="str">
            <v>DOPI-MUN-RM-PAV-LP-051-2017</v>
          </cell>
          <cell r="T161" t="str">
            <v>Sergio Cesar</v>
          </cell>
          <cell r="U161" t="str">
            <v>Diaz</v>
          </cell>
          <cell r="V161" t="str">
            <v>Quiroz</v>
          </cell>
          <cell r="W161" t="str">
            <v>Grupo Unicreto de México S.A. de C.V.</v>
          </cell>
          <cell r="X161" t="str">
            <v>GUM111201IA5</v>
          </cell>
          <cell r="AD161">
            <v>42893</v>
          </cell>
          <cell r="AJ161">
            <v>4673696.32</v>
          </cell>
          <cell r="AL161" t="str">
            <v>Pavimentación con concreto hidráulico en la colonia El Rehilete, incluye: agua potable, drenaje sanitario, guarniciones, banquetas, accesibilidad, media tensión y servicios complementarios, en el municipio de Zapopan, Jalisco, frente 2.</v>
          </cell>
          <cell r="AS161" t="str">
            <v>Col. El Rehilete</v>
          </cell>
        </row>
        <row r="162">
          <cell r="D162" t="str">
            <v>DOPI-FED-FORTALECE-PAV-LP-063-2017</v>
          </cell>
          <cell r="T162" t="str">
            <v>ORNELLA CAROLINA</v>
          </cell>
          <cell r="U162" t="str">
            <v>LEGASPI</v>
          </cell>
          <cell r="V162" t="str">
            <v>MUÑOZ</v>
          </cell>
          <cell r="W162" t="str">
            <v>TRIPOLI EMULSIONES, S.A. DE C.V.</v>
          </cell>
          <cell r="X162" t="str">
            <v>TEM141021N31</v>
          </cell>
          <cell r="AD162">
            <v>42929</v>
          </cell>
          <cell r="AJ162">
            <v>9130493.5999999996</v>
          </cell>
          <cell r="AL162" t="str">
            <v>Construcción de la calle Boulevard del Rodeo con concreto hidráulico tramo 1, en las colonias Laureles y Rinconada de la Azalea, en el municipio de Zapopan, Jalisco.</v>
          </cell>
          <cell r="AS162" t="str">
            <v>Colonias Laureles y Rinconada de la Azalea</v>
          </cell>
        </row>
        <row r="163">
          <cell r="D163" t="str">
            <v>DOPI-FED-FORTALECE-PAV-LP-064-2017</v>
          </cell>
          <cell r="T163" t="str">
            <v>ARTURO</v>
          </cell>
          <cell r="U163" t="str">
            <v>SARMIENTO</v>
          </cell>
          <cell r="V163" t="str">
            <v>SANCHEZ</v>
          </cell>
          <cell r="W163" t="str">
            <v>CONSTRUBRAVO, S.A. DE C.V.</v>
          </cell>
          <cell r="X163" t="str">
            <v>CON020208696</v>
          </cell>
          <cell r="AD163">
            <v>42929</v>
          </cell>
          <cell r="AJ163">
            <v>9223668.6799999997</v>
          </cell>
          <cell r="AL163" t="str">
            <v>Construcción de la calle Boulevard del Rodeo con concreto hidráulico tramo 2, en las colonias Laureles, El Vigía, Rinconada de la Azalea, en el municipio de Zapopan, Jalisco.</v>
          </cell>
          <cell r="AS163" t="str">
            <v>Colonias Laureles, El Vigía, Rinconada de la Azalea</v>
          </cell>
        </row>
        <row r="164">
          <cell r="D164" t="str">
            <v>DOPI-FED-FORTALECE-PAV-LP-065-2017</v>
          </cell>
          <cell r="T164" t="str">
            <v>J. GERARDO</v>
          </cell>
          <cell r="U164" t="str">
            <v>NICANOR</v>
          </cell>
          <cell r="V164" t="str">
            <v>MEJIA MARISCAL</v>
          </cell>
          <cell r="W164" t="str">
            <v>INECO CONSTRUYE, S.A. DE C.V.</v>
          </cell>
          <cell r="X164" t="str">
            <v>ICO980722M04</v>
          </cell>
          <cell r="AD164">
            <v>42929</v>
          </cell>
          <cell r="AJ164">
            <v>4467540.6900000004</v>
          </cell>
          <cell r="AL164" t="str">
            <v>Construcción de la calle Francisco Villa con concreto hidráulico de calle Abasolo a calle Emiliano Zapata, en la Zona de Santa Ana Tepetitlán (Segunda Etapa), en el municipio de Zapopan, Jalisco.</v>
          </cell>
          <cell r="AS164" t="str">
            <v>Santa Ana Tepetitlán</v>
          </cell>
        </row>
        <row r="165">
          <cell r="D165" t="str">
            <v>DOPI-FED-FORTALECE-PAV-LP-066-2017</v>
          </cell>
          <cell r="T165" t="str">
            <v>J. GERARDO</v>
          </cell>
          <cell r="U165" t="str">
            <v>NICANOR</v>
          </cell>
          <cell r="V165" t="str">
            <v>MEJIA MARISCAL</v>
          </cell>
          <cell r="W165" t="str">
            <v>INECO CONSTRUYE, S.A. DE C.V.</v>
          </cell>
          <cell r="X165" t="str">
            <v>ICO980722M04</v>
          </cell>
          <cell r="AD165">
            <v>42929</v>
          </cell>
          <cell r="AJ165">
            <v>7678994.9500000002</v>
          </cell>
          <cell r="AL165" t="str">
            <v>Construcción de la calle Plata con concreto hidráulico de calle Estaño a Av. Juan Pablo II, en la Zona de San José del Bajío, en el municipio de Zapopan, Jalisco.</v>
          </cell>
          <cell r="AS165" t="str">
            <v>San José del Bajío</v>
          </cell>
        </row>
        <row r="166">
          <cell r="D166" t="str">
            <v>DOPI-MUN-RM-PAV-CI-077-2017</v>
          </cell>
          <cell r="T166" t="str">
            <v xml:space="preserve">FRANCISCO GUSTAVO </v>
          </cell>
          <cell r="U166" t="str">
            <v>ACEVES</v>
          </cell>
          <cell r="V166" t="str">
            <v xml:space="preserve">GARZA </v>
          </cell>
          <cell r="W166" t="str">
            <v>TAG SOLUCIONES INTEGRALES, S.A. DE C.V.</v>
          </cell>
          <cell r="X166" t="str">
            <v>TSI0906015A9</v>
          </cell>
          <cell r="AD166">
            <v>42929</v>
          </cell>
          <cell r="AJ166">
            <v>3194358.94</v>
          </cell>
          <cell r="AL166" t="str">
            <v>Pavimentación con concreto hidráulico de la Av. Romanos de calle Egipcios a Av. Patria, incluye agua potable, drenaje, guarniciones, banquetas, servicios complementarios y señalética, en la colonia Altamira, primera etapa, municipio de Zapopan, Jalisco.</v>
          </cell>
          <cell r="AS166" t="str">
            <v>Colonia Altamira</v>
          </cell>
        </row>
        <row r="167">
          <cell r="D167" t="str">
            <v>DOPI-MUN-FORTA-PAV-CI-078-2017</v>
          </cell>
          <cell r="T167" t="str">
            <v>J. JESÚS</v>
          </cell>
          <cell r="U167" t="str">
            <v>NUÑEZ</v>
          </cell>
          <cell r="V167" t="str">
            <v>GUTIÉRREZ</v>
          </cell>
          <cell r="W167" t="str">
            <v>CERRO VIEJO CONSTRUCCIONES, S.A. DE C.V.</v>
          </cell>
          <cell r="X167" t="str">
            <v>CVC110114429</v>
          </cell>
          <cell r="AD167">
            <v>42929</v>
          </cell>
          <cell r="AJ167">
            <v>3194999.16</v>
          </cell>
          <cell r="AL167" t="str">
            <v>Pavimentación con concreto hidráulico de calle Juan del Carmen, de calle Urano a calle Obreros de Cananea, incluye agua potable, drenaje, guarniciones, banquetas, servicios complementarios y señalética, en la colonia La Palmita, primera etapa, municipio de Zapopan, Jalisco.</v>
          </cell>
          <cell r="AS167" t="str">
            <v>Colonia La Palmita</v>
          </cell>
        </row>
        <row r="168">
          <cell r="D168" t="str">
            <v>DOPI-MUN-RM-PAV-CI-079-2017</v>
          </cell>
          <cell r="T168" t="str">
            <v>VICTOR MANUEL</v>
          </cell>
          <cell r="U168" t="str">
            <v>JAUREGUI</v>
          </cell>
          <cell r="V168" t="str">
            <v>TORRES</v>
          </cell>
          <cell r="W168" t="str">
            <v>CONSTRUCTORA ERLORT Y ASOCIADOS, S.A. DE C.V.</v>
          </cell>
          <cell r="X168" t="str">
            <v>CEA070208SB1</v>
          </cell>
          <cell r="AD168">
            <v>42929</v>
          </cell>
          <cell r="AJ168">
            <v>2392943.7799999998</v>
          </cell>
          <cell r="AL168" t="str">
            <v>Construcción de la Lateral Oriente sobre Periférico Poniente, de calle San Juan a Av. Central, en la colonia Ciudad Granja, primera etapa, municipio de Zapopan, Jalisco.</v>
          </cell>
          <cell r="AS168" t="str">
            <v>Colonia Ciudad Granja</v>
          </cell>
        </row>
        <row r="169">
          <cell r="D169" t="str">
            <v>DOPI-MUN-RM-PAV-CI-082-2017</v>
          </cell>
          <cell r="T169" t="str">
            <v>JUAN PABLO</v>
          </cell>
          <cell r="U169" t="str">
            <v>VERA</v>
          </cell>
          <cell r="V169" t="str">
            <v>TAVARES</v>
          </cell>
          <cell r="W169" t="str">
            <v>LIZETTE CONSTRUCCIONES, S.A. DE C.V.</v>
          </cell>
          <cell r="X169" t="str">
            <v>LCO080228DN2</v>
          </cell>
          <cell r="AD169">
            <v>42929</v>
          </cell>
          <cell r="AJ169">
            <v>1996321.71</v>
          </cell>
          <cell r="AL169" t="str">
            <v>Pavimentación con mezcla asfáltica de calle Belisario Domínguez -Paseo de la Primavera, de privada Mariano Otero a Prol. Guadalupe, en las colonias Mariano Otero y Arenales Tapatíos, primera etapa, municipio de Zapopan, Jalisco.</v>
          </cell>
          <cell r="AS169" t="str">
            <v>Colonias Mariano Otero y Arenales Tapatíos</v>
          </cell>
        </row>
        <row r="170">
          <cell r="D170" t="str">
            <v>DOPI-MUN-R33-DS-CI-084-2017</v>
          </cell>
          <cell r="T170" t="str">
            <v>JAVIER</v>
          </cell>
          <cell r="U170" t="str">
            <v xml:space="preserve">ÁVILA </v>
          </cell>
          <cell r="V170" t="str">
            <v>FLORES</v>
          </cell>
          <cell r="W170" t="str">
            <v>SAVHO CONSULTORÍA Y CONSTRUCCIÓN, S.A. DE C.V.</v>
          </cell>
          <cell r="X170" t="str">
            <v>SCC060622HZ3</v>
          </cell>
          <cell r="AD170">
            <v>42929</v>
          </cell>
          <cell r="AJ170">
            <v>2201617.29</v>
          </cell>
          <cell r="AL170" t="str">
            <v>Construcción de red de drenaje y agua potable en privada Montes de Oca, calle Fernando Montes de Oca, Privada Juan Escutia y calle Juan Escutia, en la colonia Prados de Santa Lucia, municipio de Zapopan, Jalisco.</v>
          </cell>
          <cell r="AS170" t="str">
            <v>Colonia Prados de Santa Lucia</v>
          </cell>
        </row>
        <row r="171">
          <cell r="D171" t="str">
            <v>DOPI-MUN-R33-DS-CI-086-2017</v>
          </cell>
          <cell r="T171" t="str">
            <v xml:space="preserve">EDUARDO </v>
          </cell>
          <cell r="U171" t="str">
            <v>ROMERO</v>
          </cell>
          <cell r="V171" t="str">
            <v>LUGO</v>
          </cell>
          <cell r="W171" t="str">
            <v>RS OBRAS Y SERVICIOS S.A. DE C.V.</v>
          </cell>
          <cell r="X171" t="str">
            <v>ROS120904PV9</v>
          </cell>
          <cell r="AD171">
            <v>42929</v>
          </cell>
          <cell r="AJ171">
            <v>7905004.8799999999</v>
          </cell>
          <cell r="AL171" t="str">
            <v>Construcción de red de Drenaje y Agua Potable en la Calle San Francisco Tesistán y calles adyacentes, en la colonia Valle de la Providencia (La Cuchilla), municipio de Zapopan, Jalisco.</v>
          </cell>
          <cell r="AS171" t="str">
            <v>Colonia Valle de la Providencia (La Cuchilla)</v>
          </cell>
        </row>
        <row r="172">
          <cell r="D172" t="str">
            <v>DOPI-MUN-R33-DS-CI-087-2017</v>
          </cell>
          <cell r="T172" t="str">
            <v>ARTURO</v>
          </cell>
          <cell r="U172" t="str">
            <v>RANGEL</v>
          </cell>
          <cell r="V172" t="str">
            <v>PAEZ</v>
          </cell>
          <cell r="W172" t="str">
            <v>CONSTRUCTORA LASA, S.A. DE C.V.</v>
          </cell>
          <cell r="X172" t="str">
            <v>CLA890925ER5</v>
          </cell>
          <cell r="AD172">
            <v>42929</v>
          </cell>
          <cell r="AJ172">
            <v>3180001.46</v>
          </cell>
          <cell r="AL172" t="str">
            <v>Construcción de red de drenaje y agua potable en las calles: Prados de las Torres, Prados de Nextipac, Prados del Maíz I y II Sección, calle los Pinos, en la colonia Prados de Nextipac, municipio de Zapopan, Jalisco.</v>
          </cell>
          <cell r="AS172" t="str">
            <v>Colonia Prados de Nextipac</v>
          </cell>
        </row>
        <row r="173">
          <cell r="D173" t="str">
            <v>DOPI-MUN-R33-PAV-CI-088-2017</v>
          </cell>
          <cell r="T173" t="str">
            <v>JOSÉ LUIS</v>
          </cell>
          <cell r="U173" t="str">
            <v>GIL</v>
          </cell>
          <cell r="V173" t="str">
            <v>ARROYO</v>
          </cell>
          <cell r="W173" t="str">
            <v>CONSTRUCCIÓNES PÉREZ Y GIL, S.A. DE C.V.</v>
          </cell>
          <cell r="X173" t="str">
            <v>CPG861118QF1</v>
          </cell>
          <cell r="AD173">
            <v>42929</v>
          </cell>
          <cell r="AJ173">
            <v>4192091.6</v>
          </cell>
          <cell r="AL173" t="str">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ell>
          <cell r="AS173" t="str">
            <v>Colonia Hacienda Juárez</v>
          </cell>
        </row>
        <row r="174">
          <cell r="D174" t="str">
            <v>DOPI-MUN-R33-PAV-CI-089-2017</v>
          </cell>
          <cell r="T174" t="str">
            <v>CLARISSA GABRIELA</v>
          </cell>
          <cell r="U174" t="str">
            <v>VALDEZ</v>
          </cell>
          <cell r="V174" t="str">
            <v>MANJARREZ</v>
          </cell>
          <cell r="W174" t="str">
            <v>TEKTON GRUPO EMPRESARIAL, S.A. DE C.V.</v>
          </cell>
          <cell r="X174" t="str">
            <v>TGE101215JI6</v>
          </cell>
          <cell r="AD174">
            <v>42929</v>
          </cell>
          <cell r="AJ174">
            <v>5339997.92</v>
          </cell>
          <cell r="AL174" t="str">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ell>
          <cell r="AS174" t="str">
            <v>Colonia Predio El Zapote</v>
          </cell>
        </row>
        <row r="175">
          <cell r="D175" t="str">
            <v>DOPI-MUN-R33-DS-CI-090-2017</v>
          </cell>
          <cell r="T175" t="str">
            <v>FRANCISCO JAVIER</v>
          </cell>
          <cell r="U175" t="str">
            <v>DIAZ</v>
          </cell>
          <cell r="V175" t="str">
            <v>RUIZ</v>
          </cell>
          <cell r="W175" t="str">
            <v>CONSTRUCTORA DIRU, S.A. DE C.V.</v>
          </cell>
          <cell r="X175" t="str">
            <v>CDI950714B79</v>
          </cell>
          <cell r="AD175">
            <v>42929</v>
          </cell>
          <cell r="AJ175">
            <v>3367258.31</v>
          </cell>
          <cell r="AL175" t="str">
            <v>Construcción de red de drenaje y agua potable en la calle Eucalipto, calle Puesta del Sol, calle La Presa y calle Jaime Prieto, en la colonia Valle de Los Robles, municipio de Zapopan, Jalisco.</v>
          </cell>
          <cell r="AS175" t="str">
            <v>Colonia Valle de Los Robles</v>
          </cell>
        </row>
        <row r="176">
          <cell r="D176" t="str">
            <v>DOPI-MUN-R33-DS-CI-091-2017</v>
          </cell>
          <cell r="T176" t="str">
            <v xml:space="preserve"> MARTHA </v>
          </cell>
          <cell r="U176" t="str">
            <v>JIMENEZ</v>
          </cell>
          <cell r="V176" t="str">
            <v>LOPEZ</v>
          </cell>
          <cell r="W176" t="str">
            <v>INMOBILIARIA BOCHUM S. DE R.L. DE C.V.</v>
          </cell>
          <cell r="X176" t="str">
            <v>IBO090918ET9</v>
          </cell>
          <cell r="AD176">
            <v>42929</v>
          </cell>
          <cell r="AJ176">
            <v>5792979.8799999999</v>
          </cell>
          <cell r="AL176" t="str">
            <v>Construcción de red de alcantarillado y agua potable en la calle San Jorge, calle San Miguel, calle San Rafael y calles Adyacentes, en la colonia La Limera, municipio de Zapopan, Jalisco.</v>
          </cell>
          <cell r="AS176" t="str">
            <v>Colonia La Limera</v>
          </cell>
        </row>
        <row r="177">
          <cell r="D177" t="str">
            <v>DOPI-MUN-R33-IE-CI-092-2017</v>
          </cell>
          <cell r="T177" t="str">
            <v>VICTOR</v>
          </cell>
          <cell r="U177" t="str">
            <v>ZAYAS</v>
          </cell>
          <cell r="V177" t="str">
            <v>RIQUELME</v>
          </cell>
          <cell r="W177" t="str">
            <v>GEMINIS INTERNACIONAL CONSTRUCTORA, S.A. DE C.V.</v>
          </cell>
          <cell r="X177" t="str">
            <v>GIC810323RA6</v>
          </cell>
          <cell r="AD177">
            <v>42929</v>
          </cell>
          <cell r="AJ177">
            <v>1850002.03</v>
          </cell>
          <cell r="AL177" t="str">
            <v>Red electrificación y servicios complementarios en la calle 1 de Noviembre, calle Naranjo, calle Mandarina, calle Limón, calle Fresa, privada Sin Nombre y calle Capulín, en la colonia Zapote II, municipio de Zapopan, Jalisco.</v>
          </cell>
          <cell r="AS177" t="str">
            <v>Colonia Zapote II</v>
          </cell>
        </row>
        <row r="178">
          <cell r="D178" t="str">
            <v>DOPI-MUN-R33-AP-CI-093-2017</v>
          </cell>
          <cell r="T178" t="str">
            <v>KARLA MARIANA</v>
          </cell>
          <cell r="U178" t="str">
            <v>MENDEZ</v>
          </cell>
          <cell r="V178" t="str">
            <v>RODRIGUEZ</v>
          </cell>
          <cell r="W178" t="str">
            <v>GRUPO LA FUENTE, S.A. DE C.V.</v>
          </cell>
          <cell r="X178" t="str">
            <v>GFU021009BC1</v>
          </cell>
          <cell r="AD178">
            <v>42929</v>
          </cell>
          <cell r="AJ178">
            <v>6213192.5999999996</v>
          </cell>
          <cell r="AL178" t="str">
            <v>Perforación de pozo profundo, en la colonia Copalita Poblado, municipio de Zapopan, Jalisco.</v>
          </cell>
          <cell r="AS178" t="str">
            <v>Colonia Copalita Poblado</v>
          </cell>
        </row>
        <row r="179">
          <cell r="D179" t="str">
            <v>DOPI-MUN-R33R-DS-CI-095-2017</v>
          </cell>
          <cell r="T179" t="str">
            <v>MELESIO</v>
          </cell>
          <cell r="U179" t="str">
            <v>HERNÁNDEZ</v>
          </cell>
          <cell r="V179" t="str">
            <v>MARTÍNEZ</v>
          </cell>
          <cell r="W179" t="str">
            <v>CONSTRUCTORA VICO, S.A. DE C.V.</v>
          </cell>
          <cell r="X179" t="str">
            <v>CVI980213UM6</v>
          </cell>
          <cell r="AD179">
            <v>42985</v>
          </cell>
          <cell r="AJ179">
            <v>3643505.99</v>
          </cell>
          <cell r="AL179" t="str">
            <v>Construcción de red de drenaje en las calles: Daniel Macías, Andrés Jiménez, 12 de Octubre y Quirino Rivera en la colonia Villa de Guadalupe, municipio de Zapopan, Jalisco.</v>
          </cell>
          <cell r="AM179">
            <v>42986</v>
          </cell>
          <cell r="AN179">
            <v>43060</v>
          </cell>
          <cell r="AS179" t="str">
            <v>Col. Villa de Guadalupe</v>
          </cell>
        </row>
        <row r="180">
          <cell r="D180" t="str">
            <v>DOPI-MUN-R33-DS-CI-096-2017</v>
          </cell>
          <cell r="T180" t="str">
            <v xml:space="preserve"> BERNARDO </v>
          </cell>
          <cell r="U180" t="str">
            <v xml:space="preserve">SAENZ </v>
          </cell>
          <cell r="V180" t="str">
            <v>BARBA</v>
          </cell>
          <cell r="W180" t="str">
            <v>GRUPO EDIFICADOR MAYAB, S.A. DE C.V.</v>
          </cell>
          <cell r="X180" t="str">
            <v>GEM070112PX8</v>
          </cell>
          <cell r="AD180">
            <v>42929</v>
          </cell>
          <cell r="AJ180">
            <v>4802027.43</v>
          </cell>
          <cell r="AL180" t="str">
            <v>Construcción de Red de Drenaje y Agua potable en las calles de la Colonia Zapote II, municipio de Zapopan, Jalisco.</v>
          </cell>
          <cell r="AS180" t="str">
            <v>Colonia Zapote II</v>
          </cell>
        </row>
        <row r="181">
          <cell r="D181" t="str">
            <v>DOPI-MUN-R33R-DS-CI-097-2017</v>
          </cell>
          <cell r="T181" t="str">
            <v>ELBA</v>
          </cell>
          <cell r="U181" t="str">
            <v xml:space="preserve">GONZÁLEZ </v>
          </cell>
          <cell r="V181" t="str">
            <v>AGUIRRE</v>
          </cell>
          <cell r="W181" t="str">
            <v>GA URBANIZACIÓN, S.A. DE C.V.</v>
          </cell>
          <cell r="X181" t="str">
            <v>GUR120612P22</v>
          </cell>
          <cell r="AD181">
            <v>42985</v>
          </cell>
          <cell r="AJ181">
            <v>2995983.72</v>
          </cell>
          <cell r="AL181" t="str">
            <v>Mejoramiento de Arroyo Seco entre las calles Puerto Tampico y Tezontle y rehabilitación de colector de aguas negras en la colonia Miramar Poniente, municipio de Zapopan, Jalisco.</v>
          </cell>
          <cell r="AM181">
            <v>42986</v>
          </cell>
          <cell r="AN181">
            <v>43060</v>
          </cell>
          <cell r="AS181" t="str">
            <v>Colonia Miramar Poniente</v>
          </cell>
        </row>
        <row r="182">
          <cell r="D182" t="str">
            <v>DOPI-MUN-RM-PAV-CI-098-2017</v>
          </cell>
          <cell r="T182" t="str">
            <v>ANDRES EDUARDO</v>
          </cell>
          <cell r="U182" t="str">
            <v>ACEVES</v>
          </cell>
          <cell r="V182" t="str">
            <v>CASTAÑEDA</v>
          </cell>
          <cell r="W182" t="str">
            <v>SECRI CONSTRUCTORA, S.A. DE C.V.</v>
          </cell>
          <cell r="X182" t="str">
            <v>SCO100609EVA</v>
          </cell>
          <cell r="AD182">
            <v>42929</v>
          </cell>
          <cell r="AJ182">
            <v>5097355.1500000004</v>
          </cell>
          <cell r="AL182" t="str">
            <v>Obra de pavimentación complementaria a solución vial de López Mateos y Periférico Sur, municipio de Zapopan, Jalisco.</v>
          </cell>
          <cell r="AS182" t="str">
            <v>Colonias La Calma, Loma Bonita y Las Aguilas</v>
          </cell>
        </row>
        <row r="183">
          <cell r="D183" t="str">
            <v>DOPI-FED-FORTALECE-PAV-CI-099-2017</v>
          </cell>
          <cell r="T183" t="str">
            <v>JOEL</v>
          </cell>
          <cell r="U183" t="str">
            <v>ZULOAGA</v>
          </cell>
          <cell r="V183" t="str">
            <v>ACEVES</v>
          </cell>
          <cell r="W183" t="str">
            <v>TASUM SOLUCIONES EN CONSTRUCCION, S.A. DE C.V.</v>
          </cell>
          <cell r="X183" t="str">
            <v>TSC100210E48</v>
          </cell>
          <cell r="AD183">
            <v>42929</v>
          </cell>
          <cell r="AJ183">
            <v>4135072.71</v>
          </cell>
          <cell r="AL183" t="str">
            <v>Reencarpetamiento de la calle Prolongación Pino Suárez con asfalto, de Periférico a Boulevard del Rodeo, tramo 1, en la Colonia el Vigía, en el municipio de Zapopan, Jalisco.</v>
          </cell>
          <cell r="AS183" t="str">
            <v>Colonia el Vigía</v>
          </cell>
        </row>
        <row r="184">
          <cell r="D184" t="str">
            <v>DOPI-FED-FORTALECE-PAV-CI-100-2017</v>
          </cell>
          <cell r="T184" t="str">
            <v xml:space="preserve">ARTURO </v>
          </cell>
          <cell r="U184" t="str">
            <v>MONTUFAR</v>
          </cell>
          <cell r="V184" t="str">
            <v>NUÑEZ</v>
          </cell>
          <cell r="W184" t="str">
            <v>VELERO PAVIMENTACION Y CONSTRUCCION S.A. DE C.V.</v>
          </cell>
          <cell r="X184" t="str">
            <v>VPC0012148K0</v>
          </cell>
          <cell r="AD184">
            <v>42929</v>
          </cell>
          <cell r="AJ184">
            <v>2865645.34</v>
          </cell>
          <cell r="AL184" t="str">
            <v>Reencarpetamiento de la calle Melchor Ocampo con asfalto, de Periférico a Boulevard del Rodeo, tramo 1, en la colonia el Vigía, en el municipio de Zapopan, Jalisco.</v>
          </cell>
          <cell r="AS184" t="str">
            <v>Colonia el Vigía</v>
          </cell>
        </row>
        <row r="185">
          <cell r="D185" t="str">
            <v>DOPI-FED-FORTALECE-PAV-CI-101-2017</v>
          </cell>
          <cell r="T185" t="str">
            <v>GUILLERMO</v>
          </cell>
          <cell r="U185" t="str">
            <v>LARA</v>
          </cell>
          <cell r="V185" t="str">
            <v>VARGAS</v>
          </cell>
          <cell r="W185" t="str">
            <v>DESARROLLADORA GLAR, S.A. DE C.V.</v>
          </cell>
          <cell r="X185" t="str">
            <v>DGL060620SUA</v>
          </cell>
          <cell r="AD185">
            <v>42929</v>
          </cell>
          <cell r="AJ185">
            <v>6345107.8499999996</v>
          </cell>
          <cell r="AL185" t="str">
            <v>Construcción de la primera etapa (Reencarpetado) de Av. Acueducto, de Calzada Federalistas a Av. Guadalajara, en la colonia Real del Valle, en el municipio de Zapopan, Jalisco.</v>
          </cell>
          <cell r="AS185" t="str">
            <v>Colonia Real del Valle</v>
          </cell>
        </row>
        <row r="186">
          <cell r="D186" t="str">
            <v>DOPI-FED-FORTALECE-PAV-CI-102-2017</v>
          </cell>
          <cell r="T186" t="str">
            <v>JOSE ANTONIO</v>
          </cell>
          <cell r="U186" t="str">
            <v>ALVAREZ</v>
          </cell>
          <cell r="V186" t="str">
            <v>GARCIA</v>
          </cell>
          <cell r="W186" t="str">
            <v>URCOMA 1970, S.A. DE C.V.</v>
          </cell>
          <cell r="X186" t="str">
            <v>UMN160125869</v>
          </cell>
          <cell r="AD186">
            <v>42929</v>
          </cell>
          <cell r="AJ186">
            <v>6700005.75</v>
          </cell>
          <cell r="AL186" t="str">
            <v>Construcción de la calle Prolongación Acueducto con asfalto de Calzada Federalistas (Av. del Valle) a Calzada Federalistas, en la Zona de Santa Margarita (Segunda Etapa), en el municipio de Zapopan, Jalisco.</v>
          </cell>
          <cell r="AS186" t="str">
            <v>Colonia Santa Margarita</v>
          </cell>
        </row>
        <row r="187">
          <cell r="D187" t="str">
            <v>DOPI-FED-PR-PAV-LP-103-2017</v>
          </cell>
          <cell r="T187" t="str">
            <v>CARLOS ALBERTO</v>
          </cell>
          <cell r="U187" t="str">
            <v>VALENCIA</v>
          </cell>
          <cell r="V187" t="str">
            <v>MENCHACA</v>
          </cell>
          <cell r="W187" t="str">
            <v>CONSTRUCTORA AUTLENSE, S.A. DE C.V.</v>
          </cell>
          <cell r="X187" t="str">
            <v>CAU980304DC0</v>
          </cell>
          <cell r="AD187">
            <v>42972</v>
          </cell>
          <cell r="AJ187">
            <v>3543836.9</v>
          </cell>
          <cell r="AL187" t="str">
            <v>Construcción de la calle Deli con concreto hidráulico de calle Ozomatli a calle Acatl, en la zona de la Mesa Colorada (segunda etapa), en el municipio de Zapopan, Jalisco.</v>
          </cell>
          <cell r="AM187">
            <v>42973</v>
          </cell>
          <cell r="AN187">
            <v>43095</v>
          </cell>
          <cell r="AS187" t="str">
            <v>Col. Mesa Colorada</v>
          </cell>
        </row>
        <row r="188">
          <cell r="D188" t="str">
            <v>DOPI-FED-PR-PAV-LP-104-2017</v>
          </cell>
          <cell r="T188" t="str">
            <v>JUAN JOSÉ</v>
          </cell>
          <cell r="U188" t="str">
            <v>GUTIÉRREZ</v>
          </cell>
          <cell r="V188" t="str">
            <v>CONTRERAS</v>
          </cell>
          <cell r="W188" t="str">
            <v>RENCOIST CONSTRUCCIÓNES, S.A. DE C.V.</v>
          </cell>
          <cell r="X188" t="str">
            <v>RCO130920JX9</v>
          </cell>
          <cell r="AD188">
            <v>42972</v>
          </cell>
          <cell r="AJ188">
            <v>4507662.9800000004</v>
          </cell>
          <cell r="AL188" t="str">
            <v>Construcción de la calle Ocampo con concreto hidráulico de Av. Aviación a calle Independencia, en la zona de San Juan de Ocotan (segunda etapa), en el municipio de Zapopan, Jalisco.</v>
          </cell>
          <cell r="AM188">
            <v>42972</v>
          </cell>
          <cell r="AN188">
            <v>43110</v>
          </cell>
          <cell r="AS188" t="str">
            <v>San Juan de Ocotán</v>
          </cell>
        </row>
        <row r="189">
          <cell r="D189" t="str">
            <v>DOPI-FED-PR-PAV-LP-105-2017</v>
          </cell>
          <cell r="T189" t="str">
            <v>SERGIO CESAR</v>
          </cell>
          <cell r="U189" t="str">
            <v>DÍAZ</v>
          </cell>
          <cell r="V189" t="str">
            <v>QUIROZ</v>
          </cell>
          <cell r="W189" t="str">
            <v>TRANSCRETO S.A. DE C.V.</v>
          </cell>
          <cell r="X189" t="str">
            <v>TRA750528286</v>
          </cell>
          <cell r="AD189">
            <v>42972</v>
          </cell>
          <cell r="AJ189">
            <v>6135004.7999999998</v>
          </cell>
          <cell r="AL189" t="str">
            <v>Pavimentación con concreto hidráulico de la lateral de Avenida Vallarta, entre la Avenida Juan Palomar y Arias y Anillo Periférico, en el municipio de Zapopan, Jalisco.</v>
          </cell>
          <cell r="AM189">
            <v>42973</v>
          </cell>
          <cell r="AN189">
            <v>43095</v>
          </cell>
          <cell r="AS189" t="str">
            <v>Col. Rinconada del Bosque</v>
          </cell>
        </row>
        <row r="190">
          <cell r="D190" t="str">
            <v>DOPI-FED-PR-PAV-LP-106-2017</v>
          </cell>
          <cell r="T190" t="str">
            <v>JAVIER</v>
          </cell>
          <cell r="U190" t="str">
            <v>CAÑEDO</v>
          </cell>
          <cell r="V190" t="str">
            <v>ORTEGA</v>
          </cell>
          <cell r="W190" t="str">
            <v>CONSTRUCCIONES TECNICAS DE OCCIDENTE, S.A. DE C.V.</v>
          </cell>
          <cell r="X190" t="str">
            <v>CTO061116F61</v>
          </cell>
          <cell r="AD190">
            <v>42972</v>
          </cell>
          <cell r="AJ190">
            <v>1074481.03</v>
          </cell>
          <cell r="AL190" t="str">
            <v>Construcción de la calle Ing. Alberto Mora López con concreto hidráulico de calle Elote a calle Ing. Alfonso Padilla, en la zona de la Mesa Colorada (segunda etapa), en el municipio de Zapopan, Jalisco.</v>
          </cell>
          <cell r="AM190">
            <v>42973</v>
          </cell>
          <cell r="AN190">
            <v>43095</v>
          </cell>
          <cell r="AS190" t="str">
            <v>Col. Mesa Colorada</v>
          </cell>
        </row>
        <row r="191">
          <cell r="D191" t="str">
            <v>DOPI-FED-PR-PAV-LP-107-2017</v>
          </cell>
          <cell r="T191" t="str">
            <v>CARLOS IGNACIO</v>
          </cell>
          <cell r="U191" t="str">
            <v>CURIEL</v>
          </cell>
          <cell r="V191" t="str">
            <v>DUEÑAS</v>
          </cell>
          <cell r="W191" t="str">
            <v>CONSTRUCTORA CECUCHI, S.A. DE C.V.</v>
          </cell>
          <cell r="X191" t="str">
            <v>CCE130723IR7</v>
          </cell>
          <cell r="AD191">
            <v>42972</v>
          </cell>
          <cell r="AJ191">
            <v>8061619.2000000002</v>
          </cell>
          <cell r="AL191" t="str">
            <v>Construcción de la calle Prolongación Acueducto con concreto hidráulico de Av. Santa Margarita a Av. Santa Esther, en la zona de Santa Margarita (segunda etapa), en el municipio de Zapopan, Jalisco.</v>
          </cell>
          <cell r="AM191">
            <v>42973</v>
          </cell>
          <cell r="AN191">
            <v>43095</v>
          </cell>
          <cell r="AS191" t="str">
            <v>Col. Santa Margarita</v>
          </cell>
        </row>
        <row r="192">
          <cell r="D192" t="str">
            <v>DOPI-FED-PR-PAV-LP-108-2017</v>
          </cell>
          <cell r="T192" t="str">
            <v>ARTURO</v>
          </cell>
          <cell r="U192" t="str">
            <v>SARMIENTO</v>
          </cell>
          <cell r="V192" t="str">
            <v>SÁNCHEZ</v>
          </cell>
          <cell r="W192" t="str">
            <v>CONSTRUBRAVO, S.A. DE C.V.</v>
          </cell>
          <cell r="X192" t="str">
            <v>CON020208696</v>
          </cell>
          <cell r="AD192">
            <v>42972</v>
          </cell>
          <cell r="AJ192">
            <v>5305113.72</v>
          </cell>
          <cell r="AL192" t="str">
            <v>Construcción de la calle Ozomatli con concreto hidráulico de calle Cholollan a calle Deli, en la zona de la Mesa Colorada (segunda etapa), en el municipio de Zapopan, Jalisco.</v>
          </cell>
          <cell r="AM192">
            <v>42973</v>
          </cell>
          <cell r="AN192">
            <v>43095</v>
          </cell>
          <cell r="AS192" t="str">
            <v>Col. Mesa Colorada</v>
          </cell>
        </row>
        <row r="193">
          <cell r="D193" t="str">
            <v>DOPI-FED-PR-PAV-LP-109-2017</v>
          </cell>
          <cell r="T193" t="str">
            <v>FRANCISCO JAVIER</v>
          </cell>
          <cell r="U193" t="str">
            <v>DÍAZ</v>
          </cell>
          <cell r="V193" t="str">
            <v>RUÍZ</v>
          </cell>
          <cell r="W193" t="str">
            <v>CONSTRUCTORA DIRU, S.A. DE C.V.</v>
          </cell>
          <cell r="X193" t="str">
            <v>CDI950714B79</v>
          </cell>
          <cell r="AD193">
            <v>42972</v>
          </cell>
          <cell r="AJ193">
            <v>4728157.01</v>
          </cell>
          <cell r="AL193" t="str">
            <v>Construcción de la calle Ocampo con concreto hidráulico de calle Independencia a calle Parral, en la zona de San Juan de Ocotan (segunda etapa), en el municipio de Zapopan, Jalisco.</v>
          </cell>
          <cell r="AM193">
            <v>42973</v>
          </cell>
          <cell r="AN193">
            <v>43095</v>
          </cell>
          <cell r="AS193" t="str">
            <v>San Juan de Ocotán</v>
          </cell>
        </row>
        <row r="194">
          <cell r="D194" t="str">
            <v>DOPI-FED-PR-PAV-LP-110-2017</v>
          </cell>
          <cell r="T194" t="str">
            <v>HAYDEE LILIANA</v>
          </cell>
          <cell r="U194" t="str">
            <v>AGUILAR</v>
          </cell>
          <cell r="V194" t="str">
            <v>CASSIAN</v>
          </cell>
          <cell r="W194" t="str">
            <v>EDIFICA 2001, S.A. DE C.V.</v>
          </cell>
          <cell r="X194" t="str">
            <v>EDM970225I68</v>
          </cell>
          <cell r="AD194">
            <v>42972</v>
          </cell>
          <cell r="AJ194">
            <v>4477432.29</v>
          </cell>
          <cell r="AL194" t="str">
            <v>Construcción de la calle Tulipanes con concreto hidráulico de Prolongación Acueducto a Av. Santa Margarita, en la zona de Santa Margarita (segunda etapa), en el municipio de Zapopan, Jalisco.</v>
          </cell>
          <cell r="AM194">
            <v>42973</v>
          </cell>
          <cell r="AN194">
            <v>43095</v>
          </cell>
          <cell r="AS194" t="str">
            <v>Col. Santa Margarita</v>
          </cell>
        </row>
        <row r="195">
          <cell r="D195" t="str">
            <v>DOPI-FED-PR-PAV-LP-111-2017</v>
          </cell>
          <cell r="T195" t="str">
            <v>ANDRÉS EDUARDO</v>
          </cell>
          <cell r="U195" t="str">
            <v>ACEVES</v>
          </cell>
          <cell r="V195" t="str">
            <v>CASTAÑEDA</v>
          </cell>
          <cell r="W195" t="str">
            <v>SECRI CONSTRUCTORA, S.A. DE C.V.</v>
          </cell>
          <cell r="X195" t="str">
            <v>SCO100609EVA</v>
          </cell>
          <cell r="AD195">
            <v>42972</v>
          </cell>
          <cell r="AJ195">
            <v>6757768.5199999996</v>
          </cell>
          <cell r="AL195" t="str">
            <v>Construcción de la calle Magnolia con concreto hidráulico de Prolongación Acueducto a Av. Santa Margarita, en la zona de Santa Margarita (segunda etapa), en el municipio de Zapopan, Jalisco.</v>
          </cell>
          <cell r="AM195">
            <v>42973</v>
          </cell>
          <cell r="AN195">
            <v>43095</v>
          </cell>
          <cell r="AS195" t="str">
            <v>Col. Santa Margarita</v>
          </cell>
        </row>
        <row r="196">
          <cell r="D196" t="str">
            <v>DOPI-MUN-R33R-DS-CI-112-2017</v>
          </cell>
          <cell r="T196" t="str">
            <v>ERICK</v>
          </cell>
          <cell r="U196" t="str">
            <v>VILLASEÑOR</v>
          </cell>
          <cell r="V196" t="str">
            <v>GUTIÉRREZ</v>
          </cell>
          <cell r="W196" t="str">
            <v>PIXIDE CONSTRUCTORA, S.A. DE C.V.</v>
          </cell>
          <cell r="X196" t="str">
            <v>PCO140829425</v>
          </cell>
          <cell r="AD196">
            <v>42985</v>
          </cell>
          <cell r="AJ196">
            <v>2089350.02</v>
          </cell>
          <cell r="AM196">
            <v>42986</v>
          </cell>
          <cell r="AN196">
            <v>43060</v>
          </cell>
          <cell r="AS196" t="str">
            <v>Colonia Pedregal de Milpillas</v>
          </cell>
        </row>
        <row r="197">
          <cell r="D197" t="str">
            <v>DOPI-MUN-R33R-IH-CI-113-2017</v>
          </cell>
          <cell r="T197" t="str">
            <v>ADALBERTO</v>
          </cell>
          <cell r="U197" t="str">
            <v>MEDINA</v>
          </cell>
          <cell r="V197" t="str">
            <v>MORALES</v>
          </cell>
          <cell r="W197" t="str">
            <v>URDEM, S.A. DE C.V.</v>
          </cell>
          <cell r="X197" t="str">
            <v>URD130830U21</v>
          </cell>
          <cell r="AD197">
            <v>42985</v>
          </cell>
          <cell r="AJ197">
            <v>2233095.61</v>
          </cell>
          <cell r="AM197">
            <v>42986</v>
          </cell>
          <cell r="AN197">
            <v>43060</v>
          </cell>
          <cell r="AS197" t="str">
            <v>Colonia Revolución</v>
          </cell>
        </row>
        <row r="198">
          <cell r="D198" t="str">
            <v>DOPI-EST-FOCOCI-IU-LP-114-2017</v>
          </cell>
          <cell r="T198" t="str">
            <v>JOSÉ ANTONIO</v>
          </cell>
          <cell r="U198" t="str">
            <v>CISNEROS</v>
          </cell>
          <cell r="V198" t="str">
            <v>CASTILLO</v>
          </cell>
          <cell r="W198" t="str">
            <v>AXIOMA PROYECTOS E INGENIERIA, S.A. DE C.V.</v>
          </cell>
          <cell r="X198" t="str">
            <v>APE111122MI0</v>
          </cell>
          <cell r="AD198">
            <v>42972</v>
          </cell>
          <cell r="AJ198">
            <v>8779696.0700000003</v>
          </cell>
          <cell r="AL198" t="str">
            <v>Construcción de Centro Comunitario San Juan de Ocotán, en el municipio de Zapopan, Jalisco.</v>
          </cell>
          <cell r="AM198">
            <v>42972</v>
          </cell>
          <cell r="AN198">
            <v>43077</v>
          </cell>
          <cell r="AS198" t="str">
            <v>San Juan de Ocotán</v>
          </cell>
        </row>
        <row r="199">
          <cell r="D199" t="str">
            <v>DOPI-EST-CM-PAV-LP-115-2017</v>
          </cell>
          <cell r="T199" t="str">
            <v>IGNACIO JAVIER</v>
          </cell>
          <cell r="U199" t="str">
            <v>CURIEL</v>
          </cell>
          <cell r="V199" t="str">
            <v>DUEÑAS</v>
          </cell>
          <cell r="W199" t="str">
            <v>TC CONSTRUCCIÓN Y MANTENIMIENTO, S.A. DE C.V.</v>
          </cell>
          <cell r="X199" t="str">
            <v>TCM100915HA1</v>
          </cell>
          <cell r="AD199">
            <v>42972</v>
          </cell>
          <cell r="AJ199">
            <v>15421203.91</v>
          </cell>
          <cell r="AL199" t="str">
            <v>Renovación urbana en área habitacional y de zona comercial de solución vial Parres Arias, en el municipio de Zapopan, Jalisco, frente 1.</v>
          </cell>
          <cell r="AM199">
            <v>42972</v>
          </cell>
          <cell r="AN199">
            <v>43093</v>
          </cell>
          <cell r="AS199" t="str">
            <v>Parque Industrial Los Belenes</v>
          </cell>
        </row>
        <row r="200">
          <cell r="D200" t="str">
            <v>DOPI-EST-CM-PAV-LP-116-2017</v>
          </cell>
          <cell r="T200" t="str">
            <v>RODRIGO</v>
          </cell>
          <cell r="U200" t="str">
            <v>RAMOS</v>
          </cell>
          <cell r="V200" t="str">
            <v>GARIBI</v>
          </cell>
          <cell r="W200" t="str">
            <v>CINCO CONTEMPORANEA, S.A. DE C.V.</v>
          </cell>
          <cell r="X200" t="str">
            <v>CCO990211T64</v>
          </cell>
          <cell r="AD200">
            <v>42972</v>
          </cell>
          <cell r="AJ200">
            <v>15180002.890000001</v>
          </cell>
          <cell r="AL200" t="str">
            <v>Renovación urbana en área habitacional y de zona comercial de solución vial Parres Arias, en el municipio de Zapopan, Jalisco, frente 2.</v>
          </cell>
          <cell r="AM200">
            <v>42972</v>
          </cell>
          <cell r="AN200">
            <v>43093</v>
          </cell>
          <cell r="AS200" t="str">
            <v>Parque Industrial Los Belenes</v>
          </cell>
        </row>
        <row r="201">
          <cell r="D201" t="str">
            <v>DOPI-MUN-R33R-DS-CI-117-2017</v>
          </cell>
          <cell r="T201" t="str">
            <v>VICTOR</v>
          </cell>
          <cell r="U201" t="str">
            <v>ZAYAS</v>
          </cell>
          <cell r="V201" t="str">
            <v>RIQUELME</v>
          </cell>
          <cell r="W201" t="str">
            <v>GEMINIS INTERNACIONAL CONSTRUCTORA, S.A. DE C.V.</v>
          </cell>
          <cell r="X201" t="str">
            <v>GIC810323RA6</v>
          </cell>
          <cell r="AD201">
            <v>42985</v>
          </cell>
          <cell r="AJ201">
            <v>4243025.28</v>
          </cell>
          <cell r="AM201">
            <v>42986</v>
          </cell>
          <cell r="AN201">
            <v>43083</v>
          </cell>
          <cell r="AS201" t="str">
            <v>Colonia Colinas del Rio</v>
          </cell>
        </row>
        <row r="202">
          <cell r="D202" t="str">
            <v>DOPI-MUN-R33R-PAV-CI-118-2017</v>
          </cell>
          <cell r="T202" t="str">
            <v>AARON</v>
          </cell>
          <cell r="U202" t="str">
            <v>AMARAL</v>
          </cell>
          <cell r="V202" t="str">
            <v>LÓPEZ</v>
          </cell>
          <cell r="W202" t="str">
            <v>GLOBAL CONSTRUCCIÓNES Y CONSULTORIA, S.A. DE C.V.</v>
          </cell>
          <cell r="X202" t="str">
            <v>GCC1102098R8</v>
          </cell>
          <cell r="AD202">
            <v>42985</v>
          </cell>
          <cell r="AJ202">
            <v>3570586.87</v>
          </cell>
          <cell r="AM202">
            <v>42986</v>
          </cell>
          <cell r="AN202">
            <v>43075</v>
          </cell>
          <cell r="AS202" t="str">
            <v>Colonia El Fresno</v>
          </cell>
        </row>
        <row r="203">
          <cell r="B203" t="str">
            <v>Licitación por Invitación Restringida</v>
          </cell>
          <cell r="D203" t="str">
            <v>DOPI-MUN-RM-PAV-CI-145-2017</v>
          </cell>
          <cell r="T203" t="str">
            <v>MARIO</v>
          </cell>
          <cell r="U203" t="str">
            <v>BELTRÁN</v>
          </cell>
          <cell r="V203" t="str">
            <v>RODRÍGUEZ Y SUSARREY</v>
          </cell>
          <cell r="W203" t="str">
            <v>CONSTRUCTORA Y DESARROLLADORA BARBA Y ASOCIADOS, S.A. DE C.V.</v>
          </cell>
          <cell r="X203" t="str">
            <v>CDB0506068Z4</v>
          </cell>
          <cell r="AD203">
            <v>42975</v>
          </cell>
          <cell r="AJ203">
            <v>3192151.8</v>
          </cell>
          <cell r="AL203" t="str">
            <v>Programa emergente de bacheo, renivelaciones y sellado en vialidades, Zonas Norte y Centro, municipio de Zapopan, Jalisco.</v>
          </cell>
          <cell r="AM203">
            <v>42975</v>
          </cell>
          <cell r="AN203">
            <v>43035</v>
          </cell>
          <cell r="AS203" t="str">
            <v>Zonas Norte y Centro</v>
          </cell>
        </row>
        <row r="204">
          <cell r="B204" t="str">
            <v>Licitación por Invitación Restringida</v>
          </cell>
          <cell r="D204" t="str">
            <v>DOPI-MUN-RM-PAV-CI-146-2017</v>
          </cell>
          <cell r="T204" t="str">
            <v>ÁNGEL SALOMÓN</v>
          </cell>
          <cell r="U204" t="str">
            <v>RINCÓN</v>
          </cell>
          <cell r="V204" t="str">
            <v>DE LA ROSA</v>
          </cell>
          <cell r="W204" t="str">
            <v>ARO ASFALTOS Y RIEGOS DE OCCIDENTE, S.A. DE C.V.</v>
          </cell>
          <cell r="X204" t="str">
            <v>AAR120507VA9</v>
          </cell>
          <cell r="AD204">
            <v>42975</v>
          </cell>
          <cell r="AJ204">
            <v>3149824.73</v>
          </cell>
          <cell r="AL204" t="str">
            <v>Programa emergente de bacheo, renivelaciones y sellado en vialidades, Zonas Sur y Surponiente, municipio de Zapopan, Jalisco.</v>
          </cell>
          <cell r="AM204">
            <v>42975</v>
          </cell>
          <cell r="AN204">
            <v>43035</v>
          </cell>
          <cell r="AS204" t="str">
            <v>Zonas Sur y Surponiente</v>
          </cell>
        </row>
        <row r="205">
          <cell r="B205" t="str">
            <v>Licitación por Invitación Restringida</v>
          </cell>
          <cell r="D205" t="str">
            <v>DOPI-MUN-RM-PAV-CI-147-2017</v>
          </cell>
          <cell r="T205" t="str">
            <v>RODRIGO</v>
          </cell>
          <cell r="U205" t="str">
            <v>RAMOS</v>
          </cell>
          <cell r="V205" t="str">
            <v>GARIBI</v>
          </cell>
          <cell r="W205" t="str">
            <v>METRO ASFALTOS, S.A. DE C.V.</v>
          </cell>
          <cell r="X205" t="str">
            <v>CMA070307RU6</v>
          </cell>
          <cell r="AD205">
            <v>42975</v>
          </cell>
          <cell r="AJ205">
            <v>2697299.66</v>
          </cell>
          <cell r="AL205" t="str">
            <v>Programa emergente de bacheo, renivelaciones y sellado en vialidades, Zona Poniente, Frente 2, municipio de Zapopan, Jalisco.</v>
          </cell>
          <cell r="AM205">
            <v>42975</v>
          </cell>
          <cell r="AN205">
            <v>43035</v>
          </cell>
          <cell r="AS205" t="str">
            <v>Zona Poniente</v>
          </cell>
        </row>
        <row r="206">
          <cell r="B206" t="str">
            <v>Licitación por Invitación Restringida</v>
          </cell>
          <cell r="D206" t="str">
            <v>DOPI-MUN-RM-PAV-CI-148-2017</v>
          </cell>
          <cell r="T206" t="str">
            <v>JOSÉ DE JESÚS</v>
          </cell>
          <cell r="U206" t="str">
            <v>ROMERO</v>
          </cell>
          <cell r="V206" t="str">
            <v>GARCÍA</v>
          </cell>
          <cell r="W206" t="str">
            <v>URBANIZADORA Y CONSTRUCTORA ROAL, S.A. DE C.V.</v>
          </cell>
          <cell r="X206" t="str">
            <v>URC160310857</v>
          </cell>
          <cell r="AD206">
            <v>42975</v>
          </cell>
          <cell r="AJ206">
            <v>2255906.54</v>
          </cell>
          <cell r="AL206" t="str">
            <v>Programa emergente de bacheo, renivelaciones y sellado en vialidades, Zonas Norte y Norponiente, municipio de Zapopan, Jalisco.</v>
          </cell>
          <cell r="AM206">
            <v>42975</v>
          </cell>
          <cell r="AN206">
            <v>43035</v>
          </cell>
          <cell r="AS206" t="str">
            <v>Zonas Norte y Norponiente</v>
          </cell>
        </row>
        <row r="207">
          <cell r="B207" t="str">
            <v>Licitación por Invitación Restringida</v>
          </cell>
          <cell r="D207" t="str">
            <v>DOPI-MUN-R33R-DS-CI-149-2017</v>
          </cell>
          <cell r="T207" t="str">
            <v>OMAR</v>
          </cell>
          <cell r="U207" t="str">
            <v>MORA</v>
          </cell>
          <cell r="V207" t="str">
            <v>MONTES DE OCA</v>
          </cell>
          <cell r="W207" t="str">
            <v>DOMMONT CONSTRUCCIÓNES, S.A. DE C.V.</v>
          </cell>
          <cell r="X207" t="str">
            <v>DCO130215C16</v>
          </cell>
          <cell r="AD207">
            <v>42975</v>
          </cell>
          <cell r="AJ207">
            <v>4249089</v>
          </cell>
          <cell r="AL207" t="str">
            <v>Construcción de colector de aguas negras sobre arroyo, de calle Cholollán a calle Paseo de las Bugambilias,  construcción de drenaje en la calle Paseo del Manzano y calle Nogal en la colonia Mesa de los Ocotes, municipio de Zapopan, Jalisco.</v>
          </cell>
          <cell r="AM207">
            <v>42975</v>
          </cell>
          <cell r="AN207">
            <v>43079</v>
          </cell>
          <cell r="AR207" t="str">
            <v>Remanentes del FAISM 2010-2015</v>
          </cell>
          <cell r="AS207" t="str">
            <v>Col. Mesa de los Ocotes</v>
          </cell>
        </row>
        <row r="208">
          <cell r="B208" t="str">
            <v>Licitación por Invitación Restringida</v>
          </cell>
          <cell r="D208" t="str">
            <v>DOPI-MUN-R33-DS-CI-150-2017</v>
          </cell>
          <cell r="T208" t="str">
            <v xml:space="preserve">RODOLFO </v>
          </cell>
          <cell r="U208" t="str">
            <v xml:space="preserve">VELAZQUEZ </v>
          </cell>
          <cell r="V208" t="str">
            <v>ORDOÑEZ</v>
          </cell>
          <cell r="W208" t="str">
            <v>VELAZQUEZ INGENIERIA ECOLOGICA, S.A. DE C.V.</v>
          </cell>
          <cell r="X208" t="str">
            <v>VIE110125RL4</v>
          </cell>
          <cell r="AD208">
            <v>42975</v>
          </cell>
          <cell r="AJ208">
            <v>6378234.8399999999</v>
          </cell>
          <cell r="AL208" t="str">
            <v>Construcción de red de agua potable y drenaje sanitario en la colonia Lomas del Centinela 2, municipio de Zapopan, Jalisco. Primera etapa.</v>
          </cell>
          <cell r="AM208">
            <v>42975</v>
          </cell>
          <cell r="AN208">
            <v>43079</v>
          </cell>
          <cell r="AR208" t="str">
            <v>Fondo para la Infraestructura Social Municipal 2017</v>
          </cell>
          <cell r="AS208" t="str">
            <v>Col. Lomas del Centinela 2</v>
          </cell>
        </row>
        <row r="209">
          <cell r="B209" t="str">
            <v>Licitación por Invitación Restringida</v>
          </cell>
          <cell r="D209" t="str">
            <v>DOPI-MUN-R33R-DS-CI-151-2017</v>
          </cell>
          <cell r="T209" t="str">
            <v xml:space="preserve">EDUARDO </v>
          </cell>
          <cell r="U209" t="str">
            <v>CRUZ</v>
          </cell>
          <cell r="V209" t="str">
            <v>MOGUEL</v>
          </cell>
          <cell r="W209" t="str">
            <v>BALKEN, S.A. DE C.V.</v>
          </cell>
          <cell r="X209" t="str">
            <v>BAL990803661</v>
          </cell>
          <cell r="AD209">
            <v>42975</v>
          </cell>
          <cell r="AJ209">
            <v>6048490.1900000004</v>
          </cell>
          <cell r="AL209" t="str">
            <v>Construcción de red de drenaje en las calles Oxtol, Zochiquetzal, Texcoco, Cuaticue, Pachtli y Negri en la colonia Mesa Colorada Poniente, municipio de Zapopan, Jalisco.</v>
          </cell>
          <cell r="AM209">
            <v>42975</v>
          </cell>
          <cell r="AN209">
            <v>43079</v>
          </cell>
          <cell r="AR209" t="str">
            <v>Remanentes del FAISM 2010-2015</v>
          </cell>
          <cell r="AS209" t="str">
            <v>Col. Mesa Colorada</v>
          </cell>
        </row>
        <row r="210">
          <cell r="B210" t="str">
            <v>Licitación por Invitación Restringida</v>
          </cell>
          <cell r="D210" t="str">
            <v>DOPI-MUN-R33R-IH-CI-152-2017</v>
          </cell>
          <cell r="T210" t="str">
            <v xml:space="preserve">EDUARDO </v>
          </cell>
          <cell r="U210" t="str">
            <v>MORA</v>
          </cell>
          <cell r="V210" t="str">
            <v>BLACKALLER</v>
          </cell>
          <cell r="W210" t="str">
            <v>GRUPO CONSTRUCTOR INNOBLACK, S.A. DE C.V.</v>
          </cell>
          <cell r="X210" t="str">
            <v>GCI070523CW4</v>
          </cell>
          <cell r="AD210">
            <v>42975</v>
          </cell>
          <cell r="AJ210">
            <v>2284098.15</v>
          </cell>
          <cell r="AL210" t="str">
            <v>Construcción de línea de conducción del poblado San Rafael hasta el poblado Río Blanco y construcción de línea de conducción del pozo al tanque en el poblado de Río Blanco en la colonia San Rafael y Río Blanco, Municipio de Zapopan, Jalisco.</v>
          </cell>
          <cell r="AM210">
            <v>42975</v>
          </cell>
          <cell r="AN210">
            <v>43079</v>
          </cell>
          <cell r="AR210" t="str">
            <v>Remanentes del FAISM 2010-2015</v>
          </cell>
          <cell r="AS210" t="str">
            <v>Col. San Rafael y Rio Blanco</v>
          </cell>
        </row>
        <row r="211">
          <cell r="B211" t="str">
            <v>Licitación por Invitación Restringida</v>
          </cell>
          <cell r="D211" t="str">
            <v>DOPI-MUN-R33R-IH-CI-153-2017</v>
          </cell>
          <cell r="T211" t="str">
            <v>MIGUEL ÁNGEL</v>
          </cell>
          <cell r="U211" t="str">
            <v>ROMERO</v>
          </cell>
          <cell r="V211" t="str">
            <v>LUGO</v>
          </cell>
          <cell r="W211" t="str">
            <v>OBRAS Y COMERCIALIZACION DE LA CONSTRUCCIÓN, S.A. DE C.V.</v>
          </cell>
          <cell r="X211" t="str">
            <v>OCC940714PB0</v>
          </cell>
          <cell r="AD211">
            <v>42975</v>
          </cell>
          <cell r="AJ211">
            <v>3699901.7</v>
          </cell>
          <cell r="AL211" t="str">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ell>
          <cell r="AM211">
            <v>42975</v>
          </cell>
          <cell r="AN211">
            <v>43079</v>
          </cell>
          <cell r="AR211" t="str">
            <v>Remanentes del FAISM 2010-2015</v>
          </cell>
          <cell r="AS211" t="str">
            <v>Colonias La Vinatera y Ejido Copalita</v>
          </cell>
        </row>
        <row r="212">
          <cell r="B212" t="str">
            <v>Licitación por Invitación Restringida</v>
          </cell>
          <cell r="D212" t="str">
            <v>DOPI-MUN-R33R-PAV-CI-154-2017</v>
          </cell>
          <cell r="T212" t="str">
            <v>EDWIN</v>
          </cell>
          <cell r="U212" t="str">
            <v>AGUIAR</v>
          </cell>
          <cell r="V212" t="str">
            <v>ESCATEL</v>
          </cell>
          <cell r="W212" t="str">
            <v>MANJARREZ URBANIZACIONES, S.A. DE C.V.</v>
          </cell>
          <cell r="X212" t="str">
            <v>MUR090325P33</v>
          </cell>
          <cell r="AD212">
            <v>42975</v>
          </cell>
          <cell r="AJ212">
            <v>3973341.33</v>
          </cell>
          <cell r="AL212" t="str">
            <v>Pavimentación de las calles Cofradía y Panteón, incluye: red de agua potable y de drenaje sanitario en la colonia La Venta del Astillero, municipio de Zapopan, Jalisco.</v>
          </cell>
          <cell r="AM212">
            <v>42975</v>
          </cell>
          <cell r="AN212">
            <v>43079</v>
          </cell>
          <cell r="AR212" t="str">
            <v>Remanentes del FAISM 2010-2015</v>
          </cell>
          <cell r="AS212" t="str">
            <v>Col. Venta del Astillero</v>
          </cell>
        </row>
        <row r="213">
          <cell r="B213" t="str">
            <v>Licitación por Invitación Restringida</v>
          </cell>
          <cell r="D213" t="str">
            <v>DOPI-MUN-R33R-PAV-CI-155-2017</v>
          </cell>
          <cell r="T213" t="str">
            <v xml:space="preserve">MARCO ANTONIO </v>
          </cell>
          <cell r="U213" t="str">
            <v>LOZANO</v>
          </cell>
          <cell r="V213" t="str">
            <v>ESTRADA</v>
          </cell>
          <cell r="W213" t="str">
            <v>DESARROLLADORA FULHAM S. DE R.L. DE C.V.</v>
          </cell>
          <cell r="X213" t="str">
            <v>DFU090928JB5</v>
          </cell>
          <cell r="AD213">
            <v>42975</v>
          </cell>
          <cell r="AJ213">
            <v>4555855.34</v>
          </cell>
          <cell r="AL213" t="str">
            <v>Pavimentación de la calle Manzanos y andadores en la colonia Agua Fría, municipio de Zapopan, Jalisco.</v>
          </cell>
          <cell r="AM213">
            <v>42975</v>
          </cell>
          <cell r="AN213">
            <v>43079</v>
          </cell>
          <cell r="AR213" t="str">
            <v>Remanentes del FAISM 2010-2015</v>
          </cell>
          <cell r="AS213" t="str">
            <v>Col. Agua Fria</v>
          </cell>
        </row>
        <row r="214">
          <cell r="B214" t="str">
            <v>Licitación por Invitación Restringida</v>
          </cell>
          <cell r="D214" t="str">
            <v>DOPI-MUN-R33R-DS-CI-157-2017</v>
          </cell>
          <cell r="T214" t="str">
            <v>CLAUDIO FELIPE</v>
          </cell>
          <cell r="U214" t="str">
            <v>TRUJILLO</v>
          </cell>
          <cell r="V214" t="str">
            <v>GRACIAN</v>
          </cell>
          <cell r="W214" t="str">
            <v>DESARROLLADORA LUMADI, S.A. DE C.V.</v>
          </cell>
          <cell r="X214" t="str">
            <v>DLU100818F46</v>
          </cell>
          <cell r="AD214">
            <v>42975</v>
          </cell>
          <cell r="AJ214">
            <v>4388451.67</v>
          </cell>
          <cell r="AL214" t="str">
            <v>Construcción de Colector y red de drenaje sanitario en las calles Naranjo, Mandarina, Chabacano, Limón, Manzano, Mango, Las Torres, Guamúchil y Capulín en la colonia Colinas del Rio, municipio de Zapopan, Jalisco. Frente 1.</v>
          </cell>
          <cell r="AM214">
            <v>42975</v>
          </cell>
          <cell r="AN214">
            <v>43079</v>
          </cell>
          <cell r="AR214" t="str">
            <v>Remanentes del FAISM 2010-2015</v>
          </cell>
          <cell r="AS214" t="str">
            <v>Col. Colinas del Rio</v>
          </cell>
        </row>
        <row r="215">
          <cell r="B215" t="str">
            <v>Licitación por Invitación Restringida</v>
          </cell>
          <cell r="D215" t="str">
            <v>DOPI-MUN-R33R-PAV-CI-158-2017</v>
          </cell>
          <cell r="T215" t="str">
            <v>JUAN JOSÉ</v>
          </cell>
          <cell r="U215" t="str">
            <v>GUTIÉRREZ</v>
          </cell>
          <cell r="V215" t="str">
            <v>CONTRERAS</v>
          </cell>
          <cell r="W215" t="str">
            <v>RENCOIST CONSTRUCCIÓNES, S.A. DE C.V.</v>
          </cell>
          <cell r="X215" t="str">
            <v>RCO130920JX9</v>
          </cell>
          <cell r="AD215">
            <v>42975</v>
          </cell>
          <cell r="AJ215">
            <v>3902689.29</v>
          </cell>
          <cell r="AL215" t="str">
            <v>Pavimentación con concreto hidráulico y complemento de las redes de agua potable y drenaje sanitario en calles de la colonia El Fresno, incluye: guarniciones, banquetas, servicios complementarios y señalética, en el municipio de Zapopan, Jalisco, primera etapa, frente 1.</v>
          </cell>
          <cell r="AM215">
            <v>42975</v>
          </cell>
          <cell r="AN215">
            <v>43079</v>
          </cell>
          <cell r="AR215" t="str">
            <v>Remanentes del FAISM 2010-2015</v>
          </cell>
          <cell r="AS215" t="str">
            <v>Col. El Fresno</v>
          </cell>
        </row>
        <row r="216">
          <cell r="B216" t="str">
            <v>Licitación por Invitación Restringida</v>
          </cell>
          <cell r="D216" t="str">
            <v>DOPI-MUN-R33R-DS-CI-159-2017</v>
          </cell>
          <cell r="T216" t="str">
            <v>ELVIA ALEJANDRA</v>
          </cell>
          <cell r="U216" t="str">
            <v>TORRES</v>
          </cell>
          <cell r="V216" t="str">
            <v>VILLA</v>
          </cell>
          <cell r="W216" t="str">
            <v>PROCOURZA, S.A. DE C.V.</v>
          </cell>
          <cell r="X216" t="str">
            <v>PRO0205208F2</v>
          </cell>
          <cell r="AD216">
            <v>42975</v>
          </cell>
          <cell r="AJ216">
            <v>4300702.76</v>
          </cell>
          <cell r="AL216" t="str">
            <v>Construcción de Red de drenaje sanitario y línea de alejamiento en calles de la Colonia Rancho El Colorado, municipio de Zapopan, Jalisco. Frente 1.</v>
          </cell>
          <cell r="AM216">
            <v>42975</v>
          </cell>
          <cell r="AN216">
            <v>43079</v>
          </cell>
          <cell r="AR216" t="str">
            <v>Remanentes del FAISM 2010-2015</v>
          </cell>
          <cell r="AS216" t="str">
            <v>Col. Rancho el Colorado</v>
          </cell>
        </row>
        <row r="217">
          <cell r="B217" t="str">
            <v>Licitación por Invitación Restringida</v>
          </cell>
          <cell r="D217" t="str">
            <v>DOPI-MUN-R33R-DS-CI-160-2017</v>
          </cell>
          <cell r="T217" t="str">
            <v>MARÍA ARCELIA</v>
          </cell>
          <cell r="U217" t="str">
            <v>IÑIGUEZ</v>
          </cell>
          <cell r="V217" t="str">
            <v>HERNÁNDEZ</v>
          </cell>
          <cell r="W217" t="str">
            <v>COMERCIALIZADORA POLIGONO, S..A DE C.V.</v>
          </cell>
          <cell r="X217" t="str">
            <v>COP1209104M8</v>
          </cell>
          <cell r="AD217">
            <v>42975</v>
          </cell>
          <cell r="AJ217">
            <v>4367052.4800000004</v>
          </cell>
          <cell r="AL217" t="str">
            <v>Construcción de Red de drenaje sanitario y línea de alejamiento en calles de la Colonia Rancho El Colorado, municipio de Zapopan, Jalisco. Frente 2.</v>
          </cell>
          <cell r="AM217">
            <v>42975</v>
          </cell>
          <cell r="AN217">
            <v>43079</v>
          </cell>
          <cell r="AR217" t="str">
            <v>Remanentes del FAISM 2010-2015</v>
          </cell>
          <cell r="AS217" t="str">
            <v>Col. Rancho el Colorado</v>
          </cell>
        </row>
        <row r="218">
          <cell r="B218" t="str">
            <v>Licitación por Invitación Restringida</v>
          </cell>
          <cell r="D218" t="str">
            <v>DOPI-MUN-R33R-DP-CI-161-2017</v>
          </cell>
          <cell r="T218" t="str">
            <v>JAVIER</v>
          </cell>
          <cell r="U218" t="str">
            <v xml:space="preserve">ÁVILA </v>
          </cell>
          <cell r="V218" t="str">
            <v>FLORES</v>
          </cell>
          <cell r="W218" t="str">
            <v>SAVHO CONSULTORÍA Y CONSTRUCCIÓN, S.A. DE C.V.</v>
          </cell>
          <cell r="X218" t="str">
            <v>SCC060622HZ3</v>
          </cell>
          <cell r="AD218">
            <v>42985</v>
          </cell>
          <cell r="AJ218">
            <v>3237831.14</v>
          </cell>
          <cell r="AL218" t="str">
            <v xml:space="preserve">Construcción de drenaje pluvial en la calle Santa Mercedez de Av. Tesistán a Av. Jesús, colonia Tuzania Ejidal, municipio de Zapopan, Jalisco. </v>
          </cell>
          <cell r="AM218">
            <v>42986</v>
          </cell>
          <cell r="AN218">
            <v>43083</v>
          </cell>
          <cell r="AR218" t="str">
            <v>Remanentes del FAISM 2010-2015</v>
          </cell>
          <cell r="AS218" t="str">
            <v>Colonia Tuzania Ejidal</v>
          </cell>
        </row>
        <row r="219">
          <cell r="B219" t="str">
            <v>Licitación por Invitación Restringida</v>
          </cell>
          <cell r="D219" t="str">
            <v>DOPI-MUN-R33R-IH-CI-162-2017</v>
          </cell>
          <cell r="T219" t="str">
            <v>JAVIER</v>
          </cell>
          <cell r="U219" t="str">
            <v>CHACON</v>
          </cell>
          <cell r="V219" t="str">
            <v>BENAVIDES</v>
          </cell>
          <cell r="W219" t="str">
            <v>CIARCO CONSTRUCTORA, S.A. DE C.V.</v>
          </cell>
          <cell r="X219" t="str">
            <v>CCO9407296S3</v>
          </cell>
          <cell r="AD219">
            <v>42985</v>
          </cell>
          <cell r="AJ219">
            <v>2278926.08</v>
          </cell>
          <cell r="AL219" t="str">
            <v>Construcción de línea de conducción y rehabilitación de tanques en las colonias San Isidro y San Esteban, municipio de Zapopan, Jalisco.</v>
          </cell>
          <cell r="AM219">
            <v>42986</v>
          </cell>
          <cell r="AN219">
            <v>43075</v>
          </cell>
          <cell r="AR219" t="str">
            <v>Remanentes del FAISM 2010-2015</v>
          </cell>
          <cell r="AS219" t="str">
            <v>Colonias San Isidro y San Esteban</v>
          </cell>
        </row>
        <row r="220">
          <cell r="B220" t="str">
            <v>Licitación Pública</v>
          </cell>
          <cell r="D220" t="str">
            <v>DOPI-EST-FOCOCI-IU-LP-164-2017</v>
          </cell>
          <cell r="T220" t="str">
            <v>ERNESTO</v>
          </cell>
          <cell r="U220" t="str">
            <v>OLIVARES</v>
          </cell>
          <cell r="V220" t="str">
            <v>ÁLVAREZ</v>
          </cell>
          <cell r="W220" t="str">
            <v>SERVICIOS METROPOLITANOS DE JALISCO, S.A. DE C.V.</v>
          </cell>
          <cell r="X220" t="str">
            <v>SMJ090317FS9</v>
          </cell>
          <cell r="AD220">
            <v>43014</v>
          </cell>
          <cell r="AJ220">
            <v>13203258.699999999</v>
          </cell>
          <cell r="AL220" t="str">
            <v>Rehabilitación del Parque Unidad de Manejo Ambiental Villa Fantasía, en la colonia Tepeyac, frente 1, (ingreso, cafetería, área lúdica pedagógica y áreas exteriores), en el municipio de Zapopan, Jalisco.</v>
          </cell>
          <cell r="AM220">
            <v>43014</v>
          </cell>
          <cell r="AN220">
            <v>43100</v>
          </cell>
          <cell r="AR220" t="str">
            <v>FONDO COMÚN CONCURSABLE PARA LA INFRAESTRUCTURA 2017</v>
          </cell>
          <cell r="AS220" t="str">
            <v>Colonia Tepeyac</v>
          </cell>
        </row>
        <row r="221">
          <cell r="B221" t="str">
            <v>Licitación Pública</v>
          </cell>
          <cell r="D221" t="str">
            <v>DOPI-EST-FOCOCI-IU-LP-165-2017</v>
          </cell>
          <cell r="T221" t="str">
            <v>IGNACIO JAVIER</v>
          </cell>
          <cell r="U221" t="str">
            <v>CURIEL</v>
          </cell>
          <cell r="V221" t="str">
            <v>DUEÑAS</v>
          </cell>
          <cell r="W221" t="str">
            <v>TC CONSTRUCCIÓN Y MANTENIMIENTO, S.A. DE C.V.</v>
          </cell>
          <cell r="X221" t="str">
            <v>TCM100915HA1</v>
          </cell>
          <cell r="AD221">
            <v>43014</v>
          </cell>
          <cell r="AJ221">
            <v>7332126.9800000004</v>
          </cell>
          <cell r="AL221" t="str">
            <v>Rehabilitación del Parque Unidad de Manejo Ambiental Villa Fantasía, en la colonia Tepeyac, frente 2, (clínica, edificio administrativo y módulo de baños), en el municipio de Zapopan, Jalisco.</v>
          </cell>
          <cell r="AM221">
            <v>43014</v>
          </cell>
          <cell r="AN221">
            <v>43100</v>
          </cell>
          <cell r="AR221" t="str">
            <v>FONDO COMÚN CONCURSABLE PARA LA INFRAESTRUCTURA 2017</v>
          </cell>
          <cell r="AS221" t="str">
            <v>Colonia Tepeyac</v>
          </cell>
        </row>
        <row r="222">
          <cell r="B222" t="str">
            <v>Licitación Pública</v>
          </cell>
          <cell r="D222" t="str">
            <v>DOPI-EST-FOCOCI-IU-LP-166-2017</v>
          </cell>
          <cell r="T222" t="str">
            <v>ERICK</v>
          </cell>
          <cell r="U222" t="str">
            <v>VILLASEÑOR</v>
          </cell>
          <cell r="V222" t="str">
            <v>GUTIÉRREZ</v>
          </cell>
          <cell r="W222" t="str">
            <v>PIXIDE CONSTRUCTORA, S.A. DE C.V.</v>
          </cell>
          <cell r="X222" t="str">
            <v>PCO140829425</v>
          </cell>
          <cell r="AD222">
            <v>43014</v>
          </cell>
          <cell r="AJ222">
            <v>5976486.5099999998</v>
          </cell>
          <cell r="AL222" t="str">
            <v>Rehabilitación del Parque Unidad de Manejo Ambiental Villa Fantasía, en la colonia Tepeyac, frente 3, (hábitats zona 1), en el municipio de Zapopan, Jalisco.</v>
          </cell>
          <cell r="AM222">
            <v>43014</v>
          </cell>
          <cell r="AN222">
            <v>43100</v>
          </cell>
          <cell r="AR222" t="str">
            <v>FONDO COMÚN CONCURSABLE PARA LA INFRAESTRUCTURA 2017</v>
          </cell>
          <cell r="AS222" t="str">
            <v>Colonia Tepeyac</v>
          </cell>
        </row>
        <row r="223">
          <cell r="B223" t="str">
            <v>Licitación Pública</v>
          </cell>
          <cell r="D223" t="str">
            <v>DOPI-EST-FOCOCI-IU-LP-167-2017</v>
          </cell>
          <cell r="T223" t="str">
            <v>CARLOS IGNACIO</v>
          </cell>
          <cell r="U223" t="str">
            <v>CURIEL</v>
          </cell>
          <cell r="V223" t="str">
            <v>DUEÑAS</v>
          </cell>
          <cell r="W223" t="str">
            <v>CONSTRUCTORA CECUCHI, S.A. DE C.V.</v>
          </cell>
          <cell r="X223" t="str">
            <v>CCE130723IR7</v>
          </cell>
          <cell r="AD223">
            <v>43014</v>
          </cell>
          <cell r="AJ223">
            <v>5139138.4800000004</v>
          </cell>
          <cell r="AL223" t="str">
            <v>Rehabilitación del Parque Unidad de Manejo Ambiental Villa Fantasía, en la colonia Tepeyac, frente 4, (hábitats zona 2), en el municipio de Zapopan, Jalisco.</v>
          </cell>
          <cell r="AM223">
            <v>43014</v>
          </cell>
          <cell r="AN223">
            <v>43100</v>
          </cell>
          <cell r="AR223" t="str">
            <v>FONDO COMÚN CONCURSABLE PARA LA INFRAESTRUCTURA 2017</v>
          </cell>
          <cell r="AS223" t="str">
            <v>Colonia Tepeyac</v>
          </cell>
        </row>
        <row r="224">
          <cell r="B224" t="str">
            <v>Licitación Pública</v>
          </cell>
          <cell r="D224" t="str">
            <v>DOPI-EST-CONVSCT-PAV-LP-168-2017</v>
          </cell>
          <cell r="T224" t="str">
            <v>MIGUEL ÁNGEL</v>
          </cell>
          <cell r="U224" t="str">
            <v>ROMERO</v>
          </cell>
          <cell r="V224" t="str">
            <v>LUGO</v>
          </cell>
          <cell r="W224" t="str">
            <v>OBRAS Y COMERCIALIZACION DE LA CONSTRUCCIÓN, S.A. DE C.V.</v>
          </cell>
          <cell r="X224" t="str">
            <v>OCC940714PB0</v>
          </cell>
          <cell r="AD224">
            <v>43014</v>
          </cell>
          <cell r="AJ224">
            <v>16736200.74</v>
          </cell>
          <cell r="AL224" t="str">
            <v>Construcción, cimentación, apoyos y cabezales del retorno elevado en la carretera Guadalajara-Tepic km 11+650, municipio de Zapopan, Jalisco.</v>
          </cell>
          <cell r="AM224">
            <v>43014</v>
          </cell>
          <cell r="AN224">
            <v>43100</v>
          </cell>
          <cell r="AR224" t="str">
            <v>CONVENIO DE COLABORACIÓN MUNICIPIO-ESTADO-SCT</v>
          </cell>
          <cell r="AS224" t="str">
            <v>Colonia Rancho Contento</v>
          </cell>
        </row>
        <row r="225">
          <cell r="B225" t="str">
            <v>Licitación Pública</v>
          </cell>
          <cell r="D225" t="str">
            <v>DOPI-FED-FF-PAV-LP-169-2017</v>
          </cell>
          <cell r="T225" t="str">
            <v>J. GERARDO</v>
          </cell>
          <cell r="U225" t="str">
            <v>NICANOR</v>
          </cell>
          <cell r="V225" t="str">
            <v>MEJIA MARISCAL</v>
          </cell>
          <cell r="W225" t="str">
            <v>INECO CONSTRUYE, S.A. DE C.V.</v>
          </cell>
          <cell r="X225" t="str">
            <v>ICO980722MQ4</v>
          </cell>
          <cell r="AD225">
            <v>43031</v>
          </cell>
          <cell r="AJ225">
            <v>4498449.34</v>
          </cell>
          <cell r="AL225" t="str">
            <v xml:space="preserve">Pavimentación de Av. Guadalajara con concreto hidráulico tramo 1, en la colonia Nuevo México, municipio de Zapopan, Jalisco. </v>
          </cell>
          <cell r="AM225">
            <v>43031</v>
          </cell>
          <cell r="AN225">
            <v>43106</v>
          </cell>
          <cell r="AR225" t="str">
            <v>FONDO PARA EL FORTALECIMIENTO FINANCIERO PARA LA INVERSIÓN (FORTALECIMIENTO) 2017 “D”</v>
          </cell>
          <cell r="AS225" t="str">
            <v>Colonia Nuevo México</v>
          </cell>
        </row>
        <row r="226">
          <cell r="B226" t="str">
            <v>Licitación Pública</v>
          </cell>
          <cell r="D226" t="str">
            <v>DOPI-FED-FF-PAV-LP-170-2017</v>
          </cell>
          <cell r="T226" t="str">
            <v>RICARDO</v>
          </cell>
          <cell r="U226" t="str">
            <v>TECANHUEY</v>
          </cell>
          <cell r="V226" t="str">
            <v>LARIOS</v>
          </cell>
          <cell r="W226" t="str">
            <v>MQ RENTAL, S.A. DE C.V.</v>
          </cell>
          <cell r="X226" t="str">
            <v>MRE151124EK1</v>
          </cell>
          <cell r="AD226">
            <v>43031</v>
          </cell>
          <cell r="AJ226">
            <v>3719168.56</v>
          </cell>
          <cell r="AL226" t="str">
            <v xml:space="preserve">Pavimentación de Av. Guadalajara con concreto hidráulico tramo 2, en la colonia Nuevo México, municipio de Zapopan, Jalisco. </v>
          </cell>
          <cell r="AM226">
            <v>43031</v>
          </cell>
          <cell r="AN226">
            <v>43106</v>
          </cell>
          <cell r="AR226" t="str">
            <v>FONDO PARA EL FORTALECIMIENTO FINANCIERO PARA LA INVERSIÓN (FORTALECIMIENTO) 2017 “D”</v>
          </cell>
          <cell r="AS226" t="str">
            <v>Colonia Nuevo México</v>
          </cell>
        </row>
        <row r="227">
          <cell r="B227" t="str">
            <v>Licitación Pública</v>
          </cell>
          <cell r="D227" t="str">
            <v>DOPI-FED-FF-PAV-LP-171-2017</v>
          </cell>
          <cell r="T227" t="str">
            <v>HAYDEE LILIANA</v>
          </cell>
          <cell r="U227" t="str">
            <v>AGUILAR</v>
          </cell>
          <cell r="V227" t="str">
            <v>CASSIAN</v>
          </cell>
          <cell r="W227" t="str">
            <v>EDIFICA 2001, S.A. DE C.V.</v>
          </cell>
          <cell r="X227" t="str">
            <v>EDM970225I68</v>
          </cell>
          <cell r="AD227">
            <v>43031</v>
          </cell>
          <cell r="AJ227">
            <v>4685823.0999999996</v>
          </cell>
          <cell r="AL227" t="str">
            <v>Pavimentación de conexión vial Centro Cultural Constitución – Auditorio Telmex, con pavimento asfáltico, tramo 1 (Calz. Constituyentes – Calle Obreros de Cananea) en la colonia Constitución, municipio de Zapopan, Jalisco, frente 1.</v>
          </cell>
          <cell r="AM227">
            <v>43031</v>
          </cell>
          <cell r="AN227">
            <v>43106</v>
          </cell>
          <cell r="AR227" t="str">
            <v>FONDO PARA EL FORTALECIMIENTO FINANCIERO PARA LA INVERSIÓN (FORTALECIMIENTO) 2017 “D”</v>
          </cell>
          <cell r="AS227" t="str">
            <v>Colonia Constitución</v>
          </cell>
        </row>
        <row r="228">
          <cell r="B228" t="str">
            <v>Licitación Pública</v>
          </cell>
          <cell r="D228" t="str">
            <v>DOPI-FED-FF-PAV-LP-172-2017</v>
          </cell>
          <cell r="T228" t="str">
            <v>ALEX</v>
          </cell>
          <cell r="U228" t="str">
            <v>MEDINA</v>
          </cell>
          <cell r="V228" t="str">
            <v>GÓMEZ</v>
          </cell>
          <cell r="W228" t="str">
            <v xml:space="preserve">MEDGAR CONSTRUCCIONES, S.A. </v>
          </cell>
          <cell r="X228" t="str">
            <v>MCO150527NY3</v>
          </cell>
          <cell r="AD228">
            <v>43031</v>
          </cell>
          <cell r="AJ228">
            <v>4716160.6900000004</v>
          </cell>
          <cell r="AL228" t="str">
            <v>Pavimentación de conexión vial Centro Cultural Constitución – Auditorio Telmex, con pavimento asfáltico, tramo 1 (Calz. Constituyentes – Calle Obreros de Cananea) en la colonia Constitución, municipio de Zapopan, Jalisco, frente 2.</v>
          </cell>
          <cell r="AM228">
            <v>43031</v>
          </cell>
          <cell r="AN228">
            <v>43106</v>
          </cell>
          <cell r="AR228" t="str">
            <v>FONDO PARA EL FORTALECIMIENTO FINANCIERO PARA LA INVERSIÓN (FORTALECIMIENTO) 2017 “D”</v>
          </cell>
          <cell r="AS228" t="str">
            <v>Colonia Constitución</v>
          </cell>
        </row>
        <row r="229">
          <cell r="B229" t="str">
            <v>Licitación Pública</v>
          </cell>
          <cell r="D229" t="str">
            <v>DOPI-FED-FF-PAV-LP-173-2017</v>
          </cell>
          <cell r="T229" t="str">
            <v>VICTOR MANUEL</v>
          </cell>
          <cell r="U229" t="str">
            <v>JAUREGUI</v>
          </cell>
          <cell r="V229" t="str">
            <v>TORRES</v>
          </cell>
          <cell r="W229" t="str">
            <v>CONSTRUCTORA ERLORT Y ASOCIADOS, S.A. DE C.V.</v>
          </cell>
          <cell r="X229" t="str">
            <v>CEA070208SB1</v>
          </cell>
          <cell r="AD229">
            <v>43031</v>
          </cell>
          <cell r="AJ229">
            <v>4987550.67</v>
          </cell>
          <cell r="AL229" t="str">
            <v>Pavimentación de conexión vial Centro Cultural Constitución – Auditorio Telmex, con pavimento asfáltico, tramo 2 (Calz. Constituyentes – Calle Obreros de Cananea) en la colonia Constitución, municipio de Zapopan, Jalisco, frente 1.</v>
          </cell>
          <cell r="AM229">
            <v>43031</v>
          </cell>
          <cell r="AN229">
            <v>43106</v>
          </cell>
          <cell r="AR229" t="str">
            <v>FONDO PARA EL FORTALECIMIENTO FINANCIERO PARA LA INVERSIÓN (FORTALECIMIENTO) 2017 “D”</v>
          </cell>
          <cell r="AS229" t="str">
            <v>Colonia Constitución</v>
          </cell>
        </row>
        <row r="230">
          <cell r="B230" t="str">
            <v>Licitación Pública</v>
          </cell>
          <cell r="D230" t="str">
            <v>DOPI-FED-FF-PAV-LP-174-2017</v>
          </cell>
          <cell r="T230" t="str">
            <v>CARLOS IGNACIO</v>
          </cell>
          <cell r="U230" t="str">
            <v>CURIEL</v>
          </cell>
          <cell r="V230" t="str">
            <v>DUEÑAS</v>
          </cell>
          <cell r="W230" t="str">
            <v>CONSTRUCTORA CECUCHI, S.A. DE C.V.</v>
          </cell>
          <cell r="X230" t="str">
            <v>CCE130723IR7</v>
          </cell>
          <cell r="AD230">
            <v>43031</v>
          </cell>
          <cell r="AJ230">
            <v>4697747.84</v>
          </cell>
          <cell r="AL230" t="str">
            <v>Pavimentación de conexión vial Centro Cultural Constitución – Auditorio Telmex, con pavimento asfáltico, tramo 2 (Calz. Constituyentes – Calle Obreros de Cananea) en la colonia Constitución, municipio de Zapopan, Jalisco, frente 2.</v>
          </cell>
          <cell r="AM230">
            <v>43031</v>
          </cell>
          <cell r="AN230">
            <v>43106</v>
          </cell>
          <cell r="AR230" t="str">
            <v>FONDO PARA EL FORTALECIMIENTO FINANCIERO PARA LA INVERSIÓN (FORTALECIMIENTO) 2017 “D”</v>
          </cell>
          <cell r="AS230" t="str">
            <v>Colonia Constitución</v>
          </cell>
        </row>
        <row r="231">
          <cell r="B231" t="str">
            <v>Licitación Pública</v>
          </cell>
          <cell r="D231" t="str">
            <v>DOPI-FED-FF-PAV-LP-175-2017</v>
          </cell>
          <cell r="T231" t="str">
            <v>JULIO EDUARDO</v>
          </cell>
          <cell r="U231" t="str">
            <v>LÓPEZ</v>
          </cell>
          <cell r="V231" t="str">
            <v>PÉREZ</v>
          </cell>
          <cell r="W231" t="str">
            <v>PROYECTOS E INSUMOS INDUSTRIALES JELP, S.A. DE C.V.</v>
          </cell>
          <cell r="X231" t="str">
            <v>PEI020208RW0</v>
          </cell>
          <cell r="AD231">
            <v>43031</v>
          </cell>
          <cell r="AJ231">
            <v>4149575.14</v>
          </cell>
          <cell r="AL231" t="str">
            <v>Pavimentación con concreto hidráulico de la Av. Royal Country, segunda etapa, en los fraccionamientos Royal Country, Puerta de Hierro y Puerta Plata, municipio de Zapopan, Jalisco, frente 1.</v>
          </cell>
          <cell r="AM231">
            <v>43031</v>
          </cell>
          <cell r="AN231">
            <v>43106</v>
          </cell>
          <cell r="AR231" t="str">
            <v>FONDO PARA EL FORTALECIMIENTO FINANCIERO PARA LA INVERSIÓN (FORTALECIMIENTO) 2017 “D”</v>
          </cell>
          <cell r="AS231" t="str">
            <v>Colonia Puerta Plata</v>
          </cell>
        </row>
        <row r="232">
          <cell r="B232" t="str">
            <v>Licitación Pública</v>
          </cell>
          <cell r="D232" t="str">
            <v>DOPI-FED-FF-PAV-LP-176-2017</v>
          </cell>
          <cell r="T232" t="str">
            <v>J. GERARDO</v>
          </cell>
          <cell r="U232" t="str">
            <v>NICANOR</v>
          </cell>
          <cell r="V232" t="str">
            <v>MEJIA MARISCAL</v>
          </cell>
          <cell r="W232" t="str">
            <v>INECO CONSTRUYE, S.A. DE C.V.</v>
          </cell>
          <cell r="X232" t="str">
            <v>ICO980722MQ4</v>
          </cell>
          <cell r="AD232">
            <v>43031</v>
          </cell>
          <cell r="AJ232">
            <v>3737898.1</v>
          </cell>
          <cell r="AL232" t="str">
            <v>Pavimentación con concreto hidráulico de la Av. Royal Country, segunda etapa, en los fraccionamientos Royal Country, Puerta de Hierro y Puerta Plata, municipio de Zapopan, Jalisco, frente 2.</v>
          </cell>
          <cell r="AM232">
            <v>43031</v>
          </cell>
          <cell r="AN232">
            <v>43106</v>
          </cell>
          <cell r="AR232" t="str">
            <v>FONDO PARA EL FORTALECIMIENTO FINANCIERO PARA LA INVERSIÓN (FORTALECIMIENTO) 2017 “D”</v>
          </cell>
          <cell r="AS232" t="str">
            <v>Colonia Puerta Plata</v>
          </cell>
        </row>
        <row r="233">
          <cell r="B233" t="str">
            <v>Licitación Pública</v>
          </cell>
          <cell r="D233" t="str">
            <v>DOPI-FED-FF-PAV-LP-177-2017</v>
          </cell>
          <cell r="T233" t="str">
            <v>ERICK</v>
          </cell>
          <cell r="U233" t="str">
            <v>VILLASEÑOR</v>
          </cell>
          <cell r="V233" t="str">
            <v>GUTIÉRREZ</v>
          </cell>
          <cell r="W233" t="str">
            <v>PIXIDE CONSTRUCTORA, S.A. DE C.V.</v>
          </cell>
          <cell r="X233" t="str">
            <v>PCO140829425</v>
          </cell>
          <cell r="AD233">
            <v>43031</v>
          </cell>
          <cell r="AJ233">
            <v>3294425.04</v>
          </cell>
          <cell r="AL233" t="str">
            <v>Pavimentación de vialidad de acceso a la Unidad Deportiva Villa de Guadalupe, calle San Pedro y calle Febronio Lara, en la colonia Villa de Guadalupe, municipio de Zapopan, Jalisco, frente 1.</v>
          </cell>
          <cell r="AM233">
            <v>43031</v>
          </cell>
          <cell r="AN233">
            <v>43106</v>
          </cell>
          <cell r="AR233" t="str">
            <v>FONDO PARA EL FORTALECIMIENTO FINANCIERO PARA LA INVERSIÓN (FORTALECIMIENTO) 2017 “D”</v>
          </cell>
          <cell r="AS233" t="str">
            <v>Colonia Villa de Guadalupe</v>
          </cell>
        </row>
        <row r="234">
          <cell r="B234" t="str">
            <v>Licitación Pública</v>
          </cell>
          <cell r="D234" t="str">
            <v>DOPI-FED-FF-PAV-LP-178-2017</v>
          </cell>
          <cell r="T234" t="str">
            <v>FELIPE DANIEL II</v>
          </cell>
          <cell r="U234" t="str">
            <v>NUÑEZ</v>
          </cell>
          <cell r="V234" t="str">
            <v>PINZON</v>
          </cell>
          <cell r="W234" t="str">
            <v>GRUPO NUVECO, S.A. DE C.V.</v>
          </cell>
          <cell r="X234" t="str">
            <v>GNU120809KX1</v>
          </cell>
          <cell r="AD234">
            <v>43031</v>
          </cell>
          <cell r="AJ234">
            <v>3727363.88</v>
          </cell>
          <cell r="AL234" t="str">
            <v>Pavimentación de vialidad de acceso a la Unidad Deportiva Villa de Guadalupe, calle San Pedro y calle Febronio Lara, en la colonia Villa de Guadalupe, municipio de Zapopan, Jalisco, frente 2.</v>
          </cell>
          <cell r="AM234">
            <v>43031</v>
          </cell>
          <cell r="AN234">
            <v>43106</v>
          </cell>
          <cell r="AR234" t="str">
            <v>FONDO PARA EL FORTALECIMIENTO FINANCIERO PARA LA INVERSIÓN (FORTALECIMIENTO) 2017 “D”</v>
          </cell>
          <cell r="AS234" t="str">
            <v>Colonia Villa de Guadalupe</v>
          </cell>
        </row>
        <row r="235">
          <cell r="B235" t="str">
            <v>Licitación por Invitación Restringida</v>
          </cell>
          <cell r="D235" t="str">
            <v>DOPI-MUN-RM-SP-CI-184-2017</v>
          </cell>
          <cell r="T235" t="str">
            <v>HÉCTOR MARIO</v>
          </cell>
          <cell r="U235" t="str">
            <v xml:space="preserve">CHAVIRA </v>
          </cell>
          <cell r="V235" t="str">
            <v>PEÑA</v>
          </cell>
          <cell r="W235" t="str">
            <v>HEMAC TELEINFORMATICA, S.A DE C.V.</v>
          </cell>
          <cell r="X235" t="str">
            <v>HTE990426RR1</v>
          </cell>
          <cell r="AD235">
            <v>43031</v>
          </cell>
          <cell r="AJ235">
            <v>134997173.33000001</v>
          </cell>
          <cell r="AL235" t="str">
            <v>Elaboración de proyecto, obra complementaria suministro de equipos y puesta en marcha del Centro de comando, control, comunicaciones, cómputo y coordinación del complejo C4 en el Edificio de Seguridad Pública en Zapopan, Jalisco.</v>
          </cell>
          <cell r="AM235">
            <v>43031</v>
          </cell>
          <cell r="AN235">
            <v>43179</v>
          </cell>
          <cell r="AR235" t="str">
            <v>Recurso Propio</v>
          </cell>
          <cell r="AS235" t="str">
            <v>Colonia Villa de los Belenes</v>
          </cell>
        </row>
        <row r="236">
          <cell r="B236" t="str">
            <v>Invitación a Cuando Menos Tres Personas</v>
          </cell>
          <cell r="D236" t="str">
            <v>DOPI-FED-FF-PAV-CI-185-2017</v>
          </cell>
          <cell r="T236" t="str">
            <v>JOSÉ OMAR</v>
          </cell>
          <cell r="U236" t="str">
            <v>FERNÁNDEZ</v>
          </cell>
          <cell r="V236" t="str">
            <v>VÁZQUEZ</v>
          </cell>
          <cell r="W236" t="str">
            <v>EXTRA CONSTRUCCIÓNES, S.A. DE C.V.</v>
          </cell>
          <cell r="X236" t="str">
            <v>ECO0908115Z7</v>
          </cell>
          <cell r="AD236">
            <v>43031</v>
          </cell>
          <cell r="AJ236">
            <v>2964448.14</v>
          </cell>
          <cell r="AL236" t="str">
            <v>Pavimentación de vialidad de acceso al Centro de Desarrollo Comunitario Miramar, calle Prolongación Guadalupe, en las colonias Miramar y Carlos Rivera Aceves, municipio de Zapopan, Jalisco.</v>
          </cell>
          <cell r="AM236">
            <v>43031</v>
          </cell>
          <cell r="AN236">
            <v>43106</v>
          </cell>
          <cell r="AR236" t="str">
            <v>FONDO PARA EL FORTALECIMIENTO FINANCIERO PARA LA INVERSIÓN (FORTALECIMIENTO) 2017 “D”</v>
          </cell>
          <cell r="AS236" t="str">
            <v>Colonia Miramar</v>
          </cell>
        </row>
        <row r="237">
          <cell r="B237" t="str">
            <v>Invitación a Cuando Menos Tres Personas</v>
          </cell>
          <cell r="D237" t="str">
            <v>DOPI-FED-FF-PAV-CI-186-2017</v>
          </cell>
          <cell r="T237" t="str">
            <v>JUAN JOSÉ</v>
          </cell>
          <cell r="U237" t="str">
            <v>GUTIÉRREZ</v>
          </cell>
          <cell r="V237" t="str">
            <v>CONTRERAS</v>
          </cell>
          <cell r="W237" t="str">
            <v>RENCOIST CONSTRUCCIÓNES, S.A. DE C.V.</v>
          </cell>
          <cell r="X237" t="str">
            <v>RCO130920JX9</v>
          </cell>
          <cell r="AD237">
            <v>43031</v>
          </cell>
          <cell r="AJ237">
            <v>3951124.41</v>
          </cell>
          <cell r="AL237" t="str">
            <v>Pavimentación de vialidad de acceso al Centro de Desarrollo Comunitario San Juan de Ocotán, calle 16 de Septiembre, en San Juan de Ocotán, municipio de Zapopan, Jalisco.</v>
          </cell>
          <cell r="AM237">
            <v>43031</v>
          </cell>
          <cell r="AN237">
            <v>43106</v>
          </cell>
          <cell r="AR237" t="str">
            <v>FONDO PARA EL FORTALECIMIENTO FINANCIERO PARA LA INVERSIÓN (FORTALECIMIENTO) 2017 “D”</v>
          </cell>
          <cell r="AS237" t="str">
            <v>San Juan de Ocotán</v>
          </cell>
        </row>
        <row r="238">
          <cell r="B238" t="str">
            <v>Invitación a Cuando Menos Tres Personas</v>
          </cell>
          <cell r="D238" t="str">
            <v>DOPI-FED-FF-PAV-CI-187-2017</v>
          </cell>
          <cell r="T238" t="str">
            <v xml:space="preserve"> BERNARDO </v>
          </cell>
          <cell r="U238" t="str">
            <v xml:space="preserve">SAENZ </v>
          </cell>
          <cell r="V238" t="str">
            <v>BARBA</v>
          </cell>
          <cell r="W238" t="str">
            <v>GRUPO EDIFICADOR MAYAB, S.A. DE C.V.</v>
          </cell>
          <cell r="X238" t="str">
            <v>GEM070112PX8</v>
          </cell>
          <cell r="AD238">
            <v>43031</v>
          </cell>
          <cell r="AJ238">
            <v>3457394.66</v>
          </cell>
          <cell r="AL238" t="str">
            <v>Pavimentación de vialidad de acceso a la Unidad Paseos del Briseño, calle Magnolia, en las colonias Paseos del Briseño y Agrícola, municipio de Zapopan, Jalisco.</v>
          </cell>
          <cell r="AM238">
            <v>43031</v>
          </cell>
          <cell r="AN238">
            <v>43106</v>
          </cell>
          <cell r="AR238" t="str">
            <v>FONDO PARA EL FORTALECIMIENTO FINANCIERO PARA LA INVERSIÓN (FORTALECIMIENTO) 2017 “D”</v>
          </cell>
          <cell r="AS238" t="str">
            <v>Colonias Paseos del Briseño y Agrícola</v>
          </cell>
        </row>
        <row r="239">
          <cell r="B239" t="str">
            <v>Invitación a Cuando Menos Tres Personas</v>
          </cell>
          <cell r="D239" t="str">
            <v>DOPI-FED-FF-PAV-CI-188-2017</v>
          </cell>
          <cell r="T239" t="str">
            <v>ÁNGEL SALOMÓN</v>
          </cell>
          <cell r="U239" t="str">
            <v>RINCÓN</v>
          </cell>
          <cell r="V239" t="str">
            <v>DE LA ROSA</v>
          </cell>
          <cell r="W239" t="str">
            <v>ARO ASFALTOS Y RIEGOS DE OCCIDENTE, S.A. DE C.V.</v>
          </cell>
          <cell r="X239" t="str">
            <v>AAR120507VA9</v>
          </cell>
          <cell r="AD239">
            <v>43031</v>
          </cell>
          <cell r="AJ239">
            <v>3951449.09</v>
          </cell>
          <cell r="AL239" t="str">
            <v>Reencarpetado y peatonalización de vialidad de acceso a la Unidad Deportiva Santa María del Pueblito, calle independencia, en Santa María del Pueblito, municipio de Zapopan, Jalisco.</v>
          </cell>
          <cell r="AM239">
            <v>43031</v>
          </cell>
          <cell r="AN239">
            <v>43106</v>
          </cell>
          <cell r="AR239" t="str">
            <v>FONDO PARA EL FORTALECIMIENTO FINANCIERO PARA LA INVERSIÓN (FORTALECIMIENTO) 2017 “D”</v>
          </cell>
          <cell r="AS239" t="str">
            <v>Colonia Santa Maria del Pueblito</v>
          </cell>
        </row>
        <row r="240">
          <cell r="B240" t="str">
            <v>Invitación a Cuando Menos Tres Personas</v>
          </cell>
          <cell r="D240" t="str">
            <v>DOPI-FED-FF-PAV-CI-189-2017</v>
          </cell>
          <cell r="T240" t="str">
            <v>RODRIGO</v>
          </cell>
          <cell r="U240" t="str">
            <v>RAMOS</v>
          </cell>
          <cell r="V240" t="str">
            <v>GARIBI</v>
          </cell>
          <cell r="W240" t="str">
            <v>METRO ASFALTOS, S.A. DE C.V.</v>
          </cell>
          <cell r="X240" t="str">
            <v>CMA070307RU6</v>
          </cell>
          <cell r="AD240">
            <v>43031</v>
          </cell>
          <cell r="AJ240">
            <v>988095.31</v>
          </cell>
          <cell r="AL240" t="str">
            <v>Reencarpetado y peatonalización de vialidad de acceso a la Unidad Deportiva Santa Margarita, calle Santa Matilde, en la colonia Santa Margarita, municipio de Zapopan, Jalisco.</v>
          </cell>
          <cell r="AM240">
            <v>43031</v>
          </cell>
          <cell r="AN240">
            <v>43106</v>
          </cell>
          <cell r="AR240" t="str">
            <v>FONDO PARA EL FORTALECIMIENTO FINANCIERO PARA LA INVERSIÓN (FORTALECIMIENTO) 2017 “D”</v>
          </cell>
          <cell r="AS240" t="str">
            <v>Colonia Santa Margarita</v>
          </cell>
        </row>
        <row r="241">
          <cell r="B241" t="str">
            <v>Invitación a Cuando Menos Tres Personas</v>
          </cell>
          <cell r="D241" t="str">
            <v>DOPI-FED-FF-DS-CI-190-2017</v>
          </cell>
          <cell r="T241" t="str">
            <v>CARLOS</v>
          </cell>
          <cell r="U241" t="str">
            <v>PÉREZ</v>
          </cell>
          <cell r="V241" t="str">
            <v>CRUZ</v>
          </cell>
          <cell r="W241" t="str">
            <v>CONSTRUCTORA PECRU, S.A. DE C.V.</v>
          </cell>
          <cell r="X241" t="str">
            <v>CPE070123PD4</v>
          </cell>
          <cell r="AD241">
            <v>43031</v>
          </cell>
          <cell r="AJ241">
            <v>3950882.69</v>
          </cell>
          <cell r="AL241" t="str">
            <v>Construcción de colector pluvial sobre la calle Cuarta Poniente, en la colonia Nuevo México, municipio de Zapopan, Jalisco.</v>
          </cell>
          <cell r="AM241">
            <v>43031</v>
          </cell>
          <cell r="AN241">
            <v>43106</v>
          </cell>
          <cell r="AR241" t="str">
            <v>FONDO PARA EL FORTALECIMIENTO FINANCIERO PARA LA INVERSIÓN (FORTALECIMIENTO) 2017 “D”</v>
          </cell>
          <cell r="AS241" t="str">
            <v>Colonia Nuevo México</v>
          </cell>
        </row>
        <row r="242">
          <cell r="B242" t="str">
            <v>Invitación a Cuando Menos Tres Personas</v>
          </cell>
          <cell r="D242" t="str">
            <v>DOPI-FED-FF-DS-CI-191-2017</v>
          </cell>
          <cell r="T242" t="str">
            <v>ALFREDO</v>
          </cell>
          <cell r="U242" t="str">
            <v>AGUIRRE</v>
          </cell>
          <cell r="V242" t="str">
            <v>MONTOYA</v>
          </cell>
          <cell r="W242" t="str">
            <v>TORRES AGUIRRE INGENIEROS, S.A. DE C.V.</v>
          </cell>
          <cell r="X242" t="str">
            <v>TAI920312952</v>
          </cell>
          <cell r="AD242">
            <v>43031</v>
          </cell>
          <cell r="AJ242">
            <v>3993163.18</v>
          </cell>
          <cell r="AL242" t="str">
            <v>Construcción de colector pluvial calle Atotonilco, en la colonia Nuevo México, municipio de Zapopan, Jalisco.</v>
          </cell>
          <cell r="AM242">
            <v>43031</v>
          </cell>
          <cell r="AN242">
            <v>43106</v>
          </cell>
          <cell r="AR242" t="str">
            <v>FONDO PARA EL FORTALECIMIENTO FINANCIERO PARA LA INVERSIÓN (FORTALECIMIENTO) 2017 “D”</v>
          </cell>
          <cell r="AS242" t="str">
            <v>Colonia Nuevo México</v>
          </cell>
        </row>
        <row r="243">
          <cell r="B243" t="str">
            <v>Concurso por Invitación</v>
          </cell>
          <cell r="D243" t="str">
            <v>DOPI-EST-CR-BAN-CI-197-2017</v>
          </cell>
          <cell r="T243" t="str">
            <v>JESÚS DAVID</v>
          </cell>
          <cell r="U243" t="str">
            <v xml:space="preserve">GARZA </v>
          </cell>
          <cell r="V243" t="str">
            <v>GARCÍA</v>
          </cell>
          <cell r="W243" t="str">
            <v>CONSTRUCCIÓNES  ELECTRIFICACIONES Y ARRENDAMIENTO DE MAQUINARIA S.A. DE C.V.</v>
          </cell>
          <cell r="X243" t="str">
            <v>CEA010615GT0</v>
          </cell>
          <cell r="AD243">
            <v>43031</v>
          </cell>
          <cell r="AJ243">
            <v>2389794.62</v>
          </cell>
          <cell r="AL243" t="str">
            <v>Peatonalización, construcción de banquetas, sustitución de guarniciones, bolardos, primera etapa en la colonia Santa Margarita, municipio de Zapopan, Jalisco.</v>
          </cell>
          <cell r="AM243">
            <v>43031</v>
          </cell>
          <cell r="AN243">
            <v>43106</v>
          </cell>
          <cell r="AR243" t="str">
            <v>CRÉDITO ESTATAL 92 MDP</v>
          </cell>
          <cell r="AS243" t="str">
            <v>Colonia Santa Margarita</v>
          </cell>
        </row>
        <row r="244">
          <cell r="B244" t="str">
            <v>Concurso por Invitación</v>
          </cell>
          <cell r="D244" t="str">
            <v>DOPI-EST-CR-PAV-CI-198-2017</v>
          </cell>
          <cell r="T244" t="str">
            <v>VICTOR</v>
          </cell>
          <cell r="U244" t="str">
            <v>ZAYAS</v>
          </cell>
          <cell r="V244" t="str">
            <v>RIQUELME</v>
          </cell>
          <cell r="W244" t="str">
            <v>GEMINIS INTERNACIONAL CONSTRUCTORA, S.A. DE C.V.</v>
          </cell>
          <cell r="X244" t="str">
            <v>GIC810323RA6</v>
          </cell>
          <cell r="AD244">
            <v>43031</v>
          </cell>
          <cell r="AJ244">
            <v>2436115.7999999998</v>
          </cell>
          <cell r="AL244" t="str">
            <v>Reencarpetamiento de calles en la colonia Lomas de Tabachines, incluye: guarniciones, banquetas, renivelación de pozos y cajas, señalamiento vertical y horizontal, municipio de Zapopan, Jalisco.</v>
          </cell>
          <cell r="AM244">
            <v>43031</v>
          </cell>
          <cell r="AN244">
            <v>43106</v>
          </cell>
          <cell r="AR244" t="str">
            <v>CRÉDITO ESTATAL 92 MDP</v>
          </cell>
          <cell r="AS244" t="str">
            <v>Colonia Lomas de Tabachines</v>
          </cell>
        </row>
        <row r="245">
          <cell r="B245" t="str">
            <v>Concurso por Invitación</v>
          </cell>
          <cell r="D245" t="str">
            <v>DOPI-EST-CR-PAV-CI-199-2017</v>
          </cell>
          <cell r="T245" t="str">
            <v>GUILLERMO</v>
          </cell>
          <cell r="U245" t="str">
            <v>LARA</v>
          </cell>
          <cell r="V245" t="str">
            <v>VARGAS</v>
          </cell>
          <cell r="W245" t="str">
            <v>DESARROLLADORA GLAR, S.A. DE C.V.</v>
          </cell>
          <cell r="X245" t="str">
            <v>DGL060620SUA</v>
          </cell>
          <cell r="AD245">
            <v>43031</v>
          </cell>
          <cell r="AJ245">
            <v>3601466.96</v>
          </cell>
          <cell r="AL245" t="str">
            <v>Reencarpetamiento de vialidades en la colonia Parque del Auditorio, incluye: guarniciones, banquetas, renivelaciones de pozos y cajas, señalamiento vertical y horizontal, municipio de Zapopan, Jalisco.</v>
          </cell>
          <cell r="AM245">
            <v>43031</v>
          </cell>
          <cell r="AN245">
            <v>43106</v>
          </cell>
          <cell r="AR245" t="str">
            <v>CRÉDITO ESTATAL 92 MDP</v>
          </cell>
          <cell r="AS245" t="str">
            <v>Colonia Parque del Auditorio</v>
          </cell>
        </row>
        <row r="246">
          <cell r="B246" t="str">
            <v>Concurso por Invitación</v>
          </cell>
          <cell r="D246" t="str">
            <v>DOPI-EST-CR-PAV-CI-200-2017</v>
          </cell>
          <cell r="T246" t="str">
            <v>SERGIO ALBERTO</v>
          </cell>
          <cell r="U246" t="str">
            <v>BAYLON</v>
          </cell>
          <cell r="V246" t="str">
            <v>MORENO</v>
          </cell>
          <cell r="W246" t="str">
            <v>EDIFICACIONES ESTRUCTURALES COBAY, S.A. DE C.V.</v>
          </cell>
          <cell r="X246" t="str">
            <v>EEC9909173A7</v>
          </cell>
          <cell r="AD246">
            <v>43031</v>
          </cell>
          <cell r="AJ246">
            <v>2877141.05</v>
          </cell>
          <cell r="AL246" t="str">
            <v>Construcción de la segunda etapa de la calle Hidalgo, con concreto hidráulico en San Juan de Ocotán, incluye: guarniciones, banquetas y alumbrado público, Municipio de Zapopan, Jalisco.</v>
          </cell>
          <cell r="AM246">
            <v>43031</v>
          </cell>
          <cell r="AN246">
            <v>43106</v>
          </cell>
          <cell r="AR246" t="str">
            <v>CRÉDITO ESTATAL 92 MDP</v>
          </cell>
          <cell r="AS246" t="str">
            <v>San Juan de Ocotán</v>
          </cell>
        </row>
        <row r="247">
          <cell r="B247" t="str">
            <v>Concurso por Invitación</v>
          </cell>
          <cell r="D247" t="str">
            <v>DOPI-EST-CM-PAV-CI-201-2017</v>
          </cell>
          <cell r="T247" t="str">
            <v>ANA KARINA</v>
          </cell>
          <cell r="U247" t="str">
            <v>OJEDA</v>
          </cell>
          <cell r="V247" t="str">
            <v>FERRELL</v>
          </cell>
          <cell r="W247" t="str">
            <v>KP CONSTRUCTORA E INMOBILIARIA, S.A. DE C.V.</v>
          </cell>
          <cell r="X247" t="str">
            <v>KCI120928CD5</v>
          </cell>
          <cell r="AD247">
            <v>43031</v>
          </cell>
          <cell r="AJ247">
            <v>3799523.95</v>
          </cell>
          <cell r="AL247" t="str">
            <v>Renovación urbana en área habitacional y de zona comercial de Av. López Mateos, de las Águilas a Plaza del Sol, en el municipio de Zapopan, Jalisco.</v>
          </cell>
          <cell r="AM247">
            <v>43031</v>
          </cell>
          <cell r="AN247">
            <v>43106</v>
          </cell>
          <cell r="AR247" t="str">
            <v>Consejo Metropolitano 2017</v>
          </cell>
          <cell r="AS247" t="str">
            <v>Colonia Las Águilas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zapopan.gob.mx/wp-content/uploads/2017/05/Contrato_024_2016.pdf" TargetMode="External"/><Relationship Id="rId21" Type="http://schemas.openxmlformats.org/officeDocument/2006/relationships/hyperlink" Target="http://www.zapopan.gob.mx/wp-content/uploads/2017/05/Contrato_020_2016.pdf" TargetMode="External"/><Relationship Id="rId34" Type="http://schemas.openxmlformats.org/officeDocument/2006/relationships/hyperlink" Target="http://www.zapopan.gob.mx/wp-content/uploads/2017/05/Contrato_033_2016.pdf" TargetMode="External"/><Relationship Id="rId42" Type="http://schemas.openxmlformats.org/officeDocument/2006/relationships/hyperlink" Target="http://www.zapopan.gob.mx/wp-content/uploads/2017/09/55_16.pdf" TargetMode="External"/><Relationship Id="rId47" Type="http://schemas.openxmlformats.org/officeDocument/2006/relationships/hyperlink" Target="http://www.zapopan.gob.mx/wp-content/uploads/2017/05/Contrato_064_2016.pdf" TargetMode="External"/><Relationship Id="rId50" Type="http://schemas.openxmlformats.org/officeDocument/2006/relationships/hyperlink" Target="http://www.zapopan.gob.mx/wp-content/uploads/2017/09/70_16.pdf" TargetMode="External"/><Relationship Id="rId55" Type="http://schemas.openxmlformats.org/officeDocument/2006/relationships/hyperlink" Target="http://www.zapopan.gob.mx/wp-content/uploads/2017/09/072_16.pdf" TargetMode="External"/><Relationship Id="rId63" Type="http://schemas.openxmlformats.org/officeDocument/2006/relationships/hyperlink" Target="http://www.zapopan.gob.mx/wp-content/uploads/2017/09/086_16.pdf" TargetMode="External"/><Relationship Id="rId68" Type="http://schemas.openxmlformats.org/officeDocument/2006/relationships/hyperlink" Target="http://www.zapopan.gob.mx/wp-content/uploads/2017/05/Contrato_108_2016.pdf" TargetMode="External"/><Relationship Id="rId76" Type="http://schemas.openxmlformats.org/officeDocument/2006/relationships/hyperlink" Target="http://www.zapopan.gob.mx/wp-content/uploads/2017/09/151_16.pdf" TargetMode="External"/><Relationship Id="rId84" Type="http://schemas.openxmlformats.org/officeDocument/2006/relationships/hyperlink" Target="http://www.zapopan.gob.mx/wp-content/uploads/2017/09/187-16.pdf" TargetMode="External"/><Relationship Id="rId89" Type="http://schemas.openxmlformats.org/officeDocument/2006/relationships/hyperlink" Target="http://www.zapopan.gob.mx/wp-content/uploads/2017/09/223-16.pdf" TargetMode="External"/><Relationship Id="rId97" Type="http://schemas.openxmlformats.org/officeDocument/2006/relationships/hyperlink" Target="http://www.zapopan.gob.mx/wp-content/uploads/2017/09/014_17.pdf" TargetMode="External"/><Relationship Id="rId7" Type="http://schemas.openxmlformats.org/officeDocument/2006/relationships/hyperlink" Target="http://www.zapopan.gob.mx/wp-content/uploads/2017/06/DOPI_240_2015.pdf" TargetMode="External"/><Relationship Id="rId71" Type="http://schemas.openxmlformats.org/officeDocument/2006/relationships/hyperlink" Target="http://www.zapopan.gob.mx/wp-content/uploads/2017/09/111_16.pdf" TargetMode="External"/><Relationship Id="rId92" Type="http://schemas.openxmlformats.org/officeDocument/2006/relationships/hyperlink" Target="http://www.zapopan.gob.mx/wp-content/uploads/2017/09/243-16.pdf" TargetMode="External"/><Relationship Id="rId2" Type="http://schemas.openxmlformats.org/officeDocument/2006/relationships/hyperlink" Target="http://www.zapopan.gob.mx/wp-content/uploads/2017/06/DOPI_231_2015.pdf" TargetMode="External"/><Relationship Id="rId16" Type="http://schemas.openxmlformats.org/officeDocument/2006/relationships/hyperlink" Target="http://www.zapopan.gob.mx/wp-content/uploads/2017/06/DOPI_012_2016.pdf" TargetMode="External"/><Relationship Id="rId29" Type="http://schemas.openxmlformats.org/officeDocument/2006/relationships/hyperlink" Target="http://www.zapopan.gob.mx/wp-content/uploads/2017/02/DOPI_MUN_RP_PAV_LP_026_16.pdf" TargetMode="External"/><Relationship Id="rId11" Type="http://schemas.openxmlformats.org/officeDocument/2006/relationships/hyperlink" Target="http://www.zapopan.gob.mx/wp-content/uploads/2017/09/03_16.pdf" TargetMode="External"/><Relationship Id="rId24" Type="http://schemas.openxmlformats.org/officeDocument/2006/relationships/hyperlink" Target="http://www.zapopan.gob.mx/wp-content/uploads/2017/01/021_16.pdf" TargetMode="External"/><Relationship Id="rId32" Type="http://schemas.openxmlformats.org/officeDocument/2006/relationships/hyperlink" Target="http://www.zapopan.gob.mx/wp-content/uploads/2017/09/029_16.pdf" TargetMode="External"/><Relationship Id="rId37" Type="http://schemas.openxmlformats.org/officeDocument/2006/relationships/hyperlink" Target="http://www.zapopan.gob.mx/wp-content/uploads/2017/09/042-16.pdf" TargetMode="External"/><Relationship Id="rId40" Type="http://schemas.openxmlformats.org/officeDocument/2006/relationships/hyperlink" Target="http://www.zapopan.gob.mx/wp-content/uploads/2017/09/049-16.pdf" TargetMode="External"/><Relationship Id="rId45" Type="http://schemas.openxmlformats.org/officeDocument/2006/relationships/hyperlink" Target="http://www.zapopan.gob.mx/wp-content/uploads/2017/09/60_16.pdf" TargetMode="External"/><Relationship Id="rId53" Type="http://schemas.openxmlformats.org/officeDocument/2006/relationships/hyperlink" Target="http://www.zapopan.gob.mx/wp-content/uploads/2017/09/073-16.pdf" TargetMode="External"/><Relationship Id="rId58" Type="http://schemas.openxmlformats.org/officeDocument/2006/relationships/hyperlink" Target="http://www.zapopan.gob.mx/wp-content/uploads/2017/09/078-16.pdf" TargetMode="External"/><Relationship Id="rId66" Type="http://schemas.openxmlformats.org/officeDocument/2006/relationships/hyperlink" Target="http://www.zapopan.gob.mx/wp-content/uploads/2017/06/DOPI_102_2016.pdf" TargetMode="External"/><Relationship Id="rId74" Type="http://schemas.openxmlformats.org/officeDocument/2006/relationships/hyperlink" Target="http://www.zapopan.gob.mx/wp-content/uploads/2017/09/136-16.pdf" TargetMode="External"/><Relationship Id="rId79" Type="http://schemas.openxmlformats.org/officeDocument/2006/relationships/hyperlink" Target="http://www.zapopan.gob.mx/wp-content/uploads/2017/09/158-16.pdf" TargetMode="External"/><Relationship Id="rId87" Type="http://schemas.openxmlformats.org/officeDocument/2006/relationships/hyperlink" Target="http://www.zapopan.gob.mx/wp-content/uploads/2017/09/218-16.pdf" TargetMode="External"/><Relationship Id="rId102" Type="http://schemas.openxmlformats.org/officeDocument/2006/relationships/drawing" Target="../drawings/drawing1.xml"/><Relationship Id="rId5" Type="http://schemas.openxmlformats.org/officeDocument/2006/relationships/hyperlink" Target="http://www.zapopan.gob.mx/wp-content/uploads/2017/06/DOPI_237_2015.pdf" TargetMode="External"/><Relationship Id="rId61" Type="http://schemas.openxmlformats.org/officeDocument/2006/relationships/hyperlink" Target="http://www.zapopan.gob.mx/wp-content/uploads/2017/09/082-16.pdf" TargetMode="External"/><Relationship Id="rId82" Type="http://schemas.openxmlformats.org/officeDocument/2006/relationships/hyperlink" Target="http://www.zapopan.gob.mx/wp-content/uploads/2017/09/182-16.pdf" TargetMode="External"/><Relationship Id="rId90" Type="http://schemas.openxmlformats.org/officeDocument/2006/relationships/hyperlink" Target="http://www.zapopan.gob.mx/wp-content/uploads/2017/09/225-16.pdf" TargetMode="External"/><Relationship Id="rId95" Type="http://schemas.openxmlformats.org/officeDocument/2006/relationships/hyperlink" Target="http://www.zapopan.gob.mx/wp-content/uploads/2017/09/272-16.pdf" TargetMode="External"/><Relationship Id="rId19" Type="http://schemas.openxmlformats.org/officeDocument/2006/relationships/hyperlink" Target="http://www.zapopan.gob.mx/wp-content/uploads/2017/01/015_16.pdf" TargetMode="External"/><Relationship Id="rId14" Type="http://schemas.openxmlformats.org/officeDocument/2006/relationships/hyperlink" Target="http://www.zapopan.gob.mx/wp-content/uploads/2017/09/006_16.pdf" TargetMode="External"/><Relationship Id="rId22" Type="http://schemas.openxmlformats.org/officeDocument/2006/relationships/hyperlink" Target="http://www.zapopan.gob.mx/wp-content/uploads/2017/02/DOPI_MUN_RP_PROY_CI_017_16.pdf" TargetMode="External"/><Relationship Id="rId27" Type="http://schemas.openxmlformats.org/officeDocument/2006/relationships/hyperlink" Target="http://www.zapopan.gob.mx/wp-content/uploads/2017/05/Contrato_030_2016.pdf" TargetMode="External"/><Relationship Id="rId30" Type="http://schemas.openxmlformats.org/officeDocument/2006/relationships/hyperlink" Target="http://www.zapopan.gob.mx/wp-content/uploads/2017/01/027_16.pdf" TargetMode="External"/><Relationship Id="rId35" Type="http://schemas.openxmlformats.org/officeDocument/2006/relationships/hyperlink" Target="http://www.zapopan.gob.mx/wp-content/uploads/2017/02/DOPI_MUN_RP_OC_AD_034_16.pdf" TargetMode="External"/><Relationship Id="rId43" Type="http://schemas.openxmlformats.org/officeDocument/2006/relationships/hyperlink" Target="http://www.zapopan.gob.mx/wp-content/uploads/2017/09/58_16.pdf" TargetMode="External"/><Relationship Id="rId48" Type="http://schemas.openxmlformats.org/officeDocument/2006/relationships/hyperlink" Target="http://www.zapopan.gob.mx/wp-content/uploads/2017/09/68_16.pdf" TargetMode="External"/><Relationship Id="rId56" Type="http://schemas.openxmlformats.org/officeDocument/2006/relationships/hyperlink" Target="http://www.zapopan.gob.mx/wp-content/uploads/2017/09/77-16.pdf" TargetMode="External"/><Relationship Id="rId64" Type="http://schemas.openxmlformats.org/officeDocument/2006/relationships/hyperlink" Target="http://www.zapopan.gob.mx/wp-content/uploads/2017/09/087_16.pdf" TargetMode="External"/><Relationship Id="rId69" Type="http://schemas.openxmlformats.org/officeDocument/2006/relationships/hyperlink" Target="http://www.zapopan.gob.mx/wp-content/uploads/2017/06/DOPI_107_2016.pdf" TargetMode="External"/><Relationship Id="rId77" Type="http://schemas.openxmlformats.org/officeDocument/2006/relationships/hyperlink" Target="http://www.zapopan.gob.mx/wp-content/uploads/2017/09/152_16.pdf" TargetMode="External"/><Relationship Id="rId100" Type="http://schemas.openxmlformats.org/officeDocument/2006/relationships/hyperlink" Target="http://www.zapopan.gob.mx/wp-content/uploads/2017/09/076-17.pdf" TargetMode="External"/><Relationship Id="rId8" Type="http://schemas.openxmlformats.org/officeDocument/2006/relationships/hyperlink" Target="http://www.zapopan.gob.mx/wp-content/uploads/2017/06/DOPI_241_2015.pdf" TargetMode="External"/><Relationship Id="rId51" Type="http://schemas.openxmlformats.org/officeDocument/2006/relationships/hyperlink" Target="http://www.zapopan.gob.mx/wp-content/uploads/2017/09/71_16.pdf" TargetMode="External"/><Relationship Id="rId72" Type="http://schemas.openxmlformats.org/officeDocument/2006/relationships/hyperlink" Target="http://www.zapopan.gob.mx/wp-content/uploads/2017/06/DOPI_119_2016.pdf" TargetMode="External"/><Relationship Id="rId80" Type="http://schemas.openxmlformats.org/officeDocument/2006/relationships/hyperlink" Target="http://www.zapopan.gob.mx/wp-content/uploads/2017/09/171-16.pdf" TargetMode="External"/><Relationship Id="rId85" Type="http://schemas.openxmlformats.org/officeDocument/2006/relationships/hyperlink" Target="http://www.zapopan.gob.mx/wp-content/uploads/2017/09/210-16.pdf" TargetMode="External"/><Relationship Id="rId93" Type="http://schemas.openxmlformats.org/officeDocument/2006/relationships/hyperlink" Target="http://www.zapopan.gob.mx/wp-content/uploads/2017/09/245-16.pdf" TargetMode="External"/><Relationship Id="rId98" Type="http://schemas.openxmlformats.org/officeDocument/2006/relationships/hyperlink" Target="http://www.zapopan.gob.mx/wp-content/uploads/2017/09/017_17.pdf" TargetMode="External"/><Relationship Id="rId3" Type="http://schemas.openxmlformats.org/officeDocument/2006/relationships/hyperlink" Target="http://www.zapopan.gob.mx/wp-content/uploads/2017/06/DOPI_232_2015.pdf" TargetMode="External"/><Relationship Id="rId12" Type="http://schemas.openxmlformats.org/officeDocument/2006/relationships/hyperlink" Target="http://www.zapopan.gob.mx/wp-content/uploads/2017/06/DOPI_005_2016.pdf" TargetMode="External"/><Relationship Id="rId17" Type="http://schemas.openxmlformats.org/officeDocument/2006/relationships/hyperlink" Target="http://www.zapopan.gob.mx/wp-content/uploads/2017/09/10_16.pdf" TargetMode="External"/><Relationship Id="rId25" Type="http://schemas.openxmlformats.org/officeDocument/2006/relationships/hyperlink" Target="http://www.zapopan.gob.mx/wp-content/uploads/2017/02/DOPI_MUN_RP_PAV_LP_023_16.pdf" TargetMode="External"/><Relationship Id="rId33" Type="http://schemas.openxmlformats.org/officeDocument/2006/relationships/hyperlink" Target="http://www.zapopan.gob.mx/wp-content/uploads/2017/05/Contrato_035_2016.pdf" TargetMode="External"/><Relationship Id="rId38" Type="http://schemas.openxmlformats.org/officeDocument/2006/relationships/hyperlink" Target="http://www.zapopan.gob.mx/wp-content/uploads/2017/09/47_16.pdf" TargetMode="External"/><Relationship Id="rId46" Type="http://schemas.openxmlformats.org/officeDocument/2006/relationships/hyperlink" Target="http://www.zapopan.gob.mx/wp-content/uploads/2017/09/061_16.pdf" TargetMode="External"/><Relationship Id="rId59" Type="http://schemas.openxmlformats.org/officeDocument/2006/relationships/hyperlink" Target="http://www.zapopan.gob.mx/wp-content/uploads/2017/09/080-16.pdf" TargetMode="External"/><Relationship Id="rId67" Type="http://schemas.openxmlformats.org/officeDocument/2006/relationships/hyperlink" Target="http://www.zapopan.gob.mx/wp-content/uploads/2017/06/DOPI_105_2016.pdf" TargetMode="External"/><Relationship Id="rId20" Type="http://schemas.openxmlformats.org/officeDocument/2006/relationships/hyperlink" Target="http://www.zapopan.gob.mx/wp-content/uploads/2017/05/Contrato_019_2016.pdf" TargetMode="External"/><Relationship Id="rId41" Type="http://schemas.openxmlformats.org/officeDocument/2006/relationships/hyperlink" Target="http://www.zapopan.gob.mx/wp-content/uploads/2017/06/DOPI_054_2016.pdf" TargetMode="External"/><Relationship Id="rId54" Type="http://schemas.openxmlformats.org/officeDocument/2006/relationships/hyperlink" Target="http://www.zapopan.gob.mx/wp-content/uploads/2017/09/074-16.pdf" TargetMode="External"/><Relationship Id="rId62" Type="http://schemas.openxmlformats.org/officeDocument/2006/relationships/hyperlink" Target="http://www.zapopan.gob.mx/wp-content/uploads/2017/09/085-16.pdf" TargetMode="External"/><Relationship Id="rId70" Type="http://schemas.openxmlformats.org/officeDocument/2006/relationships/hyperlink" Target="http://www.zapopan.gob.mx/wp-content/uploads/2017/09/110_16.pdf" TargetMode="External"/><Relationship Id="rId75" Type="http://schemas.openxmlformats.org/officeDocument/2006/relationships/hyperlink" Target="http://www.zapopan.gob.mx/wp-content/uploads/2017/09/139-16.pdf" TargetMode="External"/><Relationship Id="rId83" Type="http://schemas.openxmlformats.org/officeDocument/2006/relationships/hyperlink" Target="http://www.zapopan.gob.mx/wp-content/uploads/2017/09/185-16.pdf" TargetMode="External"/><Relationship Id="rId88" Type="http://schemas.openxmlformats.org/officeDocument/2006/relationships/hyperlink" Target="http://www.zapopan.gob.mx/wp-content/uploads/2017/09/220-16.pdf" TargetMode="External"/><Relationship Id="rId91" Type="http://schemas.openxmlformats.org/officeDocument/2006/relationships/hyperlink" Target="http://www.zapopan.gob.mx/wp-content/uploads/2017/09/237-16.pdf" TargetMode="External"/><Relationship Id="rId96" Type="http://schemas.openxmlformats.org/officeDocument/2006/relationships/hyperlink" Target="http://www.zapopan.gob.mx/wp-content/uploads/2017/09/274-16.pdf" TargetMode="External"/><Relationship Id="rId1" Type="http://schemas.openxmlformats.org/officeDocument/2006/relationships/hyperlink" Target="http://www.zapopan.gob.mx/wp-content/uploads/2017/06/DOPI_230_2015.pdf" TargetMode="External"/><Relationship Id="rId6" Type="http://schemas.openxmlformats.org/officeDocument/2006/relationships/hyperlink" Target="http://www.zapopan.gob.mx/wp-content/uploads/2017/06/DOPI_239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2/DOPI_MUN_RP_PAV_LP_025_16.pdf" TargetMode="External"/><Relationship Id="rId36" Type="http://schemas.openxmlformats.org/officeDocument/2006/relationships/hyperlink" Target="http://www.zapopan.gob.mx/wp-content/uploads/2017/09/43_16.pdf" TargetMode="External"/><Relationship Id="rId49" Type="http://schemas.openxmlformats.org/officeDocument/2006/relationships/hyperlink" Target="http://www.zapopan.gob.mx/wp-content/uploads/2017/09/69_16-2.pdf" TargetMode="External"/><Relationship Id="rId57" Type="http://schemas.openxmlformats.org/officeDocument/2006/relationships/hyperlink" Target="http://www.zapopan.gob.mx/wp-content/uploads/2017/09/79-16.pdf" TargetMode="External"/><Relationship Id="rId10" Type="http://schemas.openxmlformats.org/officeDocument/2006/relationships/hyperlink" Target="http://www.zapopan.gob.mx/wp-content/uploads/2017/09/001_16.pdf" TargetMode="External"/><Relationship Id="rId31" Type="http://schemas.openxmlformats.org/officeDocument/2006/relationships/hyperlink" Target="http://www.zapopan.gob.mx/wp-content/uploads/2017/01/028_16.pdf" TargetMode="External"/><Relationship Id="rId44" Type="http://schemas.openxmlformats.org/officeDocument/2006/relationships/hyperlink" Target="http://www.zapopan.gob.mx/wp-content/uploads/2017/09/59_16.pdf" TargetMode="External"/><Relationship Id="rId52" Type="http://schemas.openxmlformats.org/officeDocument/2006/relationships/hyperlink" Target="http://www.zapopan.gob.mx/wp-content/uploads/2017/09/75_16.pdf" TargetMode="External"/><Relationship Id="rId60" Type="http://schemas.openxmlformats.org/officeDocument/2006/relationships/hyperlink" Target="http://www.zapopan.gob.mx/wp-content/uploads/2017/09/081_16.pdf" TargetMode="External"/><Relationship Id="rId65" Type="http://schemas.openxmlformats.org/officeDocument/2006/relationships/hyperlink" Target="http://www.zapopan.gob.mx/wp-content/uploads/2017/09/98-16.pdf" TargetMode="External"/><Relationship Id="rId73" Type="http://schemas.openxmlformats.org/officeDocument/2006/relationships/hyperlink" Target="http://www.zapopan.gob.mx/wp-content/uploads/2017/09/131_16.pdf" TargetMode="External"/><Relationship Id="rId78" Type="http://schemas.openxmlformats.org/officeDocument/2006/relationships/hyperlink" Target="http://www.zapopan.gob.mx/wp-content/uploads/2017/09/154-16.pdf" TargetMode="External"/><Relationship Id="rId81" Type="http://schemas.openxmlformats.org/officeDocument/2006/relationships/hyperlink" Target="http://www.zapopan.gob.mx/wp-content/uploads/2017/09/181-16.pdf" TargetMode="External"/><Relationship Id="rId86" Type="http://schemas.openxmlformats.org/officeDocument/2006/relationships/hyperlink" Target="http://www.zapopan.gob.mx/wp-content/uploads/2017/09/212-16.pdf" TargetMode="External"/><Relationship Id="rId94" Type="http://schemas.openxmlformats.org/officeDocument/2006/relationships/hyperlink" Target="http://www.zapopan.gob.mx/wp-content/uploads/2017/09/248-16.pdf" TargetMode="External"/><Relationship Id="rId99" Type="http://schemas.openxmlformats.org/officeDocument/2006/relationships/hyperlink" Target="http://www.zapopan.gob.mx/wp-content/uploads/2017/09/027-17.pdf" TargetMode="External"/><Relationship Id="rId101" Type="http://schemas.openxmlformats.org/officeDocument/2006/relationships/printerSettings" Target="../printerSettings/printerSettings1.bin"/><Relationship Id="rId4" Type="http://schemas.openxmlformats.org/officeDocument/2006/relationships/hyperlink" Target="http://www.zapopan.gob.mx/wp-content/uploads/2017/06/DOPI_236_2015.pdf" TargetMode="External"/><Relationship Id="rId9" Type="http://schemas.openxmlformats.org/officeDocument/2006/relationships/hyperlink" Target="http://www.zapopan.gob.mx/wp-content/uploads/2017/06/DOPI_243_2015.pdf" TargetMode="External"/><Relationship Id="rId13" Type="http://schemas.openxmlformats.org/officeDocument/2006/relationships/hyperlink" Target="http://www.zapopan.gob.mx/wp-content/uploads/2017/05/Contrato_007_2016.pdf" TargetMode="External"/><Relationship Id="rId18" Type="http://schemas.openxmlformats.org/officeDocument/2006/relationships/hyperlink" Target="http://www.zapopan.gob.mx/wp-content/uploads/2017/09/11_16.pdf" TargetMode="External"/><Relationship Id="rId39" Type="http://schemas.openxmlformats.org/officeDocument/2006/relationships/hyperlink" Target="http://www.zapopan.gob.mx/wp-content/uploads/2017/09/48_16.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B646"/>
  <sheetViews>
    <sheetView tabSelected="1" zoomScaleNormal="100" zoomScaleSheetLayoutView="100" workbookViewId="0">
      <selection activeCell="A4" sqref="A4:A5"/>
    </sheetView>
  </sheetViews>
  <sheetFormatPr baseColWidth="10" defaultColWidth="11.42578125" defaultRowHeight="15"/>
  <cols>
    <col min="1" max="1" width="12.7109375" style="2" customWidth="1"/>
    <col min="2" max="2" width="19.42578125" style="3" customWidth="1"/>
    <col min="3" max="3" width="35.28515625" style="3" customWidth="1"/>
    <col min="4" max="4" width="12.7109375" style="3" customWidth="1"/>
    <col min="5" max="5" width="41.28515625" style="3" customWidth="1"/>
    <col min="6" max="6" width="19.28515625" style="3" customWidth="1"/>
    <col min="7" max="7" width="16.7109375" style="3" bestFit="1" customWidth="1"/>
    <col min="8" max="8" width="15.140625" style="3" customWidth="1"/>
    <col min="9" max="9" width="18" style="3" customWidth="1"/>
    <col min="10" max="11" width="12.7109375" style="3" customWidth="1"/>
    <col min="12" max="12" width="20.7109375" style="3" customWidth="1"/>
    <col min="13" max="13" width="15.140625" style="3" customWidth="1"/>
    <col min="14" max="14" width="16.7109375" style="3" bestFit="1" customWidth="1"/>
    <col min="15" max="15" width="16.5703125" style="4" bestFit="1" customWidth="1"/>
    <col min="16" max="16" width="12.7109375" style="3" customWidth="1"/>
    <col min="17" max="17" width="16" style="3" customWidth="1"/>
    <col min="18" max="19" width="12.7109375" style="3" customWidth="1"/>
    <col min="20" max="20" width="26.28515625" style="3" customWidth="1"/>
    <col min="21" max="21" width="18.7109375" style="3" customWidth="1"/>
    <col min="22" max="23" width="12.7109375" style="3" customWidth="1"/>
    <col min="24" max="24" width="20" style="3" customWidth="1"/>
    <col min="25" max="26" width="12.7109375" style="3" customWidth="1"/>
    <col min="27" max="27" width="26.42578125" style="3" customWidth="1"/>
    <col min="28" max="28" width="12.7109375" style="3" customWidth="1"/>
  </cols>
  <sheetData>
    <row r="1" spans="1:28" ht="37.5" customHeight="1">
      <c r="A1" s="30"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2"/>
    </row>
    <row r="2" spans="1:28" ht="37.5" customHeight="1">
      <c r="A2" s="33"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5"/>
    </row>
    <row r="3" spans="1:28" ht="36.75" customHeight="1">
      <c r="A3" s="36" t="s">
        <v>2310</v>
      </c>
      <c r="B3" s="37"/>
      <c r="C3" s="37"/>
      <c r="D3" s="37"/>
      <c r="E3" s="37"/>
      <c r="F3" s="37"/>
      <c r="G3" s="37"/>
      <c r="H3" s="37"/>
      <c r="I3" s="37"/>
      <c r="J3" s="37"/>
      <c r="K3" s="37"/>
      <c r="L3" s="37"/>
      <c r="M3" s="37"/>
      <c r="N3" s="37"/>
      <c r="O3" s="37"/>
      <c r="P3" s="37"/>
      <c r="Q3" s="37"/>
      <c r="R3" s="37"/>
      <c r="S3" s="37"/>
      <c r="T3" s="37"/>
      <c r="U3" s="37"/>
      <c r="V3" s="37"/>
      <c r="W3" s="37"/>
      <c r="X3" s="37"/>
      <c r="Y3" s="37"/>
      <c r="Z3" s="37"/>
      <c r="AA3" s="37"/>
      <c r="AB3" s="38"/>
    </row>
    <row r="4" spans="1:28" ht="89.25" customHeight="1">
      <c r="A4" s="29" t="s">
        <v>2</v>
      </c>
      <c r="B4" s="29" t="s">
        <v>3</v>
      </c>
      <c r="C4" s="29" t="s">
        <v>4</v>
      </c>
      <c r="D4" s="29" t="s">
        <v>5</v>
      </c>
      <c r="E4" s="29" t="s">
        <v>6</v>
      </c>
      <c r="F4" s="29" t="s">
        <v>7</v>
      </c>
      <c r="G4" s="29" t="s">
        <v>8</v>
      </c>
      <c r="H4" s="29" t="s">
        <v>9</v>
      </c>
      <c r="I4" s="29" t="s">
        <v>10</v>
      </c>
      <c r="J4" s="29"/>
      <c r="K4" s="29"/>
      <c r="L4" s="29"/>
      <c r="M4" s="29"/>
      <c r="N4" s="29" t="s">
        <v>11</v>
      </c>
      <c r="O4" s="29" t="s">
        <v>12</v>
      </c>
      <c r="P4" s="29" t="s">
        <v>13</v>
      </c>
      <c r="Q4" s="29" t="s">
        <v>14</v>
      </c>
      <c r="R4" s="29" t="s">
        <v>15</v>
      </c>
      <c r="S4" s="29" t="s">
        <v>16</v>
      </c>
      <c r="T4" s="29" t="s">
        <v>17</v>
      </c>
      <c r="U4" s="29" t="s">
        <v>18</v>
      </c>
      <c r="V4" s="29" t="s">
        <v>19</v>
      </c>
      <c r="W4" s="29"/>
      <c r="X4" s="29" t="s">
        <v>20</v>
      </c>
      <c r="Y4" s="29"/>
      <c r="Z4" s="29"/>
      <c r="AA4" s="29" t="s">
        <v>21</v>
      </c>
      <c r="AB4" s="29" t="s">
        <v>22</v>
      </c>
    </row>
    <row r="5" spans="1:28" ht="61.5" customHeight="1">
      <c r="A5" s="29"/>
      <c r="B5" s="29"/>
      <c r="C5" s="29"/>
      <c r="D5" s="29"/>
      <c r="E5" s="29"/>
      <c r="F5" s="29"/>
      <c r="G5" s="29"/>
      <c r="H5" s="29"/>
      <c r="I5" s="6" t="s">
        <v>23</v>
      </c>
      <c r="J5" s="6" t="s">
        <v>24</v>
      </c>
      <c r="K5" s="6" t="s">
        <v>25</v>
      </c>
      <c r="L5" s="6" t="s">
        <v>26</v>
      </c>
      <c r="M5" s="6" t="s">
        <v>27</v>
      </c>
      <c r="N5" s="29"/>
      <c r="O5" s="29"/>
      <c r="P5" s="29"/>
      <c r="Q5" s="29"/>
      <c r="R5" s="29"/>
      <c r="S5" s="29"/>
      <c r="T5" s="29"/>
      <c r="U5" s="29"/>
      <c r="V5" s="6" t="s">
        <v>28</v>
      </c>
      <c r="W5" s="6" t="s">
        <v>29</v>
      </c>
      <c r="X5" s="6" t="s">
        <v>23</v>
      </c>
      <c r="Y5" s="6" t="s">
        <v>24</v>
      </c>
      <c r="Z5" s="6" t="s">
        <v>25</v>
      </c>
      <c r="AA5" s="29"/>
      <c r="AB5" s="29"/>
    </row>
    <row r="6" spans="1:28" ht="69.95" customHeight="1">
      <c r="A6" s="5">
        <v>2015</v>
      </c>
      <c r="B6" s="7" t="s">
        <v>30</v>
      </c>
      <c r="C6" s="7" t="s">
        <v>31</v>
      </c>
      <c r="D6" s="13">
        <v>42366</v>
      </c>
      <c r="E6" s="7" t="s">
        <v>32</v>
      </c>
      <c r="F6" s="7" t="s">
        <v>33</v>
      </c>
      <c r="G6" s="11">
        <v>4343074.72</v>
      </c>
      <c r="H6" s="7" t="s">
        <v>34</v>
      </c>
      <c r="I6" s="7" t="s">
        <v>35</v>
      </c>
      <c r="J6" s="7" t="s">
        <v>36</v>
      </c>
      <c r="K6" s="7" t="s">
        <v>37</v>
      </c>
      <c r="L6" s="7" t="s">
        <v>38</v>
      </c>
      <c r="M6" s="7" t="s">
        <v>39</v>
      </c>
      <c r="N6" s="11">
        <v>4343074.72</v>
      </c>
      <c r="O6" s="7" t="s">
        <v>40</v>
      </c>
      <c r="P6" s="7" t="s">
        <v>41</v>
      </c>
      <c r="Q6" s="11">
        <f>N6/180</f>
        <v>24128.192888888887</v>
      </c>
      <c r="R6" s="7" t="s">
        <v>42</v>
      </c>
      <c r="S6" s="7">
        <v>3990</v>
      </c>
      <c r="T6" s="7" t="s">
        <v>43</v>
      </c>
      <c r="U6" s="7" t="s">
        <v>44</v>
      </c>
      <c r="V6" s="13">
        <v>42367</v>
      </c>
      <c r="W6" s="13">
        <v>42415</v>
      </c>
      <c r="X6" s="7" t="s">
        <v>45</v>
      </c>
      <c r="Y6" s="7" t="s">
        <v>46</v>
      </c>
      <c r="Z6" s="7" t="s">
        <v>47</v>
      </c>
      <c r="AA6" s="9" t="s">
        <v>1241</v>
      </c>
      <c r="AB6" s="7" t="s">
        <v>40</v>
      </c>
    </row>
    <row r="7" spans="1:28" ht="69.95" customHeight="1">
      <c r="A7" s="7">
        <v>2015</v>
      </c>
      <c r="B7" s="7" t="s">
        <v>30</v>
      </c>
      <c r="C7" s="7" t="s">
        <v>48</v>
      </c>
      <c r="D7" s="13">
        <v>42366</v>
      </c>
      <c r="E7" s="7" t="s">
        <v>49</v>
      </c>
      <c r="F7" s="7" t="s">
        <v>33</v>
      </c>
      <c r="G7" s="11">
        <v>3769025.04</v>
      </c>
      <c r="H7" s="7" t="s">
        <v>50</v>
      </c>
      <c r="I7" s="7" t="s">
        <v>35</v>
      </c>
      <c r="J7" s="7" t="s">
        <v>36</v>
      </c>
      <c r="K7" s="7" t="s">
        <v>37</v>
      </c>
      <c r="L7" s="7" t="s">
        <v>38</v>
      </c>
      <c r="M7" s="7" t="s">
        <v>39</v>
      </c>
      <c r="N7" s="11">
        <v>3769025.04</v>
      </c>
      <c r="O7" s="7" t="s">
        <v>40</v>
      </c>
      <c r="P7" s="7" t="s">
        <v>51</v>
      </c>
      <c r="Q7" s="11">
        <f>N7</f>
        <v>3769025.04</v>
      </c>
      <c r="R7" s="7" t="s">
        <v>42</v>
      </c>
      <c r="S7" s="7">
        <v>700</v>
      </c>
      <c r="T7" s="7" t="s">
        <v>43</v>
      </c>
      <c r="U7" s="7" t="s">
        <v>44</v>
      </c>
      <c r="V7" s="13">
        <v>42367</v>
      </c>
      <c r="W7" s="13">
        <v>42415</v>
      </c>
      <c r="X7" s="7" t="s">
        <v>45</v>
      </c>
      <c r="Y7" s="7" t="s">
        <v>46</v>
      </c>
      <c r="Z7" s="7" t="s">
        <v>47</v>
      </c>
      <c r="AA7" s="9" t="s">
        <v>1242</v>
      </c>
      <c r="AB7" s="7" t="s">
        <v>40</v>
      </c>
    </row>
    <row r="8" spans="1:28" ht="69.95" customHeight="1">
      <c r="A8" s="5">
        <v>2015</v>
      </c>
      <c r="B8" s="7" t="s">
        <v>30</v>
      </c>
      <c r="C8" s="7" t="s">
        <v>52</v>
      </c>
      <c r="D8" s="13">
        <v>42366</v>
      </c>
      <c r="E8" s="7" t="s">
        <v>53</v>
      </c>
      <c r="F8" s="7" t="s">
        <v>33</v>
      </c>
      <c r="G8" s="11">
        <v>1945590.49</v>
      </c>
      <c r="H8" s="7" t="s">
        <v>54</v>
      </c>
      <c r="I8" s="7" t="s">
        <v>55</v>
      </c>
      <c r="J8" s="7" t="s">
        <v>56</v>
      </c>
      <c r="K8" s="7" t="s">
        <v>57</v>
      </c>
      <c r="L8" s="7" t="s">
        <v>58</v>
      </c>
      <c r="M8" s="7" t="s">
        <v>59</v>
      </c>
      <c r="N8" s="11">
        <v>1945590.49</v>
      </c>
      <c r="O8" s="11">
        <v>1542798.11</v>
      </c>
      <c r="P8" s="7" t="s">
        <v>60</v>
      </c>
      <c r="Q8" s="11">
        <f>N8/1410</f>
        <v>1379.8514113475178</v>
      </c>
      <c r="R8" s="7" t="s">
        <v>42</v>
      </c>
      <c r="S8" s="7">
        <v>1262</v>
      </c>
      <c r="T8" s="7" t="s">
        <v>43</v>
      </c>
      <c r="U8" s="7" t="s">
        <v>44</v>
      </c>
      <c r="V8" s="13">
        <v>42367</v>
      </c>
      <c r="W8" s="13">
        <v>42400</v>
      </c>
      <c r="X8" s="7" t="s">
        <v>61</v>
      </c>
      <c r="Y8" s="7" t="s">
        <v>62</v>
      </c>
      <c r="Z8" s="7" t="s">
        <v>63</v>
      </c>
      <c r="AA8" s="9" t="s">
        <v>1243</v>
      </c>
      <c r="AB8" s="7" t="s">
        <v>40</v>
      </c>
    </row>
    <row r="9" spans="1:28" ht="69.95" customHeight="1">
      <c r="A9" s="7">
        <v>2015</v>
      </c>
      <c r="B9" s="7" t="s">
        <v>64</v>
      </c>
      <c r="C9" s="7" t="s">
        <v>65</v>
      </c>
      <c r="D9" s="13">
        <v>42356</v>
      </c>
      <c r="E9" s="7" t="s">
        <v>66</v>
      </c>
      <c r="F9" s="7" t="s">
        <v>67</v>
      </c>
      <c r="G9" s="11">
        <v>732176.24</v>
      </c>
      <c r="H9" s="7" t="s">
        <v>68</v>
      </c>
      <c r="I9" s="7" t="s">
        <v>69</v>
      </c>
      <c r="J9" s="7" t="s">
        <v>70</v>
      </c>
      <c r="K9" s="7" t="s">
        <v>71</v>
      </c>
      <c r="L9" s="7" t="s">
        <v>72</v>
      </c>
      <c r="M9" s="7" t="s">
        <v>73</v>
      </c>
      <c r="N9" s="11">
        <v>732176.24</v>
      </c>
      <c r="O9" s="11">
        <v>620948.86</v>
      </c>
      <c r="P9" s="7" t="s">
        <v>74</v>
      </c>
      <c r="Q9" s="11">
        <f>N9/31</f>
        <v>23618.588387096774</v>
      </c>
      <c r="R9" s="7" t="s">
        <v>42</v>
      </c>
      <c r="S9" s="7">
        <v>437</v>
      </c>
      <c r="T9" s="7" t="s">
        <v>43</v>
      </c>
      <c r="U9" s="7" t="s">
        <v>44</v>
      </c>
      <c r="V9" s="13">
        <v>42360</v>
      </c>
      <c r="W9" s="13">
        <v>42400</v>
      </c>
      <c r="X9" s="7" t="s">
        <v>75</v>
      </c>
      <c r="Y9" s="7" t="s">
        <v>76</v>
      </c>
      <c r="Z9" s="7" t="s">
        <v>77</v>
      </c>
      <c r="AA9" s="9" t="s">
        <v>1244</v>
      </c>
      <c r="AB9" s="7" t="s">
        <v>40</v>
      </c>
    </row>
    <row r="10" spans="1:28" ht="69.95" customHeight="1">
      <c r="A10" s="5">
        <v>2015</v>
      </c>
      <c r="B10" s="7" t="s">
        <v>64</v>
      </c>
      <c r="C10" s="7" t="s">
        <v>78</v>
      </c>
      <c r="D10" s="13">
        <v>42356</v>
      </c>
      <c r="E10" s="7" t="s">
        <v>79</v>
      </c>
      <c r="F10" s="7" t="s">
        <v>67</v>
      </c>
      <c r="G10" s="11">
        <v>1479664.22</v>
      </c>
      <c r="H10" s="7" t="s">
        <v>80</v>
      </c>
      <c r="I10" s="7" t="s">
        <v>81</v>
      </c>
      <c r="J10" s="7" t="s">
        <v>82</v>
      </c>
      <c r="K10" s="7" t="s">
        <v>83</v>
      </c>
      <c r="L10" s="7" t="s">
        <v>84</v>
      </c>
      <c r="M10" s="7" t="s">
        <v>85</v>
      </c>
      <c r="N10" s="11">
        <v>1479664.22</v>
      </c>
      <c r="O10" s="11">
        <v>1469715.35</v>
      </c>
      <c r="P10" s="7" t="s">
        <v>86</v>
      </c>
      <c r="Q10" s="11">
        <f>N10/1815</f>
        <v>815.24199449035814</v>
      </c>
      <c r="R10" s="7" t="s">
        <v>42</v>
      </c>
      <c r="S10" s="7">
        <v>750</v>
      </c>
      <c r="T10" s="7" t="s">
        <v>43</v>
      </c>
      <c r="U10" s="7" t="s">
        <v>44</v>
      </c>
      <c r="V10" s="13">
        <v>42360</v>
      </c>
      <c r="W10" s="13">
        <v>42400</v>
      </c>
      <c r="X10" s="7" t="s">
        <v>87</v>
      </c>
      <c r="Y10" s="7" t="s">
        <v>88</v>
      </c>
      <c r="Z10" s="7" t="s">
        <v>89</v>
      </c>
      <c r="AA10" s="9" t="s">
        <v>1245</v>
      </c>
      <c r="AB10" s="7" t="s">
        <v>40</v>
      </c>
    </row>
    <row r="11" spans="1:28" ht="69.95" customHeight="1">
      <c r="A11" s="7">
        <v>2015</v>
      </c>
      <c r="B11" s="7" t="s">
        <v>64</v>
      </c>
      <c r="C11" s="7" t="s">
        <v>90</v>
      </c>
      <c r="D11" s="13">
        <v>42388</v>
      </c>
      <c r="E11" s="7" t="s">
        <v>91</v>
      </c>
      <c r="F11" s="7" t="s">
        <v>67</v>
      </c>
      <c r="G11" s="11">
        <v>148758.56</v>
      </c>
      <c r="H11" s="7" t="s">
        <v>92</v>
      </c>
      <c r="I11" s="7" t="s">
        <v>93</v>
      </c>
      <c r="J11" s="7" t="s">
        <v>94</v>
      </c>
      <c r="K11" s="7" t="s">
        <v>95</v>
      </c>
      <c r="L11" s="7" t="s">
        <v>96</v>
      </c>
      <c r="M11" s="7" t="s">
        <v>97</v>
      </c>
      <c r="N11" s="11">
        <v>148758.56</v>
      </c>
      <c r="O11" s="7" t="s">
        <v>40</v>
      </c>
      <c r="P11" s="7" t="s">
        <v>98</v>
      </c>
      <c r="Q11" s="11">
        <f>N11/53</f>
        <v>2806.7652830188681</v>
      </c>
      <c r="R11" s="7" t="s">
        <v>42</v>
      </c>
      <c r="S11" s="7">
        <v>165</v>
      </c>
      <c r="T11" s="7" t="s">
        <v>43</v>
      </c>
      <c r="U11" s="7" t="s">
        <v>44</v>
      </c>
      <c r="V11" s="13">
        <v>42389</v>
      </c>
      <c r="W11" s="13">
        <v>42439</v>
      </c>
      <c r="X11" s="7" t="s">
        <v>99</v>
      </c>
      <c r="Y11" s="7" t="s">
        <v>100</v>
      </c>
      <c r="Z11" s="7" t="s">
        <v>101</v>
      </c>
      <c r="AA11" s="7" t="s">
        <v>40</v>
      </c>
      <c r="AB11" s="7" t="s">
        <v>40</v>
      </c>
    </row>
    <row r="12" spans="1:28" ht="69.95" customHeight="1">
      <c r="A12" s="5">
        <v>2015</v>
      </c>
      <c r="B12" s="7" t="s">
        <v>64</v>
      </c>
      <c r="C12" s="7" t="s">
        <v>102</v>
      </c>
      <c r="D12" s="13">
        <v>42364</v>
      </c>
      <c r="E12" s="7" t="s">
        <v>103</v>
      </c>
      <c r="F12" s="7" t="s">
        <v>67</v>
      </c>
      <c r="G12" s="11">
        <v>1462545.61</v>
      </c>
      <c r="H12" s="7" t="s">
        <v>104</v>
      </c>
      <c r="I12" s="7" t="s">
        <v>105</v>
      </c>
      <c r="J12" s="7" t="s">
        <v>106</v>
      </c>
      <c r="K12" s="7" t="s">
        <v>107</v>
      </c>
      <c r="L12" s="7" t="s">
        <v>108</v>
      </c>
      <c r="M12" s="7" t="s">
        <v>109</v>
      </c>
      <c r="N12" s="11">
        <f>G12</f>
        <v>1462545.61</v>
      </c>
      <c r="O12" s="7" t="s">
        <v>40</v>
      </c>
      <c r="P12" s="7" t="s">
        <v>110</v>
      </c>
      <c r="Q12" s="11">
        <f>N12/315</f>
        <v>4643.001936507937</v>
      </c>
      <c r="R12" s="7" t="s">
        <v>42</v>
      </c>
      <c r="S12" s="7">
        <v>4345</v>
      </c>
      <c r="T12" s="7" t="s">
        <v>43</v>
      </c>
      <c r="U12" s="7" t="s">
        <v>44</v>
      </c>
      <c r="V12" s="13">
        <v>42366</v>
      </c>
      <c r="W12" s="13">
        <v>42434</v>
      </c>
      <c r="X12" s="7" t="s">
        <v>111</v>
      </c>
      <c r="Y12" s="7" t="s">
        <v>112</v>
      </c>
      <c r="Z12" s="7" t="s">
        <v>113</v>
      </c>
      <c r="AA12" s="9" t="s">
        <v>1246</v>
      </c>
      <c r="AB12" s="7" t="s">
        <v>40</v>
      </c>
    </row>
    <row r="13" spans="1:28" ht="69.95" customHeight="1">
      <c r="A13" s="7">
        <v>2015</v>
      </c>
      <c r="B13" s="7" t="s">
        <v>64</v>
      </c>
      <c r="C13" s="7" t="s">
        <v>114</v>
      </c>
      <c r="D13" s="13">
        <v>42364</v>
      </c>
      <c r="E13" s="7" t="s">
        <v>115</v>
      </c>
      <c r="F13" s="7" t="s">
        <v>67</v>
      </c>
      <c r="G13" s="11">
        <v>1313000.04</v>
      </c>
      <c r="H13" s="7" t="s">
        <v>104</v>
      </c>
      <c r="I13" s="7" t="s">
        <v>116</v>
      </c>
      <c r="J13" s="7" t="s">
        <v>117</v>
      </c>
      <c r="K13" s="7" t="s">
        <v>118</v>
      </c>
      <c r="L13" s="7" t="s">
        <v>119</v>
      </c>
      <c r="M13" s="7" t="s">
        <v>120</v>
      </c>
      <c r="N13" s="11">
        <f t="shared" ref="N13:N45" si="0">G13</f>
        <v>1313000.04</v>
      </c>
      <c r="O13" s="7" t="s">
        <v>40</v>
      </c>
      <c r="P13" s="7" t="s">
        <v>121</v>
      </c>
      <c r="Q13" s="11">
        <f>N13/360</f>
        <v>3647.2223333333336</v>
      </c>
      <c r="R13" s="7" t="s">
        <v>42</v>
      </c>
      <c r="S13" s="7">
        <v>4345</v>
      </c>
      <c r="T13" s="7" t="s">
        <v>43</v>
      </c>
      <c r="U13" s="7" t="s">
        <v>44</v>
      </c>
      <c r="V13" s="13">
        <v>42366</v>
      </c>
      <c r="W13" s="13">
        <v>42434</v>
      </c>
      <c r="X13" s="7" t="s">
        <v>111</v>
      </c>
      <c r="Y13" s="7" t="s">
        <v>112</v>
      </c>
      <c r="Z13" s="7" t="s">
        <v>113</v>
      </c>
      <c r="AA13" s="9" t="s">
        <v>1247</v>
      </c>
      <c r="AB13" s="7" t="s">
        <v>40</v>
      </c>
    </row>
    <row r="14" spans="1:28" ht="69.95" customHeight="1">
      <c r="A14" s="5">
        <v>2015</v>
      </c>
      <c r="B14" s="7" t="s">
        <v>64</v>
      </c>
      <c r="C14" s="7" t="s">
        <v>122</v>
      </c>
      <c r="D14" s="13">
        <v>42364</v>
      </c>
      <c r="E14" s="7" t="s">
        <v>123</v>
      </c>
      <c r="F14" s="7" t="s">
        <v>67</v>
      </c>
      <c r="G14" s="11">
        <v>48554.79</v>
      </c>
      <c r="H14" s="7" t="s">
        <v>124</v>
      </c>
      <c r="I14" s="7" t="s">
        <v>125</v>
      </c>
      <c r="J14" s="7" t="s">
        <v>126</v>
      </c>
      <c r="K14" s="7" t="s">
        <v>127</v>
      </c>
      <c r="L14" s="7" t="s">
        <v>128</v>
      </c>
      <c r="M14" s="7" t="s">
        <v>129</v>
      </c>
      <c r="N14" s="11">
        <f t="shared" si="0"/>
        <v>48554.79</v>
      </c>
      <c r="O14" s="7" t="s">
        <v>40</v>
      </c>
      <c r="P14" s="7" t="s">
        <v>130</v>
      </c>
      <c r="Q14" s="11">
        <f>N14/120</f>
        <v>404.62324999999998</v>
      </c>
      <c r="R14" s="7" t="s">
        <v>42</v>
      </c>
      <c r="S14" s="7">
        <v>446</v>
      </c>
      <c r="T14" s="7" t="s">
        <v>43</v>
      </c>
      <c r="U14" s="7" t="s">
        <v>44</v>
      </c>
      <c r="V14" s="13">
        <v>42366</v>
      </c>
      <c r="W14" s="13">
        <v>42400</v>
      </c>
      <c r="X14" s="7" t="s">
        <v>131</v>
      </c>
      <c r="Y14" s="7" t="s">
        <v>132</v>
      </c>
      <c r="Z14" s="7" t="s">
        <v>133</v>
      </c>
      <c r="AA14" s="9" t="s">
        <v>1248</v>
      </c>
      <c r="AB14" s="7" t="s">
        <v>40</v>
      </c>
    </row>
    <row r="15" spans="1:28" ht="69.95" customHeight="1">
      <c r="A15" s="7">
        <v>2015</v>
      </c>
      <c r="B15" s="7" t="s">
        <v>64</v>
      </c>
      <c r="C15" s="7" t="s">
        <v>134</v>
      </c>
      <c r="D15" s="13">
        <v>42364</v>
      </c>
      <c r="E15" s="7" t="s">
        <v>135</v>
      </c>
      <c r="F15" s="7" t="s">
        <v>67</v>
      </c>
      <c r="G15" s="11">
        <v>883610.98</v>
      </c>
      <c r="H15" s="7" t="s">
        <v>136</v>
      </c>
      <c r="I15" s="7" t="s">
        <v>137</v>
      </c>
      <c r="J15" s="7" t="s">
        <v>138</v>
      </c>
      <c r="K15" s="7" t="s">
        <v>139</v>
      </c>
      <c r="L15" s="7" t="s">
        <v>140</v>
      </c>
      <c r="M15" s="7" t="s">
        <v>141</v>
      </c>
      <c r="N15" s="11">
        <f t="shared" si="0"/>
        <v>883610.98</v>
      </c>
      <c r="O15" s="7" t="s">
        <v>40</v>
      </c>
      <c r="P15" s="7" t="s">
        <v>142</v>
      </c>
      <c r="Q15" s="11">
        <f>N15/440</f>
        <v>2008.2067727272727</v>
      </c>
      <c r="R15" s="7" t="s">
        <v>42</v>
      </c>
      <c r="S15" s="7">
        <v>435</v>
      </c>
      <c r="T15" s="7" t="s">
        <v>43</v>
      </c>
      <c r="U15" s="7" t="s">
        <v>44</v>
      </c>
      <c r="V15" s="13">
        <v>42366</v>
      </c>
      <c r="W15" s="13">
        <v>42460</v>
      </c>
      <c r="X15" s="7" t="s">
        <v>143</v>
      </c>
      <c r="Y15" s="7" t="s">
        <v>144</v>
      </c>
      <c r="Z15" s="7" t="s">
        <v>145</v>
      </c>
      <c r="AA15" s="7" t="s">
        <v>40</v>
      </c>
      <c r="AB15" s="7" t="s">
        <v>40</v>
      </c>
    </row>
    <row r="16" spans="1:28" ht="69.95" customHeight="1">
      <c r="A16" s="5">
        <v>2015</v>
      </c>
      <c r="B16" s="7" t="s">
        <v>64</v>
      </c>
      <c r="C16" s="7" t="s">
        <v>146</v>
      </c>
      <c r="D16" s="13">
        <v>42364</v>
      </c>
      <c r="E16" s="7" t="s">
        <v>147</v>
      </c>
      <c r="F16" s="7" t="s">
        <v>67</v>
      </c>
      <c r="G16" s="11">
        <v>83769.11</v>
      </c>
      <c r="H16" s="7" t="s">
        <v>148</v>
      </c>
      <c r="I16" s="7" t="s">
        <v>116</v>
      </c>
      <c r="J16" s="7" t="s">
        <v>149</v>
      </c>
      <c r="K16" s="7" t="s">
        <v>150</v>
      </c>
      <c r="L16" s="7" t="s">
        <v>151</v>
      </c>
      <c r="M16" s="7" t="s">
        <v>152</v>
      </c>
      <c r="N16" s="11">
        <f t="shared" si="0"/>
        <v>83769.11</v>
      </c>
      <c r="O16" s="11">
        <v>82908.240000000005</v>
      </c>
      <c r="P16" s="7" t="s">
        <v>153</v>
      </c>
      <c r="Q16" s="11">
        <f>N16/43</f>
        <v>1948.1188372093022</v>
      </c>
      <c r="R16" s="7" t="s">
        <v>42</v>
      </c>
      <c r="S16" s="7">
        <v>40</v>
      </c>
      <c r="T16" s="7" t="s">
        <v>43</v>
      </c>
      <c r="U16" s="7" t="s">
        <v>44</v>
      </c>
      <c r="V16" s="13">
        <v>42366</v>
      </c>
      <c r="W16" s="13">
        <v>42400</v>
      </c>
      <c r="X16" s="7" t="s">
        <v>116</v>
      </c>
      <c r="Y16" s="7" t="s">
        <v>154</v>
      </c>
      <c r="Z16" s="7" t="s">
        <v>155</v>
      </c>
      <c r="AA16" s="8" t="s">
        <v>1249</v>
      </c>
      <c r="AB16" s="7" t="s">
        <v>40</v>
      </c>
    </row>
    <row r="17" spans="1:28" ht="69.95" customHeight="1">
      <c r="A17" s="7">
        <v>2016</v>
      </c>
      <c r="B17" s="7" t="s">
        <v>64</v>
      </c>
      <c r="C17" s="7" t="s">
        <v>156</v>
      </c>
      <c r="D17" s="13">
        <v>42394</v>
      </c>
      <c r="E17" s="7" t="s">
        <v>157</v>
      </c>
      <c r="F17" s="7" t="s">
        <v>67</v>
      </c>
      <c r="G17" s="11">
        <v>999296.99880000006</v>
      </c>
      <c r="H17" s="7" t="s">
        <v>158</v>
      </c>
      <c r="I17" s="7" t="s">
        <v>159</v>
      </c>
      <c r="J17" s="7" t="s">
        <v>160</v>
      </c>
      <c r="K17" s="7" t="s">
        <v>161</v>
      </c>
      <c r="L17" s="7" t="s">
        <v>162</v>
      </c>
      <c r="M17" s="7" t="s">
        <v>163</v>
      </c>
      <c r="N17" s="11">
        <f t="shared" si="0"/>
        <v>999296.99880000006</v>
      </c>
      <c r="O17" s="11">
        <v>953158.19</v>
      </c>
      <c r="P17" s="7" t="s">
        <v>164</v>
      </c>
      <c r="Q17" s="11">
        <f>N17/1960</f>
        <v>509.84540755102046</v>
      </c>
      <c r="R17" s="7" t="s">
        <v>42</v>
      </c>
      <c r="S17" s="15">
        <v>120000</v>
      </c>
      <c r="T17" s="7" t="s">
        <v>43</v>
      </c>
      <c r="U17" s="7" t="s">
        <v>44</v>
      </c>
      <c r="V17" s="13">
        <v>42396</v>
      </c>
      <c r="W17" s="13">
        <v>42429</v>
      </c>
      <c r="X17" s="7" t="s">
        <v>165</v>
      </c>
      <c r="Y17" s="7" t="s">
        <v>166</v>
      </c>
      <c r="Z17" s="7" t="s">
        <v>167</v>
      </c>
      <c r="AA17" s="9" t="s">
        <v>156</v>
      </c>
      <c r="AB17" s="7" t="s">
        <v>40</v>
      </c>
    </row>
    <row r="18" spans="1:28" ht="69.95" customHeight="1">
      <c r="A18" s="7">
        <v>2016</v>
      </c>
      <c r="B18" s="7" t="s">
        <v>64</v>
      </c>
      <c r="C18" s="7" t="s">
        <v>168</v>
      </c>
      <c r="D18" s="13">
        <v>42387</v>
      </c>
      <c r="E18" s="7" t="s">
        <v>169</v>
      </c>
      <c r="F18" s="7" t="s">
        <v>67</v>
      </c>
      <c r="G18" s="11">
        <v>1615350.24</v>
      </c>
      <c r="H18" s="7" t="s">
        <v>170</v>
      </c>
      <c r="I18" s="7" t="s">
        <v>171</v>
      </c>
      <c r="J18" s="7" t="s">
        <v>107</v>
      </c>
      <c r="K18" s="7" t="s">
        <v>172</v>
      </c>
      <c r="L18" s="7" t="s">
        <v>173</v>
      </c>
      <c r="M18" s="7" t="s">
        <v>174</v>
      </c>
      <c r="N18" s="11">
        <f t="shared" si="0"/>
        <v>1615350.24</v>
      </c>
      <c r="O18" s="11">
        <v>1615350.24</v>
      </c>
      <c r="P18" s="7" t="s">
        <v>175</v>
      </c>
      <c r="Q18" s="11">
        <f>N18/6297</f>
        <v>256.52695569318723</v>
      </c>
      <c r="R18" s="7" t="s">
        <v>42</v>
      </c>
      <c r="S18" s="15">
        <v>25642</v>
      </c>
      <c r="T18" s="7" t="s">
        <v>43</v>
      </c>
      <c r="U18" s="7" t="s">
        <v>44</v>
      </c>
      <c r="V18" s="13">
        <v>42388</v>
      </c>
      <c r="W18" s="13">
        <v>42429</v>
      </c>
      <c r="X18" s="7" t="s">
        <v>87</v>
      </c>
      <c r="Y18" s="7" t="s">
        <v>88</v>
      </c>
      <c r="Z18" s="7" t="s">
        <v>89</v>
      </c>
      <c r="AA18" s="7" t="s">
        <v>40</v>
      </c>
      <c r="AB18" s="7" t="s">
        <v>40</v>
      </c>
    </row>
    <row r="19" spans="1:28" ht="69.95" customHeight="1">
      <c r="A19" s="7">
        <v>2016</v>
      </c>
      <c r="B19" s="7" t="s">
        <v>64</v>
      </c>
      <c r="C19" s="7" t="s">
        <v>176</v>
      </c>
      <c r="D19" s="13">
        <v>42387</v>
      </c>
      <c r="E19" s="7" t="s">
        <v>177</v>
      </c>
      <c r="F19" s="7" t="s">
        <v>67</v>
      </c>
      <c r="G19" s="11">
        <v>1245297.3500000001</v>
      </c>
      <c r="H19" s="7" t="s">
        <v>170</v>
      </c>
      <c r="I19" s="7" t="s">
        <v>178</v>
      </c>
      <c r="J19" s="7" t="s">
        <v>70</v>
      </c>
      <c r="K19" s="7" t="s">
        <v>71</v>
      </c>
      <c r="L19" s="7" t="s">
        <v>179</v>
      </c>
      <c r="M19" s="7" t="s">
        <v>180</v>
      </c>
      <c r="N19" s="11">
        <f t="shared" si="0"/>
        <v>1245297.3500000001</v>
      </c>
      <c r="O19" s="11">
        <v>1184976.27</v>
      </c>
      <c r="P19" s="7" t="s">
        <v>181</v>
      </c>
      <c r="Q19" s="11">
        <f>N19/6297</f>
        <v>197.7604176592028</v>
      </c>
      <c r="R19" s="7" t="s">
        <v>42</v>
      </c>
      <c r="S19" s="15">
        <v>25642</v>
      </c>
      <c r="T19" s="7" t="s">
        <v>43</v>
      </c>
      <c r="U19" s="7" t="s">
        <v>44</v>
      </c>
      <c r="V19" s="13">
        <v>42388</v>
      </c>
      <c r="W19" s="13">
        <v>42429</v>
      </c>
      <c r="X19" s="7" t="s">
        <v>87</v>
      </c>
      <c r="Y19" s="7" t="s">
        <v>88</v>
      </c>
      <c r="Z19" s="7" t="s">
        <v>89</v>
      </c>
      <c r="AA19" s="9" t="s">
        <v>176</v>
      </c>
      <c r="AB19" s="7" t="s">
        <v>40</v>
      </c>
    </row>
    <row r="20" spans="1:28" ht="69.95" customHeight="1">
      <c r="A20" s="7">
        <v>2016</v>
      </c>
      <c r="B20" s="7" t="s">
        <v>64</v>
      </c>
      <c r="C20" s="7" t="s">
        <v>182</v>
      </c>
      <c r="D20" s="13">
        <v>42413</v>
      </c>
      <c r="E20" s="7" t="s">
        <v>183</v>
      </c>
      <c r="F20" s="7" t="s">
        <v>184</v>
      </c>
      <c r="G20" s="11">
        <v>1029282.8540000001</v>
      </c>
      <c r="H20" s="7" t="s">
        <v>185</v>
      </c>
      <c r="I20" s="7" t="s">
        <v>186</v>
      </c>
      <c r="J20" s="7" t="s">
        <v>187</v>
      </c>
      <c r="K20" s="7" t="s">
        <v>188</v>
      </c>
      <c r="L20" s="7" t="s">
        <v>189</v>
      </c>
      <c r="M20" s="7" t="s">
        <v>190</v>
      </c>
      <c r="N20" s="11">
        <f t="shared" si="0"/>
        <v>1029282.8540000001</v>
      </c>
      <c r="O20" s="7" t="s">
        <v>40</v>
      </c>
      <c r="P20" s="7" t="s">
        <v>191</v>
      </c>
      <c r="Q20" s="11">
        <f>N20/781</f>
        <v>1317.9037823303458</v>
      </c>
      <c r="R20" s="7" t="s">
        <v>42</v>
      </c>
      <c r="S20" s="15">
        <v>6339</v>
      </c>
      <c r="T20" s="7" t="s">
        <v>43</v>
      </c>
      <c r="U20" s="7" t="s">
        <v>44</v>
      </c>
      <c r="V20" s="13">
        <v>42415</v>
      </c>
      <c r="W20" s="13">
        <v>42484</v>
      </c>
      <c r="X20" s="7" t="s">
        <v>131</v>
      </c>
      <c r="Y20" s="7" t="s">
        <v>132</v>
      </c>
      <c r="Z20" s="7" t="s">
        <v>133</v>
      </c>
      <c r="AA20" s="7" t="s">
        <v>40</v>
      </c>
      <c r="AB20" s="7" t="s">
        <v>40</v>
      </c>
    </row>
    <row r="21" spans="1:28" ht="69.95" customHeight="1">
      <c r="A21" s="7">
        <v>2016</v>
      </c>
      <c r="B21" s="7" t="s">
        <v>64</v>
      </c>
      <c r="C21" s="7" t="s">
        <v>192</v>
      </c>
      <c r="D21" s="13">
        <v>42420</v>
      </c>
      <c r="E21" s="7" t="s">
        <v>193</v>
      </c>
      <c r="F21" s="7" t="s">
        <v>67</v>
      </c>
      <c r="G21" s="11">
        <v>1480259.25</v>
      </c>
      <c r="H21" s="7" t="s">
        <v>194</v>
      </c>
      <c r="I21" s="7" t="s">
        <v>195</v>
      </c>
      <c r="J21" s="7" t="s">
        <v>196</v>
      </c>
      <c r="K21" s="7" t="s">
        <v>197</v>
      </c>
      <c r="L21" s="7" t="s">
        <v>198</v>
      </c>
      <c r="M21" s="7" t="s">
        <v>199</v>
      </c>
      <c r="N21" s="11">
        <f t="shared" si="0"/>
        <v>1480259.25</v>
      </c>
      <c r="O21" s="11">
        <v>1480062.03</v>
      </c>
      <c r="P21" s="7" t="s">
        <v>200</v>
      </c>
      <c r="Q21" s="11">
        <f>N21/850</f>
        <v>1741.4814705882352</v>
      </c>
      <c r="R21" s="7" t="s">
        <v>42</v>
      </c>
      <c r="S21" s="15">
        <v>279130</v>
      </c>
      <c r="T21" s="7" t="s">
        <v>43</v>
      </c>
      <c r="U21" s="7" t="s">
        <v>44</v>
      </c>
      <c r="V21" s="13">
        <v>42422</v>
      </c>
      <c r="W21" s="13">
        <v>42505</v>
      </c>
      <c r="X21" s="7" t="s">
        <v>87</v>
      </c>
      <c r="Y21" s="7" t="s">
        <v>88</v>
      </c>
      <c r="Z21" s="7" t="s">
        <v>89</v>
      </c>
      <c r="AA21" s="9" t="s">
        <v>1250</v>
      </c>
      <c r="AB21" s="7" t="s">
        <v>40</v>
      </c>
    </row>
    <row r="22" spans="1:28" ht="69.95" customHeight="1">
      <c r="A22" s="7">
        <v>2016</v>
      </c>
      <c r="B22" s="7" t="s">
        <v>64</v>
      </c>
      <c r="C22" s="7" t="s">
        <v>201</v>
      </c>
      <c r="D22" s="13">
        <v>42420</v>
      </c>
      <c r="E22" s="7" t="s">
        <v>202</v>
      </c>
      <c r="F22" s="7" t="s">
        <v>67</v>
      </c>
      <c r="G22" s="11">
        <v>595635.78</v>
      </c>
      <c r="H22" s="7" t="s">
        <v>203</v>
      </c>
      <c r="I22" s="7" t="s">
        <v>204</v>
      </c>
      <c r="J22" s="7" t="s">
        <v>205</v>
      </c>
      <c r="K22" s="7" t="s">
        <v>206</v>
      </c>
      <c r="L22" s="7" t="s">
        <v>207</v>
      </c>
      <c r="M22" s="7" t="s">
        <v>208</v>
      </c>
      <c r="N22" s="11">
        <f t="shared" si="0"/>
        <v>595635.78</v>
      </c>
      <c r="O22" s="7" t="s">
        <v>40</v>
      </c>
      <c r="P22" s="7" t="s">
        <v>209</v>
      </c>
      <c r="Q22" s="11">
        <f>N22/1007.23</f>
        <v>591.36024542557311</v>
      </c>
      <c r="R22" s="7" t="s">
        <v>42</v>
      </c>
      <c r="S22" s="15">
        <v>4008</v>
      </c>
      <c r="T22" s="7" t="s">
        <v>43</v>
      </c>
      <c r="U22" s="7" t="s">
        <v>44</v>
      </c>
      <c r="V22" s="13">
        <v>42422</v>
      </c>
      <c r="W22" s="13">
        <v>42484</v>
      </c>
      <c r="X22" s="7" t="s">
        <v>210</v>
      </c>
      <c r="Y22" s="7" t="s">
        <v>211</v>
      </c>
      <c r="Z22" s="7" t="s">
        <v>212</v>
      </c>
      <c r="AA22" s="9" t="s">
        <v>201</v>
      </c>
      <c r="AB22" s="7" t="s">
        <v>40</v>
      </c>
    </row>
    <row r="23" spans="1:28" ht="69.95" customHeight="1">
      <c r="A23" s="7">
        <v>2016</v>
      </c>
      <c r="B23" s="7" t="s">
        <v>64</v>
      </c>
      <c r="C23" s="7" t="s">
        <v>213</v>
      </c>
      <c r="D23" s="13">
        <v>42420</v>
      </c>
      <c r="E23" s="7" t="s">
        <v>214</v>
      </c>
      <c r="F23" s="7" t="s">
        <v>184</v>
      </c>
      <c r="G23" s="11">
        <v>680157.27</v>
      </c>
      <c r="H23" s="7" t="s">
        <v>215</v>
      </c>
      <c r="I23" s="7" t="s">
        <v>216</v>
      </c>
      <c r="J23" s="7" t="s">
        <v>217</v>
      </c>
      <c r="K23" s="7" t="s">
        <v>218</v>
      </c>
      <c r="L23" s="7" t="s">
        <v>219</v>
      </c>
      <c r="M23" s="7" t="s">
        <v>220</v>
      </c>
      <c r="N23" s="11">
        <f t="shared" si="0"/>
        <v>680157.27</v>
      </c>
      <c r="O23" s="7" t="s">
        <v>40</v>
      </c>
      <c r="P23" s="7" t="s">
        <v>221</v>
      </c>
      <c r="Q23" s="11">
        <f>N23/12</f>
        <v>56679.772499999999</v>
      </c>
      <c r="R23" s="7" t="s">
        <v>222</v>
      </c>
      <c r="S23" s="15">
        <v>1243756</v>
      </c>
      <c r="T23" s="7" t="s">
        <v>43</v>
      </c>
      <c r="U23" s="7" t="s">
        <v>44</v>
      </c>
      <c r="V23" s="13">
        <v>42422</v>
      </c>
      <c r="W23" s="13">
        <v>42484</v>
      </c>
      <c r="X23" s="7" t="s">
        <v>99</v>
      </c>
      <c r="Y23" s="7" t="s">
        <v>100</v>
      </c>
      <c r="Z23" s="7" t="s">
        <v>101</v>
      </c>
      <c r="AA23" s="9" t="s">
        <v>1251</v>
      </c>
      <c r="AB23" s="7" t="s">
        <v>40</v>
      </c>
    </row>
    <row r="24" spans="1:28" ht="69.95" customHeight="1">
      <c r="A24" s="7">
        <v>2016</v>
      </c>
      <c r="B24" s="7" t="s">
        <v>64</v>
      </c>
      <c r="C24" s="7" t="s">
        <v>223</v>
      </c>
      <c r="D24" s="13">
        <v>42406</v>
      </c>
      <c r="E24" s="7" t="s">
        <v>224</v>
      </c>
      <c r="F24" s="7" t="s">
        <v>184</v>
      </c>
      <c r="G24" s="11">
        <v>1135877.45</v>
      </c>
      <c r="H24" s="7" t="s">
        <v>225</v>
      </c>
      <c r="I24" s="7" t="s">
        <v>226</v>
      </c>
      <c r="J24" s="7" t="s">
        <v>227</v>
      </c>
      <c r="K24" s="7" t="s">
        <v>228</v>
      </c>
      <c r="L24" s="7" t="s">
        <v>229</v>
      </c>
      <c r="M24" s="7" t="s">
        <v>230</v>
      </c>
      <c r="N24" s="11">
        <f t="shared" si="0"/>
        <v>1135877.45</v>
      </c>
      <c r="O24" s="7" t="s">
        <v>40</v>
      </c>
      <c r="P24" s="7" t="s">
        <v>231</v>
      </c>
      <c r="Q24" s="11" t="s">
        <v>231</v>
      </c>
      <c r="R24" s="7" t="s">
        <v>232</v>
      </c>
      <c r="S24" s="15" t="s">
        <v>232</v>
      </c>
      <c r="T24" s="7" t="s">
        <v>43</v>
      </c>
      <c r="U24" s="7" t="s">
        <v>44</v>
      </c>
      <c r="V24" s="13">
        <v>42408</v>
      </c>
      <c r="W24" s="13">
        <v>42551</v>
      </c>
      <c r="X24" s="7" t="s">
        <v>233</v>
      </c>
      <c r="Y24" s="7" t="s">
        <v>234</v>
      </c>
      <c r="Z24" s="7" t="s">
        <v>235</v>
      </c>
      <c r="AA24" s="7" t="s">
        <v>40</v>
      </c>
      <c r="AB24" s="7" t="s">
        <v>40</v>
      </c>
    </row>
    <row r="25" spans="1:28" ht="69.95" customHeight="1">
      <c r="A25" s="7">
        <v>2016</v>
      </c>
      <c r="B25" s="7" t="s">
        <v>64</v>
      </c>
      <c r="C25" s="7" t="s">
        <v>236</v>
      </c>
      <c r="D25" s="13">
        <v>42406</v>
      </c>
      <c r="E25" s="7" t="s">
        <v>237</v>
      </c>
      <c r="F25" s="7" t="s">
        <v>184</v>
      </c>
      <c r="G25" s="11">
        <v>1394867.44</v>
      </c>
      <c r="H25" s="7" t="s">
        <v>225</v>
      </c>
      <c r="I25" s="7" t="s">
        <v>238</v>
      </c>
      <c r="J25" s="7" t="s">
        <v>239</v>
      </c>
      <c r="K25" s="7" t="s">
        <v>240</v>
      </c>
      <c r="L25" s="7" t="s">
        <v>241</v>
      </c>
      <c r="M25" s="7" t="s">
        <v>242</v>
      </c>
      <c r="N25" s="11">
        <f t="shared" si="0"/>
        <v>1394867.44</v>
      </c>
      <c r="O25" s="7" t="s">
        <v>40</v>
      </c>
      <c r="P25" s="7" t="s">
        <v>231</v>
      </c>
      <c r="Q25" s="11" t="s">
        <v>231</v>
      </c>
      <c r="R25" s="7" t="s">
        <v>232</v>
      </c>
      <c r="S25" s="15" t="s">
        <v>232</v>
      </c>
      <c r="T25" s="7" t="s">
        <v>43</v>
      </c>
      <c r="U25" s="7" t="s">
        <v>44</v>
      </c>
      <c r="V25" s="13">
        <v>42408</v>
      </c>
      <c r="W25" s="13">
        <v>42551</v>
      </c>
      <c r="X25" s="7" t="s">
        <v>243</v>
      </c>
      <c r="Y25" s="7" t="s">
        <v>244</v>
      </c>
      <c r="Z25" s="7" t="s">
        <v>245</v>
      </c>
      <c r="AA25" s="7" t="s">
        <v>40</v>
      </c>
      <c r="AB25" s="7" t="s">
        <v>40</v>
      </c>
    </row>
    <row r="26" spans="1:28" ht="69.95" customHeight="1">
      <c r="A26" s="7">
        <v>2016</v>
      </c>
      <c r="B26" s="7" t="s">
        <v>64</v>
      </c>
      <c r="C26" s="7" t="s">
        <v>246</v>
      </c>
      <c r="D26" s="13">
        <v>42406</v>
      </c>
      <c r="E26" s="7" t="s">
        <v>247</v>
      </c>
      <c r="F26" s="7" t="s">
        <v>184</v>
      </c>
      <c r="G26" s="11">
        <v>1293527.1299999999</v>
      </c>
      <c r="H26" s="7" t="s">
        <v>225</v>
      </c>
      <c r="I26" s="7" t="s">
        <v>248</v>
      </c>
      <c r="J26" s="7" t="s">
        <v>133</v>
      </c>
      <c r="K26" s="7" t="s">
        <v>249</v>
      </c>
      <c r="L26" s="7" t="s">
        <v>250</v>
      </c>
      <c r="M26" s="7" t="s">
        <v>251</v>
      </c>
      <c r="N26" s="11">
        <f t="shared" si="0"/>
        <v>1293527.1299999999</v>
      </c>
      <c r="O26" s="7" t="s">
        <v>40</v>
      </c>
      <c r="P26" s="7" t="s">
        <v>231</v>
      </c>
      <c r="Q26" s="11" t="s">
        <v>231</v>
      </c>
      <c r="R26" s="7" t="s">
        <v>232</v>
      </c>
      <c r="S26" s="15" t="s">
        <v>232</v>
      </c>
      <c r="T26" s="7" t="s">
        <v>43</v>
      </c>
      <c r="U26" s="7" t="s">
        <v>44</v>
      </c>
      <c r="V26" s="13">
        <v>42408</v>
      </c>
      <c r="W26" s="13">
        <v>42551</v>
      </c>
      <c r="X26" s="7" t="s">
        <v>252</v>
      </c>
      <c r="Y26" s="7" t="s">
        <v>253</v>
      </c>
      <c r="Z26" s="7" t="s">
        <v>254</v>
      </c>
      <c r="AA26" s="9" t="s">
        <v>246</v>
      </c>
      <c r="AB26" s="7" t="s">
        <v>40</v>
      </c>
    </row>
    <row r="27" spans="1:28" ht="69.95" customHeight="1">
      <c r="A27" s="7">
        <v>2016</v>
      </c>
      <c r="B27" s="7" t="s">
        <v>64</v>
      </c>
      <c r="C27" s="7" t="s">
        <v>255</v>
      </c>
      <c r="D27" s="13">
        <v>42406</v>
      </c>
      <c r="E27" s="7" t="s">
        <v>256</v>
      </c>
      <c r="F27" s="7" t="s">
        <v>184</v>
      </c>
      <c r="G27" s="11">
        <v>1456436.78</v>
      </c>
      <c r="H27" s="7" t="s">
        <v>225</v>
      </c>
      <c r="I27" s="7" t="s">
        <v>257</v>
      </c>
      <c r="J27" s="7" t="s">
        <v>258</v>
      </c>
      <c r="K27" s="7" t="s">
        <v>259</v>
      </c>
      <c r="L27" s="7" t="s">
        <v>260</v>
      </c>
      <c r="M27" s="7" t="s">
        <v>261</v>
      </c>
      <c r="N27" s="11">
        <f t="shared" si="0"/>
        <v>1456436.78</v>
      </c>
      <c r="O27" s="7" t="s">
        <v>40</v>
      </c>
      <c r="P27" s="7" t="s">
        <v>231</v>
      </c>
      <c r="Q27" s="11" t="s">
        <v>231</v>
      </c>
      <c r="R27" s="7" t="s">
        <v>232</v>
      </c>
      <c r="S27" s="15" t="s">
        <v>232</v>
      </c>
      <c r="T27" s="7" t="s">
        <v>43</v>
      </c>
      <c r="U27" s="7" t="s">
        <v>44</v>
      </c>
      <c r="V27" s="13">
        <v>42408</v>
      </c>
      <c r="W27" s="13">
        <v>42735</v>
      </c>
      <c r="X27" s="7" t="s">
        <v>262</v>
      </c>
      <c r="Y27" s="7" t="s">
        <v>112</v>
      </c>
      <c r="Z27" s="7" t="s">
        <v>263</v>
      </c>
      <c r="AA27" s="9" t="s">
        <v>255</v>
      </c>
      <c r="AB27" s="7" t="s">
        <v>40</v>
      </c>
    </row>
    <row r="28" spans="1:28" ht="69.95" customHeight="1">
      <c r="A28" s="7">
        <v>2016</v>
      </c>
      <c r="B28" s="7" t="s">
        <v>64</v>
      </c>
      <c r="C28" s="7" t="s">
        <v>264</v>
      </c>
      <c r="D28" s="13">
        <v>42406</v>
      </c>
      <c r="E28" s="7" t="s">
        <v>265</v>
      </c>
      <c r="F28" s="7" t="s">
        <v>184</v>
      </c>
      <c r="G28" s="11">
        <v>1528326.3</v>
      </c>
      <c r="H28" s="7" t="s">
        <v>225</v>
      </c>
      <c r="I28" s="7" t="s">
        <v>266</v>
      </c>
      <c r="J28" s="7" t="s">
        <v>267</v>
      </c>
      <c r="K28" s="7" t="s">
        <v>268</v>
      </c>
      <c r="L28" s="7" t="s">
        <v>269</v>
      </c>
      <c r="M28" s="7" t="s">
        <v>270</v>
      </c>
      <c r="N28" s="11">
        <f t="shared" si="0"/>
        <v>1528326.3</v>
      </c>
      <c r="O28" s="7" t="s">
        <v>40</v>
      </c>
      <c r="P28" s="7" t="s">
        <v>231</v>
      </c>
      <c r="Q28" s="11" t="s">
        <v>231</v>
      </c>
      <c r="R28" s="7" t="s">
        <v>232</v>
      </c>
      <c r="S28" s="15" t="s">
        <v>232</v>
      </c>
      <c r="T28" s="7" t="s">
        <v>43</v>
      </c>
      <c r="U28" s="7" t="s">
        <v>44</v>
      </c>
      <c r="V28" s="13">
        <v>42408</v>
      </c>
      <c r="W28" s="13">
        <v>42735</v>
      </c>
      <c r="X28" s="7" t="s">
        <v>262</v>
      </c>
      <c r="Y28" s="7" t="s">
        <v>112</v>
      </c>
      <c r="Z28" s="7" t="s">
        <v>263</v>
      </c>
      <c r="AA28" s="9" t="s">
        <v>1252</v>
      </c>
      <c r="AB28" s="7" t="s">
        <v>40</v>
      </c>
    </row>
    <row r="29" spans="1:28" ht="69.95" customHeight="1">
      <c r="A29" s="7">
        <v>2016</v>
      </c>
      <c r="B29" s="7" t="s">
        <v>64</v>
      </c>
      <c r="C29" s="7" t="s">
        <v>271</v>
      </c>
      <c r="D29" s="13">
        <v>42406</v>
      </c>
      <c r="E29" s="7" t="s">
        <v>272</v>
      </c>
      <c r="F29" s="7" t="s">
        <v>184</v>
      </c>
      <c r="G29" s="11">
        <v>1201315.48</v>
      </c>
      <c r="H29" s="7" t="s">
        <v>225</v>
      </c>
      <c r="I29" s="7" t="s">
        <v>273</v>
      </c>
      <c r="J29" s="7" t="s">
        <v>258</v>
      </c>
      <c r="K29" s="7" t="s">
        <v>274</v>
      </c>
      <c r="L29" s="7" t="s">
        <v>275</v>
      </c>
      <c r="M29" s="7" t="s">
        <v>276</v>
      </c>
      <c r="N29" s="11">
        <f t="shared" si="0"/>
        <v>1201315.48</v>
      </c>
      <c r="O29" s="7" t="s">
        <v>40</v>
      </c>
      <c r="P29" s="7" t="s">
        <v>231</v>
      </c>
      <c r="Q29" s="11" t="s">
        <v>231</v>
      </c>
      <c r="R29" s="7" t="s">
        <v>232</v>
      </c>
      <c r="S29" s="15" t="s">
        <v>232</v>
      </c>
      <c r="T29" s="7" t="s">
        <v>43</v>
      </c>
      <c r="U29" s="7" t="s">
        <v>44</v>
      </c>
      <c r="V29" s="13">
        <v>42408</v>
      </c>
      <c r="W29" s="13">
        <v>42551</v>
      </c>
      <c r="X29" s="7" t="s">
        <v>262</v>
      </c>
      <c r="Y29" s="7" t="s">
        <v>112</v>
      </c>
      <c r="Z29" s="7" t="s">
        <v>263</v>
      </c>
      <c r="AA29" s="9" t="s">
        <v>1253</v>
      </c>
      <c r="AB29" s="7" t="s">
        <v>40</v>
      </c>
    </row>
    <row r="30" spans="1:28" ht="69.95" customHeight="1">
      <c r="A30" s="7">
        <v>2016</v>
      </c>
      <c r="B30" s="7" t="s">
        <v>64</v>
      </c>
      <c r="C30" s="7" t="s">
        <v>277</v>
      </c>
      <c r="D30" s="13">
        <v>42406</v>
      </c>
      <c r="E30" s="7" t="s">
        <v>278</v>
      </c>
      <c r="F30" s="7" t="s">
        <v>184</v>
      </c>
      <c r="G30" s="11">
        <v>1385659.75</v>
      </c>
      <c r="H30" s="7" t="s">
        <v>225</v>
      </c>
      <c r="I30" s="7" t="s">
        <v>279</v>
      </c>
      <c r="J30" s="7" t="s">
        <v>280</v>
      </c>
      <c r="K30" s="7" t="s">
        <v>281</v>
      </c>
      <c r="L30" s="7" t="s">
        <v>282</v>
      </c>
      <c r="M30" s="7" t="s">
        <v>283</v>
      </c>
      <c r="N30" s="11">
        <f t="shared" si="0"/>
        <v>1385659.75</v>
      </c>
      <c r="O30" s="7" t="s">
        <v>40</v>
      </c>
      <c r="P30" s="7" t="s">
        <v>231</v>
      </c>
      <c r="Q30" s="11" t="s">
        <v>231</v>
      </c>
      <c r="R30" s="7" t="s">
        <v>232</v>
      </c>
      <c r="S30" s="15" t="s">
        <v>232</v>
      </c>
      <c r="T30" s="7" t="s">
        <v>43</v>
      </c>
      <c r="U30" s="7" t="s">
        <v>44</v>
      </c>
      <c r="V30" s="13">
        <v>42408</v>
      </c>
      <c r="W30" s="13">
        <v>42551</v>
      </c>
      <c r="X30" s="7" t="s">
        <v>284</v>
      </c>
      <c r="Y30" s="7" t="s">
        <v>285</v>
      </c>
      <c r="Z30" s="7" t="s">
        <v>286</v>
      </c>
      <c r="AA30" s="7" t="s">
        <v>40</v>
      </c>
      <c r="AB30" s="7" t="s">
        <v>40</v>
      </c>
    </row>
    <row r="31" spans="1:28" ht="69.95" customHeight="1">
      <c r="A31" s="7">
        <v>2016</v>
      </c>
      <c r="B31" s="7" t="s">
        <v>64</v>
      </c>
      <c r="C31" s="7" t="s">
        <v>287</v>
      </c>
      <c r="D31" s="13">
        <v>42413</v>
      </c>
      <c r="E31" s="7" t="s">
        <v>288</v>
      </c>
      <c r="F31" s="7" t="s">
        <v>67</v>
      </c>
      <c r="G31" s="11">
        <v>1547300.2</v>
      </c>
      <c r="H31" s="7" t="s">
        <v>289</v>
      </c>
      <c r="I31" s="7" t="s">
        <v>290</v>
      </c>
      <c r="J31" s="7" t="s">
        <v>291</v>
      </c>
      <c r="K31" s="7" t="s">
        <v>117</v>
      </c>
      <c r="L31" s="7" t="s">
        <v>292</v>
      </c>
      <c r="M31" s="7" t="s">
        <v>293</v>
      </c>
      <c r="N31" s="11">
        <f t="shared" si="0"/>
        <v>1547300.2</v>
      </c>
      <c r="O31" s="11">
        <v>1547263.27</v>
      </c>
      <c r="P31" s="7" t="s">
        <v>294</v>
      </c>
      <c r="Q31" s="11">
        <f>N31/2546.52</f>
        <v>607.61360601919478</v>
      </c>
      <c r="R31" s="7" t="s">
        <v>42</v>
      </c>
      <c r="S31" s="15">
        <v>2614</v>
      </c>
      <c r="T31" s="7" t="s">
        <v>43</v>
      </c>
      <c r="U31" s="7" t="s">
        <v>44</v>
      </c>
      <c r="V31" s="13">
        <v>42415</v>
      </c>
      <c r="W31" s="13">
        <v>42475</v>
      </c>
      <c r="X31" s="7" t="s">
        <v>210</v>
      </c>
      <c r="Y31" s="7" t="s">
        <v>295</v>
      </c>
      <c r="Z31" s="7" t="s">
        <v>254</v>
      </c>
      <c r="AA31" s="9" t="s">
        <v>287</v>
      </c>
      <c r="AB31" s="7" t="s">
        <v>40</v>
      </c>
    </row>
    <row r="32" spans="1:28" ht="69.95" customHeight="1">
      <c r="A32" s="7">
        <v>2016</v>
      </c>
      <c r="B32" s="7" t="s">
        <v>296</v>
      </c>
      <c r="C32" s="7" t="s">
        <v>297</v>
      </c>
      <c r="D32" s="13">
        <v>42494</v>
      </c>
      <c r="E32" s="7" t="s">
        <v>298</v>
      </c>
      <c r="F32" s="7" t="s">
        <v>67</v>
      </c>
      <c r="G32" s="11">
        <v>3199054.38</v>
      </c>
      <c r="H32" s="7" t="s">
        <v>299</v>
      </c>
      <c r="I32" s="7" t="s">
        <v>252</v>
      </c>
      <c r="J32" s="7" t="s">
        <v>300</v>
      </c>
      <c r="K32" s="7" t="s">
        <v>117</v>
      </c>
      <c r="L32" s="7" t="s">
        <v>301</v>
      </c>
      <c r="M32" s="7" t="s">
        <v>302</v>
      </c>
      <c r="N32" s="11">
        <f>G32</f>
        <v>3199054.38</v>
      </c>
      <c r="O32" s="7" t="s">
        <v>40</v>
      </c>
      <c r="P32" s="7" t="s">
        <v>303</v>
      </c>
      <c r="Q32" s="11">
        <f>N32/525</f>
        <v>6093.436914285714</v>
      </c>
      <c r="R32" s="7" t="s">
        <v>42</v>
      </c>
      <c r="S32" s="15">
        <v>2614</v>
      </c>
      <c r="T32" s="7" t="s">
        <v>43</v>
      </c>
      <c r="U32" s="7" t="s">
        <v>44</v>
      </c>
      <c r="V32" s="13">
        <v>42495</v>
      </c>
      <c r="W32" s="13">
        <v>42580</v>
      </c>
      <c r="X32" s="7" t="s">
        <v>304</v>
      </c>
      <c r="Y32" s="7" t="s">
        <v>305</v>
      </c>
      <c r="Z32" s="7" t="s">
        <v>306</v>
      </c>
      <c r="AA32" s="7" t="s">
        <v>40</v>
      </c>
      <c r="AB32" s="7" t="s">
        <v>40</v>
      </c>
    </row>
    <row r="33" spans="1:28" ht="69.95" customHeight="1">
      <c r="A33" s="7">
        <v>2016</v>
      </c>
      <c r="B33" s="7" t="s">
        <v>296</v>
      </c>
      <c r="C33" s="7" t="s">
        <v>307</v>
      </c>
      <c r="D33" s="13">
        <v>42494</v>
      </c>
      <c r="E33" s="7" t="s">
        <v>308</v>
      </c>
      <c r="F33" s="7" t="s">
        <v>184</v>
      </c>
      <c r="G33" s="11">
        <v>3490706.8</v>
      </c>
      <c r="H33" s="7" t="s">
        <v>309</v>
      </c>
      <c r="I33" s="7" t="s">
        <v>310</v>
      </c>
      <c r="J33" s="7" t="s">
        <v>311</v>
      </c>
      <c r="K33" s="7" t="s">
        <v>245</v>
      </c>
      <c r="L33" s="7" t="s">
        <v>312</v>
      </c>
      <c r="M33" s="7" t="s">
        <v>313</v>
      </c>
      <c r="N33" s="11">
        <f t="shared" si="0"/>
        <v>3490706.8</v>
      </c>
      <c r="O33" s="7" t="s">
        <v>40</v>
      </c>
      <c r="P33" s="7" t="s">
        <v>231</v>
      </c>
      <c r="Q33" s="7" t="s">
        <v>231</v>
      </c>
      <c r="R33" s="7" t="s">
        <v>232</v>
      </c>
      <c r="S33" s="7" t="s">
        <v>232</v>
      </c>
      <c r="T33" s="7" t="s">
        <v>43</v>
      </c>
      <c r="U33" s="7" t="s">
        <v>44</v>
      </c>
      <c r="V33" s="13">
        <v>42495</v>
      </c>
      <c r="W33" s="13">
        <v>42580</v>
      </c>
      <c r="X33" s="7" t="s">
        <v>314</v>
      </c>
      <c r="Y33" s="7" t="s">
        <v>315</v>
      </c>
      <c r="Z33" s="7" t="s">
        <v>316</v>
      </c>
      <c r="AA33" s="9" t="s">
        <v>307</v>
      </c>
      <c r="AB33" s="7" t="s">
        <v>40</v>
      </c>
    </row>
    <row r="34" spans="1:28" ht="69.95" customHeight="1">
      <c r="A34" s="7">
        <v>2016</v>
      </c>
      <c r="B34" s="7" t="s">
        <v>296</v>
      </c>
      <c r="C34" s="7" t="s">
        <v>317</v>
      </c>
      <c r="D34" s="13">
        <v>42494</v>
      </c>
      <c r="E34" s="7" t="s">
        <v>318</v>
      </c>
      <c r="F34" s="7" t="s">
        <v>67</v>
      </c>
      <c r="G34" s="11">
        <v>4875705.4800000004</v>
      </c>
      <c r="H34" s="7" t="s">
        <v>319</v>
      </c>
      <c r="I34" s="7" t="s">
        <v>320</v>
      </c>
      <c r="J34" s="7" t="s">
        <v>172</v>
      </c>
      <c r="K34" s="7" t="s">
        <v>321</v>
      </c>
      <c r="L34" s="7" t="s">
        <v>322</v>
      </c>
      <c r="M34" s="7" t="s">
        <v>323</v>
      </c>
      <c r="N34" s="11">
        <f t="shared" si="0"/>
        <v>4875705.4800000004</v>
      </c>
      <c r="O34" s="7" t="s">
        <v>40</v>
      </c>
      <c r="P34" s="7" t="s">
        <v>231</v>
      </c>
      <c r="Q34" s="7" t="s">
        <v>231</v>
      </c>
      <c r="R34" s="7" t="s">
        <v>232</v>
      </c>
      <c r="S34" s="7" t="s">
        <v>232</v>
      </c>
      <c r="T34" s="7" t="s">
        <v>43</v>
      </c>
      <c r="U34" s="7" t="s">
        <v>44</v>
      </c>
      <c r="V34" s="13">
        <v>42495</v>
      </c>
      <c r="W34" s="13">
        <v>42580</v>
      </c>
      <c r="X34" s="7" t="s">
        <v>324</v>
      </c>
      <c r="Y34" s="7" t="s">
        <v>149</v>
      </c>
      <c r="Z34" s="7" t="s">
        <v>325</v>
      </c>
      <c r="AA34" s="9" t="s">
        <v>1254</v>
      </c>
      <c r="AB34" s="7" t="s">
        <v>40</v>
      </c>
    </row>
    <row r="35" spans="1:28" ht="69.95" customHeight="1">
      <c r="A35" s="7">
        <v>2016</v>
      </c>
      <c r="B35" s="7" t="s">
        <v>30</v>
      </c>
      <c r="C35" s="7" t="s">
        <v>326</v>
      </c>
      <c r="D35" s="13">
        <v>42494</v>
      </c>
      <c r="E35" s="7" t="s">
        <v>327</v>
      </c>
      <c r="F35" s="7" t="s">
        <v>67</v>
      </c>
      <c r="G35" s="11">
        <v>2407303.62</v>
      </c>
      <c r="H35" s="7" t="s">
        <v>328</v>
      </c>
      <c r="I35" s="7" t="s">
        <v>105</v>
      </c>
      <c r="J35" s="7" t="s">
        <v>259</v>
      </c>
      <c r="K35" s="7" t="s">
        <v>329</v>
      </c>
      <c r="L35" s="7" t="s">
        <v>330</v>
      </c>
      <c r="M35" s="7" t="s">
        <v>331</v>
      </c>
      <c r="N35" s="11">
        <f t="shared" si="0"/>
        <v>2407303.62</v>
      </c>
      <c r="O35" s="11" t="s">
        <v>40</v>
      </c>
      <c r="P35" s="7" t="s">
        <v>332</v>
      </c>
      <c r="Q35" s="11">
        <f>N35/1943</f>
        <v>1238.9622336592897</v>
      </c>
      <c r="R35" s="7" t="s">
        <v>42</v>
      </c>
      <c r="S35" s="15">
        <v>8735</v>
      </c>
      <c r="T35" s="7" t="s">
        <v>43</v>
      </c>
      <c r="U35" s="7" t="s">
        <v>44</v>
      </c>
      <c r="V35" s="13">
        <v>42495</v>
      </c>
      <c r="W35" s="13">
        <v>42560</v>
      </c>
      <c r="X35" s="7" t="s">
        <v>333</v>
      </c>
      <c r="Y35" s="7" t="s">
        <v>334</v>
      </c>
      <c r="Z35" s="7" t="s">
        <v>133</v>
      </c>
      <c r="AA35" s="9" t="s">
        <v>1255</v>
      </c>
      <c r="AB35" s="7" t="s">
        <v>40</v>
      </c>
    </row>
    <row r="36" spans="1:28" ht="69.95" customHeight="1">
      <c r="A36" s="7">
        <v>2016</v>
      </c>
      <c r="B36" s="7" t="s">
        <v>30</v>
      </c>
      <c r="C36" s="7" t="s">
        <v>335</v>
      </c>
      <c r="D36" s="13">
        <v>42494</v>
      </c>
      <c r="E36" s="7" t="s">
        <v>336</v>
      </c>
      <c r="F36" s="7" t="s">
        <v>67</v>
      </c>
      <c r="G36" s="11">
        <v>3751058.09</v>
      </c>
      <c r="H36" s="7" t="s">
        <v>337</v>
      </c>
      <c r="I36" s="7" t="s">
        <v>338</v>
      </c>
      <c r="J36" s="7" t="s">
        <v>112</v>
      </c>
      <c r="K36" s="7" t="s">
        <v>139</v>
      </c>
      <c r="L36" s="7" t="s">
        <v>339</v>
      </c>
      <c r="M36" s="7" t="s">
        <v>340</v>
      </c>
      <c r="N36" s="11">
        <f t="shared" si="0"/>
        <v>3751058.09</v>
      </c>
      <c r="O36" s="11" t="s">
        <v>40</v>
      </c>
      <c r="P36" s="7" t="s">
        <v>341</v>
      </c>
      <c r="Q36" s="11">
        <f>N36/3528</f>
        <v>1063.2250821995465</v>
      </c>
      <c r="R36" s="7" t="s">
        <v>42</v>
      </c>
      <c r="S36" s="15">
        <v>42592</v>
      </c>
      <c r="T36" s="7" t="s">
        <v>43</v>
      </c>
      <c r="U36" s="7" t="s">
        <v>44</v>
      </c>
      <c r="V36" s="13">
        <v>42495</v>
      </c>
      <c r="W36" s="13">
        <v>42560</v>
      </c>
      <c r="X36" s="7" t="s">
        <v>342</v>
      </c>
      <c r="Y36" s="7" t="s">
        <v>343</v>
      </c>
      <c r="Z36" s="7" t="s">
        <v>344</v>
      </c>
      <c r="AA36" s="9" t="s">
        <v>335</v>
      </c>
      <c r="AB36" s="7" t="s">
        <v>40</v>
      </c>
    </row>
    <row r="37" spans="1:28" ht="69.95" customHeight="1">
      <c r="A37" s="7">
        <v>2016</v>
      </c>
      <c r="B37" s="7" t="s">
        <v>30</v>
      </c>
      <c r="C37" s="7" t="s">
        <v>345</v>
      </c>
      <c r="D37" s="13">
        <v>42494</v>
      </c>
      <c r="E37" s="7" t="s">
        <v>346</v>
      </c>
      <c r="F37" s="7" t="s">
        <v>67</v>
      </c>
      <c r="G37" s="11">
        <v>9061398</v>
      </c>
      <c r="H37" s="7" t="s">
        <v>347</v>
      </c>
      <c r="I37" s="7" t="s">
        <v>348</v>
      </c>
      <c r="J37" s="7" t="s">
        <v>349</v>
      </c>
      <c r="K37" s="7" t="s">
        <v>350</v>
      </c>
      <c r="L37" s="7" t="s">
        <v>351</v>
      </c>
      <c r="M37" s="7" t="s">
        <v>352</v>
      </c>
      <c r="N37" s="11">
        <f t="shared" si="0"/>
        <v>9061398</v>
      </c>
      <c r="O37" s="11">
        <v>9061387.8000000007</v>
      </c>
      <c r="P37" s="7" t="s">
        <v>353</v>
      </c>
      <c r="Q37" s="11">
        <f>N37/45550</f>
        <v>198.93299670691547</v>
      </c>
      <c r="R37" s="7" t="s">
        <v>42</v>
      </c>
      <c r="S37" s="15">
        <v>11135</v>
      </c>
      <c r="T37" s="7" t="s">
        <v>43</v>
      </c>
      <c r="U37" s="7" t="s">
        <v>44</v>
      </c>
      <c r="V37" s="13">
        <v>42495</v>
      </c>
      <c r="W37" s="13">
        <v>42560</v>
      </c>
      <c r="X37" s="7" t="s">
        <v>354</v>
      </c>
      <c r="Y37" s="7" t="s">
        <v>355</v>
      </c>
      <c r="Z37" s="7" t="s">
        <v>47</v>
      </c>
      <c r="AA37" s="9" t="s">
        <v>1256</v>
      </c>
      <c r="AB37" s="7" t="s">
        <v>40</v>
      </c>
    </row>
    <row r="38" spans="1:28" ht="69.95" customHeight="1">
      <c r="A38" s="7">
        <v>2016</v>
      </c>
      <c r="B38" s="7" t="s">
        <v>30</v>
      </c>
      <c r="C38" s="7" t="s">
        <v>356</v>
      </c>
      <c r="D38" s="13">
        <v>42494</v>
      </c>
      <c r="E38" s="7" t="s">
        <v>357</v>
      </c>
      <c r="F38" s="7" t="s">
        <v>67</v>
      </c>
      <c r="G38" s="11">
        <v>5488803.8799999999</v>
      </c>
      <c r="H38" s="7" t="s">
        <v>358</v>
      </c>
      <c r="I38" s="7" t="s">
        <v>359</v>
      </c>
      <c r="J38" s="7" t="s">
        <v>360</v>
      </c>
      <c r="K38" s="7" t="s">
        <v>361</v>
      </c>
      <c r="L38" s="7" t="s">
        <v>362</v>
      </c>
      <c r="M38" s="7" t="s">
        <v>363</v>
      </c>
      <c r="N38" s="11">
        <f t="shared" si="0"/>
        <v>5488803.8799999999</v>
      </c>
      <c r="O38" s="11">
        <v>5488803.8799999999</v>
      </c>
      <c r="P38" s="7" t="s">
        <v>364</v>
      </c>
      <c r="Q38" s="11">
        <f>N38/24196</f>
        <v>226.84757315258719</v>
      </c>
      <c r="R38" s="7" t="s">
        <v>42</v>
      </c>
      <c r="S38" s="15">
        <v>10706</v>
      </c>
      <c r="T38" s="7" t="s">
        <v>43</v>
      </c>
      <c r="U38" s="7" t="s">
        <v>44</v>
      </c>
      <c r="V38" s="13">
        <v>42494</v>
      </c>
      <c r="W38" s="13">
        <v>42559</v>
      </c>
      <c r="X38" s="7" t="s">
        <v>333</v>
      </c>
      <c r="Y38" s="7" t="s">
        <v>334</v>
      </c>
      <c r="Z38" s="7" t="s">
        <v>133</v>
      </c>
      <c r="AA38" s="9" t="s">
        <v>356</v>
      </c>
      <c r="AB38" s="7" t="s">
        <v>40</v>
      </c>
    </row>
    <row r="39" spans="1:28" ht="69.95" customHeight="1">
      <c r="A39" s="7">
        <v>2016</v>
      </c>
      <c r="B39" s="7" t="s">
        <v>30</v>
      </c>
      <c r="C39" s="7" t="s">
        <v>365</v>
      </c>
      <c r="D39" s="13">
        <v>42494</v>
      </c>
      <c r="E39" s="7" t="s">
        <v>366</v>
      </c>
      <c r="F39" s="7" t="s">
        <v>67</v>
      </c>
      <c r="G39" s="11">
        <v>4882068.75</v>
      </c>
      <c r="H39" s="7" t="s">
        <v>367</v>
      </c>
      <c r="I39" s="7" t="s">
        <v>368</v>
      </c>
      <c r="J39" s="7" t="s">
        <v>57</v>
      </c>
      <c r="K39" s="7" t="s">
        <v>369</v>
      </c>
      <c r="L39" s="7" t="s">
        <v>370</v>
      </c>
      <c r="M39" s="7" t="s">
        <v>371</v>
      </c>
      <c r="N39" s="11">
        <f t="shared" si="0"/>
        <v>4882068.75</v>
      </c>
      <c r="O39" s="7" t="s">
        <v>40</v>
      </c>
      <c r="P39" s="7" t="s">
        <v>372</v>
      </c>
      <c r="Q39" s="11">
        <f>N39/14500</f>
        <v>336.69439655172414</v>
      </c>
      <c r="R39" s="7" t="s">
        <v>42</v>
      </c>
      <c r="S39" s="15">
        <v>42592</v>
      </c>
      <c r="T39" s="7" t="s">
        <v>43</v>
      </c>
      <c r="U39" s="7" t="s">
        <v>44</v>
      </c>
      <c r="V39" s="13">
        <v>42495</v>
      </c>
      <c r="W39" s="13">
        <v>42560</v>
      </c>
      <c r="X39" s="7" t="s">
        <v>342</v>
      </c>
      <c r="Y39" s="7" t="s">
        <v>343</v>
      </c>
      <c r="Z39" s="7" t="s">
        <v>344</v>
      </c>
      <c r="AA39" s="9" t="s">
        <v>1257</v>
      </c>
      <c r="AB39" s="7" t="s">
        <v>40</v>
      </c>
    </row>
    <row r="40" spans="1:28" ht="69.95" customHeight="1">
      <c r="A40" s="7">
        <v>2016</v>
      </c>
      <c r="B40" s="7" t="s">
        <v>30</v>
      </c>
      <c r="C40" s="7" t="s">
        <v>373</v>
      </c>
      <c r="D40" s="13">
        <v>42494</v>
      </c>
      <c r="E40" s="7" t="s">
        <v>374</v>
      </c>
      <c r="F40" s="7" t="s">
        <v>67</v>
      </c>
      <c r="G40" s="11">
        <v>5720790.3899999997</v>
      </c>
      <c r="H40" s="7" t="s">
        <v>375</v>
      </c>
      <c r="I40" s="7" t="s">
        <v>376</v>
      </c>
      <c r="J40" s="7" t="s">
        <v>377</v>
      </c>
      <c r="K40" s="7" t="s">
        <v>378</v>
      </c>
      <c r="L40" s="7" t="s">
        <v>379</v>
      </c>
      <c r="M40" s="7" t="s">
        <v>380</v>
      </c>
      <c r="N40" s="11">
        <f t="shared" si="0"/>
        <v>5720790.3899999997</v>
      </c>
      <c r="O40" s="7" t="s">
        <v>40</v>
      </c>
      <c r="P40" s="7" t="s">
        <v>381</v>
      </c>
      <c r="Q40" s="11">
        <f>N40/4855</f>
        <v>1178.3296374871265</v>
      </c>
      <c r="R40" s="7" t="s">
        <v>42</v>
      </c>
      <c r="S40" s="15">
        <v>134932</v>
      </c>
      <c r="T40" s="7" t="s">
        <v>43</v>
      </c>
      <c r="U40" s="7" t="s">
        <v>44</v>
      </c>
      <c r="V40" s="13">
        <v>42495</v>
      </c>
      <c r="W40" s="13">
        <v>42560</v>
      </c>
      <c r="X40" s="7" t="s">
        <v>382</v>
      </c>
      <c r="Y40" s="7" t="s">
        <v>383</v>
      </c>
      <c r="Z40" s="7" t="s">
        <v>384</v>
      </c>
      <c r="AA40" s="9" t="s">
        <v>373</v>
      </c>
      <c r="AB40" s="7" t="s">
        <v>40</v>
      </c>
    </row>
    <row r="41" spans="1:28" ht="69.95" customHeight="1">
      <c r="A41" s="7">
        <v>2016</v>
      </c>
      <c r="B41" s="7" t="s">
        <v>30</v>
      </c>
      <c r="C41" s="7" t="s">
        <v>385</v>
      </c>
      <c r="D41" s="13">
        <v>42494</v>
      </c>
      <c r="E41" s="7" t="s">
        <v>386</v>
      </c>
      <c r="F41" s="7" t="s">
        <v>67</v>
      </c>
      <c r="G41" s="11">
        <v>5967161.3700000001</v>
      </c>
      <c r="H41" s="7" t="s">
        <v>375</v>
      </c>
      <c r="I41" s="7" t="s">
        <v>387</v>
      </c>
      <c r="J41" s="7" t="s">
        <v>388</v>
      </c>
      <c r="K41" s="7" t="s">
        <v>389</v>
      </c>
      <c r="L41" s="7" t="s">
        <v>390</v>
      </c>
      <c r="M41" s="7" t="s">
        <v>391</v>
      </c>
      <c r="N41" s="11">
        <f t="shared" si="0"/>
        <v>5967161.3700000001</v>
      </c>
      <c r="O41" s="11">
        <v>5807977.7399999993</v>
      </c>
      <c r="P41" s="7" t="s">
        <v>392</v>
      </c>
      <c r="Q41" s="11">
        <f>N41/3883</f>
        <v>1536.7399871233583</v>
      </c>
      <c r="R41" s="7" t="s">
        <v>42</v>
      </c>
      <c r="S41" s="15">
        <v>134932</v>
      </c>
      <c r="T41" s="7" t="s">
        <v>43</v>
      </c>
      <c r="U41" s="7" t="s">
        <v>44</v>
      </c>
      <c r="V41" s="13">
        <v>42495</v>
      </c>
      <c r="W41" s="13">
        <v>42560</v>
      </c>
      <c r="X41" s="7" t="s">
        <v>393</v>
      </c>
      <c r="Y41" s="7" t="s">
        <v>383</v>
      </c>
      <c r="Z41" s="7" t="s">
        <v>384</v>
      </c>
      <c r="AA41" s="9" t="s">
        <v>385</v>
      </c>
      <c r="AB41" s="7" t="s">
        <v>40</v>
      </c>
    </row>
    <row r="42" spans="1:28" ht="69.95" customHeight="1">
      <c r="A42" s="7">
        <v>2016</v>
      </c>
      <c r="B42" s="7" t="s">
        <v>30</v>
      </c>
      <c r="C42" s="7" t="s">
        <v>394</v>
      </c>
      <c r="D42" s="13">
        <v>42494</v>
      </c>
      <c r="E42" s="7" t="s">
        <v>395</v>
      </c>
      <c r="F42" s="7" t="s">
        <v>67</v>
      </c>
      <c r="G42" s="11">
        <v>9872599.0299999993</v>
      </c>
      <c r="H42" s="7" t="s">
        <v>396</v>
      </c>
      <c r="I42" s="7" t="s">
        <v>397</v>
      </c>
      <c r="J42" s="7" t="s">
        <v>398</v>
      </c>
      <c r="K42" s="7" t="s">
        <v>399</v>
      </c>
      <c r="L42" s="7" t="s">
        <v>400</v>
      </c>
      <c r="M42" s="7" t="s">
        <v>401</v>
      </c>
      <c r="N42" s="11">
        <f t="shared" si="0"/>
        <v>9872599.0299999993</v>
      </c>
      <c r="O42" s="7" t="s">
        <v>40</v>
      </c>
      <c r="P42" s="7" t="s">
        <v>402</v>
      </c>
      <c r="Q42" s="11">
        <f>N42/32145</f>
        <v>307.12705024109499</v>
      </c>
      <c r="R42" s="7" t="s">
        <v>42</v>
      </c>
      <c r="S42" s="15">
        <v>119586</v>
      </c>
      <c r="T42" s="7" t="s">
        <v>43</v>
      </c>
      <c r="U42" s="7" t="s">
        <v>44</v>
      </c>
      <c r="V42" s="13">
        <v>42495</v>
      </c>
      <c r="W42" s="13">
        <v>42591</v>
      </c>
      <c r="X42" s="7" t="s">
        <v>403</v>
      </c>
      <c r="Y42" s="7" t="s">
        <v>404</v>
      </c>
      <c r="Z42" s="7" t="s">
        <v>405</v>
      </c>
      <c r="AA42" s="9" t="s">
        <v>394</v>
      </c>
      <c r="AB42" s="7" t="s">
        <v>40</v>
      </c>
    </row>
    <row r="43" spans="1:28" ht="69.95" customHeight="1">
      <c r="A43" s="7">
        <v>2016</v>
      </c>
      <c r="B43" s="7" t="s">
        <v>30</v>
      </c>
      <c r="C43" s="7" t="s">
        <v>406</v>
      </c>
      <c r="D43" s="13">
        <v>42494</v>
      </c>
      <c r="E43" s="7" t="s">
        <v>407</v>
      </c>
      <c r="F43" s="7" t="s">
        <v>67</v>
      </c>
      <c r="G43" s="11">
        <v>9423095.6600000001</v>
      </c>
      <c r="H43" s="7" t="s">
        <v>396</v>
      </c>
      <c r="I43" s="7" t="s">
        <v>397</v>
      </c>
      <c r="J43" s="7" t="s">
        <v>398</v>
      </c>
      <c r="K43" s="7" t="s">
        <v>399</v>
      </c>
      <c r="L43" s="7" t="s">
        <v>400</v>
      </c>
      <c r="M43" s="7" t="s">
        <v>401</v>
      </c>
      <c r="N43" s="11">
        <v>9423095.6600000001</v>
      </c>
      <c r="O43" s="7" t="s">
        <v>40</v>
      </c>
      <c r="P43" s="7" t="s">
        <v>408</v>
      </c>
      <c r="Q43" s="11">
        <f>N43/30824</f>
        <v>305.70645146638981</v>
      </c>
      <c r="R43" s="7" t="s">
        <v>42</v>
      </c>
      <c r="S43" s="15">
        <v>119586</v>
      </c>
      <c r="T43" s="7" t="s">
        <v>43</v>
      </c>
      <c r="U43" s="7" t="s">
        <v>44</v>
      </c>
      <c r="V43" s="13">
        <v>42495</v>
      </c>
      <c r="W43" s="13">
        <v>42591</v>
      </c>
      <c r="X43" s="7" t="s">
        <v>403</v>
      </c>
      <c r="Y43" s="7" t="s">
        <v>404</v>
      </c>
      <c r="Z43" s="7" t="s">
        <v>405</v>
      </c>
      <c r="AA43" s="9" t="s">
        <v>406</v>
      </c>
      <c r="AB43" s="7" t="s">
        <v>40</v>
      </c>
    </row>
    <row r="44" spans="1:28" ht="69.95" customHeight="1">
      <c r="A44" s="7">
        <v>2016</v>
      </c>
      <c r="B44" s="7" t="s">
        <v>30</v>
      </c>
      <c r="C44" s="7" t="s">
        <v>409</v>
      </c>
      <c r="D44" s="13">
        <v>42494</v>
      </c>
      <c r="E44" s="7" t="s">
        <v>410</v>
      </c>
      <c r="F44" s="7" t="s">
        <v>67</v>
      </c>
      <c r="G44" s="11">
        <v>5474275.04</v>
      </c>
      <c r="H44" s="7" t="s">
        <v>396</v>
      </c>
      <c r="I44" s="7" t="s">
        <v>411</v>
      </c>
      <c r="J44" s="7" t="s">
        <v>412</v>
      </c>
      <c r="K44" s="7" t="s">
        <v>413</v>
      </c>
      <c r="L44" s="7" t="s">
        <v>414</v>
      </c>
      <c r="M44" s="7" t="s">
        <v>415</v>
      </c>
      <c r="N44" s="11">
        <f t="shared" si="0"/>
        <v>5474275.04</v>
      </c>
      <c r="O44" s="7" t="s">
        <v>40</v>
      </c>
      <c r="P44" s="7" t="s">
        <v>416</v>
      </c>
      <c r="Q44" s="11">
        <f>N44/17667</f>
        <v>309.85877851361295</v>
      </c>
      <c r="R44" s="7" t="s">
        <v>42</v>
      </c>
      <c r="S44" s="15">
        <v>119586</v>
      </c>
      <c r="T44" s="7" t="s">
        <v>43</v>
      </c>
      <c r="U44" s="7" t="s">
        <v>44</v>
      </c>
      <c r="V44" s="13">
        <v>42495</v>
      </c>
      <c r="W44" s="13">
        <v>42591</v>
      </c>
      <c r="X44" s="7" t="s">
        <v>403</v>
      </c>
      <c r="Y44" s="7" t="s">
        <v>404</v>
      </c>
      <c r="Z44" s="7" t="s">
        <v>405</v>
      </c>
      <c r="AA44" s="9" t="s">
        <v>409</v>
      </c>
      <c r="AB44" s="7" t="s">
        <v>40</v>
      </c>
    </row>
    <row r="45" spans="1:28" ht="69.95" customHeight="1">
      <c r="A45" s="7">
        <v>2016</v>
      </c>
      <c r="B45" s="7" t="s">
        <v>30</v>
      </c>
      <c r="C45" s="7" t="s">
        <v>417</v>
      </c>
      <c r="D45" s="13">
        <v>42494</v>
      </c>
      <c r="E45" s="7" t="s">
        <v>418</v>
      </c>
      <c r="F45" s="7" t="s">
        <v>67</v>
      </c>
      <c r="G45" s="11">
        <v>6468498.2699999996</v>
      </c>
      <c r="H45" s="7" t="s">
        <v>396</v>
      </c>
      <c r="I45" s="7" t="s">
        <v>419</v>
      </c>
      <c r="J45" s="7" t="s">
        <v>420</v>
      </c>
      <c r="K45" s="7" t="s">
        <v>254</v>
      </c>
      <c r="L45" s="7" t="s">
        <v>421</v>
      </c>
      <c r="M45" s="7" t="s">
        <v>422</v>
      </c>
      <c r="N45" s="11">
        <f t="shared" si="0"/>
        <v>6468498.2699999996</v>
      </c>
      <c r="O45" s="11">
        <v>6332481.5099999998</v>
      </c>
      <c r="P45" s="7" t="s">
        <v>423</v>
      </c>
      <c r="Q45" s="11">
        <f>N45/16932</f>
        <v>382.0280102763997</v>
      </c>
      <c r="R45" s="7" t="s">
        <v>42</v>
      </c>
      <c r="S45" s="15">
        <v>119586</v>
      </c>
      <c r="T45" s="7" t="s">
        <v>43</v>
      </c>
      <c r="U45" s="7" t="s">
        <v>44</v>
      </c>
      <c r="V45" s="13">
        <v>42495</v>
      </c>
      <c r="W45" s="13">
        <v>42591</v>
      </c>
      <c r="X45" s="7" t="s">
        <v>403</v>
      </c>
      <c r="Y45" s="7" t="s">
        <v>404</v>
      </c>
      <c r="Z45" s="7" t="s">
        <v>405</v>
      </c>
      <c r="AA45" s="9" t="s">
        <v>1258</v>
      </c>
      <c r="AB45" s="7" t="s">
        <v>40</v>
      </c>
    </row>
    <row r="46" spans="1:28" ht="69.95" customHeight="1">
      <c r="A46" s="7">
        <v>2016</v>
      </c>
      <c r="B46" s="7" t="s">
        <v>64</v>
      </c>
      <c r="C46" s="7" t="s">
        <v>424</v>
      </c>
      <c r="D46" s="13">
        <v>42461</v>
      </c>
      <c r="E46" s="7" t="s">
        <v>425</v>
      </c>
      <c r="F46" s="7" t="s">
        <v>184</v>
      </c>
      <c r="G46" s="11">
        <v>1555449.71</v>
      </c>
      <c r="H46" s="7" t="s">
        <v>426</v>
      </c>
      <c r="I46" s="7" t="s">
        <v>427</v>
      </c>
      <c r="J46" s="7" t="s">
        <v>133</v>
      </c>
      <c r="K46" s="7" t="s">
        <v>428</v>
      </c>
      <c r="L46" s="7" t="s">
        <v>429</v>
      </c>
      <c r="M46" s="7" t="s">
        <v>430</v>
      </c>
      <c r="N46" s="11">
        <v>1555449.71</v>
      </c>
      <c r="O46" s="7" t="s">
        <v>40</v>
      </c>
      <c r="P46" s="7" t="s">
        <v>431</v>
      </c>
      <c r="Q46" s="11">
        <f>N46/44265</f>
        <v>35.139494182762903</v>
      </c>
      <c r="R46" s="7" t="s">
        <v>42</v>
      </c>
      <c r="S46" s="15">
        <v>13837</v>
      </c>
      <c r="T46" s="7" t="s">
        <v>43</v>
      </c>
      <c r="U46" s="7" t="s">
        <v>44</v>
      </c>
      <c r="V46" s="13">
        <v>42464</v>
      </c>
      <c r="W46" s="13">
        <v>42536</v>
      </c>
      <c r="X46" s="7" t="s">
        <v>382</v>
      </c>
      <c r="Y46" s="7" t="s">
        <v>432</v>
      </c>
      <c r="Z46" s="7" t="s">
        <v>433</v>
      </c>
      <c r="AA46" s="7" t="s">
        <v>40</v>
      </c>
      <c r="AB46" s="7" t="s">
        <v>40</v>
      </c>
    </row>
    <row r="47" spans="1:28" ht="69.95" customHeight="1">
      <c r="A47" s="7">
        <v>2016</v>
      </c>
      <c r="B47" s="7" t="s">
        <v>64</v>
      </c>
      <c r="C47" s="7" t="s">
        <v>434</v>
      </c>
      <c r="D47" s="13">
        <v>42461</v>
      </c>
      <c r="E47" s="7" t="s">
        <v>435</v>
      </c>
      <c r="F47" s="7" t="s">
        <v>184</v>
      </c>
      <c r="G47" s="11">
        <v>476740.63</v>
      </c>
      <c r="H47" s="7" t="s">
        <v>436</v>
      </c>
      <c r="I47" s="7" t="s">
        <v>210</v>
      </c>
      <c r="J47" s="7" t="s">
        <v>244</v>
      </c>
      <c r="K47" s="7" t="s">
        <v>437</v>
      </c>
      <c r="L47" s="7" t="s">
        <v>438</v>
      </c>
      <c r="M47" s="7" t="s">
        <v>439</v>
      </c>
      <c r="N47" s="11">
        <v>476740.63</v>
      </c>
      <c r="O47" s="11">
        <v>466284.81</v>
      </c>
      <c r="P47" s="7" t="s">
        <v>440</v>
      </c>
      <c r="Q47" s="11">
        <f>N47/248</f>
        <v>1922.3412499999999</v>
      </c>
      <c r="R47" s="7" t="s">
        <v>42</v>
      </c>
      <c r="S47" s="15">
        <v>171759</v>
      </c>
      <c r="T47" s="7" t="s">
        <v>43</v>
      </c>
      <c r="U47" s="7" t="s">
        <v>44</v>
      </c>
      <c r="V47" s="13">
        <v>42464</v>
      </c>
      <c r="W47" s="13">
        <v>42510</v>
      </c>
      <c r="X47" s="7" t="s">
        <v>441</v>
      </c>
      <c r="Y47" s="7" t="s">
        <v>442</v>
      </c>
      <c r="Z47" s="7" t="s">
        <v>101</v>
      </c>
      <c r="AA47" s="9" t="s">
        <v>1259</v>
      </c>
      <c r="AB47" s="7" t="s">
        <v>40</v>
      </c>
    </row>
    <row r="48" spans="1:28" ht="69.95" customHeight="1">
      <c r="A48" s="7">
        <v>2016</v>
      </c>
      <c r="B48" s="7" t="s">
        <v>64</v>
      </c>
      <c r="C48" s="7" t="s">
        <v>443</v>
      </c>
      <c r="D48" s="13">
        <v>42467</v>
      </c>
      <c r="E48" s="7" t="s">
        <v>444</v>
      </c>
      <c r="F48" s="7" t="s">
        <v>184</v>
      </c>
      <c r="G48" s="11">
        <v>1475860.34</v>
      </c>
      <c r="H48" s="7" t="s">
        <v>445</v>
      </c>
      <c r="I48" s="7" t="s">
        <v>186</v>
      </c>
      <c r="J48" s="7" t="s">
        <v>187</v>
      </c>
      <c r="K48" s="7" t="s">
        <v>188</v>
      </c>
      <c r="L48" s="7" t="s">
        <v>446</v>
      </c>
      <c r="M48" s="7" t="s">
        <v>190</v>
      </c>
      <c r="N48" s="11">
        <v>1475860.34</v>
      </c>
      <c r="O48" s="7" t="s">
        <v>40</v>
      </c>
      <c r="P48" s="7" t="s">
        <v>447</v>
      </c>
      <c r="Q48" s="11">
        <f>N48/37800</f>
        <v>39.043924338624343</v>
      </c>
      <c r="R48" s="7" t="s">
        <v>42</v>
      </c>
      <c r="S48" s="15">
        <v>6696</v>
      </c>
      <c r="T48" s="7" t="s">
        <v>43</v>
      </c>
      <c r="U48" s="7" t="s">
        <v>44</v>
      </c>
      <c r="V48" s="13">
        <v>42471</v>
      </c>
      <c r="W48" s="13">
        <v>42536</v>
      </c>
      <c r="X48" s="7" t="s">
        <v>131</v>
      </c>
      <c r="Y48" s="7" t="s">
        <v>448</v>
      </c>
      <c r="Z48" s="7" t="s">
        <v>133</v>
      </c>
      <c r="AA48" s="9" t="s">
        <v>443</v>
      </c>
      <c r="AB48" s="7" t="s">
        <v>40</v>
      </c>
    </row>
    <row r="49" spans="1:28" ht="69.95" customHeight="1">
      <c r="A49" s="7">
        <v>2016</v>
      </c>
      <c r="B49" s="7" t="s">
        <v>64</v>
      </c>
      <c r="C49" s="7" t="s">
        <v>449</v>
      </c>
      <c r="D49" s="13">
        <v>42475</v>
      </c>
      <c r="E49" s="7" t="s">
        <v>450</v>
      </c>
      <c r="F49" s="7" t="s">
        <v>184</v>
      </c>
      <c r="G49" s="11">
        <v>1495685.74</v>
      </c>
      <c r="H49" s="7" t="s">
        <v>451</v>
      </c>
      <c r="I49" s="7" t="s">
        <v>452</v>
      </c>
      <c r="J49" s="7" t="s">
        <v>453</v>
      </c>
      <c r="K49" s="7" t="s">
        <v>454</v>
      </c>
      <c r="L49" s="7" t="s">
        <v>455</v>
      </c>
      <c r="M49" s="7" t="s">
        <v>456</v>
      </c>
      <c r="N49" s="11">
        <v>1495685.74</v>
      </c>
      <c r="O49" s="7" t="s">
        <v>40</v>
      </c>
      <c r="P49" s="7" t="s">
        <v>457</v>
      </c>
      <c r="Q49" s="11">
        <f>N49/44056</f>
        <v>33.949649082985289</v>
      </c>
      <c r="R49" s="7" t="s">
        <v>42</v>
      </c>
      <c r="S49" s="15">
        <v>10603</v>
      </c>
      <c r="T49" s="7" t="s">
        <v>43</v>
      </c>
      <c r="U49" s="7" t="s">
        <v>44</v>
      </c>
      <c r="V49" s="13">
        <v>42478</v>
      </c>
      <c r="W49" s="13">
        <v>42551</v>
      </c>
      <c r="X49" s="7" t="s">
        <v>342</v>
      </c>
      <c r="Y49" s="7" t="s">
        <v>343</v>
      </c>
      <c r="Z49" s="7" t="s">
        <v>77</v>
      </c>
      <c r="AA49" s="9" t="s">
        <v>1260</v>
      </c>
      <c r="AB49" s="7" t="s">
        <v>40</v>
      </c>
    </row>
    <row r="50" spans="1:28" ht="69.95" customHeight="1">
      <c r="A50" s="7">
        <v>2016</v>
      </c>
      <c r="B50" s="7" t="s">
        <v>64</v>
      </c>
      <c r="C50" s="7" t="s">
        <v>458</v>
      </c>
      <c r="D50" s="13">
        <v>42475</v>
      </c>
      <c r="E50" s="7" t="s">
        <v>459</v>
      </c>
      <c r="F50" s="7" t="s">
        <v>67</v>
      </c>
      <c r="G50" s="11">
        <v>225850.48</v>
      </c>
      <c r="H50" s="7" t="s">
        <v>460</v>
      </c>
      <c r="I50" s="7" t="s">
        <v>461</v>
      </c>
      <c r="J50" s="7" t="s">
        <v>462</v>
      </c>
      <c r="K50" s="7" t="s">
        <v>463</v>
      </c>
      <c r="L50" s="7" t="s">
        <v>464</v>
      </c>
      <c r="M50" s="7" t="s">
        <v>465</v>
      </c>
      <c r="N50" s="11">
        <v>225850.48</v>
      </c>
      <c r="O50" s="11">
        <v>224514.38</v>
      </c>
      <c r="P50" s="7" t="s">
        <v>466</v>
      </c>
      <c r="Q50" s="11">
        <f>N50/23</f>
        <v>9819.5860869565222</v>
      </c>
      <c r="R50" s="7" t="s">
        <v>42</v>
      </c>
      <c r="S50" s="15">
        <v>25</v>
      </c>
      <c r="T50" s="7" t="s">
        <v>43</v>
      </c>
      <c r="U50" s="7" t="s">
        <v>44</v>
      </c>
      <c r="V50" s="13">
        <v>42478</v>
      </c>
      <c r="W50" s="13">
        <v>42525</v>
      </c>
      <c r="X50" s="7" t="s">
        <v>382</v>
      </c>
      <c r="Y50" s="7" t="s">
        <v>383</v>
      </c>
      <c r="Z50" s="7" t="s">
        <v>300</v>
      </c>
      <c r="AA50" s="7" t="s">
        <v>40</v>
      </c>
      <c r="AB50" s="7" t="s">
        <v>40</v>
      </c>
    </row>
    <row r="51" spans="1:28" ht="69.95" customHeight="1">
      <c r="A51" s="7">
        <v>2016</v>
      </c>
      <c r="B51" s="7" t="s">
        <v>64</v>
      </c>
      <c r="C51" s="7" t="s">
        <v>467</v>
      </c>
      <c r="D51" s="13">
        <v>42482</v>
      </c>
      <c r="E51" s="7" t="s">
        <v>468</v>
      </c>
      <c r="F51" s="7" t="s">
        <v>67</v>
      </c>
      <c r="G51" s="11">
        <v>385554.88</v>
      </c>
      <c r="H51" s="7" t="s">
        <v>469</v>
      </c>
      <c r="I51" s="7" t="s">
        <v>470</v>
      </c>
      <c r="J51" s="7" t="s">
        <v>113</v>
      </c>
      <c r="K51" s="7" t="s">
        <v>471</v>
      </c>
      <c r="L51" s="7" t="s">
        <v>472</v>
      </c>
      <c r="M51" s="7" t="s">
        <v>473</v>
      </c>
      <c r="N51" s="11">
        <v>385554.88</v>
      </c>
      <c r="O51" s="11">
        <v>361144.17000000004</v>
      </c>
      <c r="P51" s="7" t="s">
        <v>474</v>
      </c>
      <c r="Q51" s="11">
        <f>N51/125</f>
        <v>3084.4390400000002</v>
      </c>
      <c r="R51" s="7" t="s">
        <v>42</v>
      </c>
      <c r="S51" s="15">
        <v>172</v>
      </c>
      <c r="T51" s="7" t="s">
        <v>43</v>
      </c>
      <c r="U51" s="7" t="s">
        <v>44</v>
      </c>
      <c r="V51" s="13">
        <v>42485</v>
      </c>
      <c r="W51" s="13">
        <v>42521</v>
      </c>
      <c r="X51" s="7" t="s">
        <v>475</v>
      </c>
      <c r="Y51" s="7" t="s">
        <v>476</v>
      </c>
      <c r="Z51" s="7" t="s">
        <v>89</v>
      </c>
      <c r="AA51" s="7" t="s">
        <v>40</v>
      </c>
      <c r="AB51" s="7" t="s">
        <v>40</v>
      </c>
    </row>
    <row r="52" spans="1:28" ht="69.95" customHeight="1">
      <c r="A52" s="7">
        <v>2016</v>
      </c>
      <c r="B52" s="7" t="s">
        <v>64</v>
      </c>
      <c r="C52" s="7" t="s">
        <v>477</v>
      </c>
      <c r="D52" s="13">
        <v>42482</v>
      </c>
      <c r="E52" s="7" t="s">
        <v>478</v>
      </c>
      <c r="F52" s="7" t="s">
        <v>184</v>
      </c>
      <c r="G52" s="11">
        <v>758305.64</v>
      </c>
      <c r="H52" s="7" t="s">
        <v>479</v>
      </c>
      <c r="I52" s="7" t="s">
        <v>480</v>
      </c>
      <c r="J52" s="7" t="s">
        <v>481</v>
      </c>
      <c r="K52" s="7" t="s">
        <v>482</v>
      </c>
      <c r="L52" s="7" t="s">
        <v>483</v>
      </c>
      <c r="M52" s="7" t="s">
        <v>484</v>
      </c>
      <c r="N52" s="11">
        <v>758305.64</v>
      </c>
      <c r="O52" s="11">
        <v>758301.15</v>
      </c>
      <c r="P52" s="7" t="s">
        <v>485</v>
      </c>
      <c r="Q52" s="11">
        <f>N52/216</f>
        <v>3510.6742592592595</v>
      </c>
      <c r="R52" s="7" t="s">
        <v>42</v>
      </c>
      <c r="S52" s="15">
        <v>4320</v>
      </c>
      <c r="T52" s="7" t="s">
        <v>43</v>
      </c>
      <c r="U52" s="7" t="s">
        <v>44</v>
      </c>
      <c r="V52" s="13">
        <v>42485</v>
      </c>
      <c r="W52" s="13">
        <v>42536</v>
      </c>
      <c r="X52" s="7" t="s">
        <v>131</v>
      </c>
      <c r="Y52" s="7" t="s">
        <v>448</v>
      </c>
      <c r="Z52" s="7" t="s">
        <v>133</v>
      </c>
      <c r="AA52" s="7" t="s">
        <v>40</v>
      </c>
      <c r="AB52" s="7" t="s">
        <v>40</v>
      </c>
    </row>
    <row r="53" spans="1:28" ht="69.95" customHeight="1">
      <c r="A53" s="7">
        <v>2016</v>
      </c>
      <c r="B53" s="7" t="s">
        <v>64</v>
      </c>
      <c r="C53" s="7" t="s">
        <v>486</v>
      </c>
      <c r="D53" s="13">
        <v>42475</v>
      </c>
      <c r="E53" s="7" t="s">
        <v>487</v>
      </c>
      <c r="F53" s="7" t="s">
        <v>67</v>
      </c>
      <c r="G53" s="11">
        <v>377452.12</v>
      </c>
      <c r="H53" s="7" t="s">
        <v>488</v>
      </c>
      <c r="I53" s="7" t="s">
        <v>489</v>
      </c>
      <c r="J53" s="7" t="s">
        <v>490</v>
      </c>
      <c r="K53" s="7" t="s">
        <v>491</v>
      </c>
      <c r="L53" s="7" t="s">
        <v>492</v>
      </c>
      <c r="M53" s="7" t="s">
        <v>493</v>
      </c>
      <c r="N53" s="11">
        <v>377452.12</v>
      </c>
      <c r="O53" s="7" t="s">
        <v>40</v>
      </c>
      <c r="P53" s="7" t="s">
        <v>494</v>
      </c>
      <c r="Q53" s="11">
        <f>N53/735</f>
        <v>513.54029931972786</v>
      </c>
      <c r="R53" s="7" t="s">
        <v>42</v>
      </c>
      <c r="S53" s="15">
        <v>865</v>
      </c>
      <c r="T53" s="7" t="s">
        <v>43</v>
      </c>
      <c r="U53" s="7" t="s">
        <v>44</v>
      </c>
      <c r="V53" s="13">
        <v>42478</v>
      </c>
      <c r="W53" s="13">
        <v>42545</v>
      </c>
      <c r="X53" s="7" t="s">
        <v>495</v>
      </c>
      <c r="Y53" s="7" t="s">
        <v>496</v>
      </c>
      <c r="Z53" s="7" t="s">
        <v>497</v>
      </c>
      <c r="AA53" s="7" t="s">
        <v>40</v>
      </c>
      <c r="AB53" s="7" t="s">
        <v>40</v>
      </c>
    </row>
    <row r="54" spans="1:28" ht="69.95" customHeight="1">
      <c r="A54" s="7">
        <v>2016</v>
      </c>
      <c r="B54" s="7" t="s">
        <v>64</v>
      </c>
      <c r="C54" s="7" t="s">
        <v>498</v>
      </c>
      <c r="D54" s="13">
        <v>42461</v>
      </c>
      <c r="E54" s="7" t="s">
        <v>499</v>
      </c>
      <c r="F54" s="7" t="s">
        <v>67</v>
      </c>
      <c r="G54" s="11">
        <v>365693.05</v>
      </c>
      <c r="H54" s="7" t="s">
        <v>500</v>
      </c>
      <c r="I54" s="7" t="s">
        <v>501</v>
      </c>
      <c r="J54" s="7" t="s">
        <v>502</v>
      </c>
      <c r="K54" s="7" t="s">
        <v>206</v>
      </c>
      <c r="L54" s="7" t="s">
        <v>503</v>
      </c>
      <c r="M54" s="7" t="s">
        <v>504</v>
      </c>
      <c r="N54" s="11">
        <v>365693.05</v>
      </c>
      <c r="O54" s="7" t="s">
        <v>40</v>
      </c>
      <c r="P54" s="7" t="s">
        <v>505</v>
      </c>
      <c r="Q54" s="11">
        <f>N54/1543</f>
        <v>237.00132858068696</v>
      </c>
      <c r="R54" s="7" t="s">
        <v>42</v>
      </c>
      <c r="S54" s="15">
        <v>1766</v>
      </c>
      <c r="T54" s="7" t="s">
        <v>43</v>
      </c>
      <c r="U54" s="7" t="s">
        <v>44</v>
      </c>
      <c r="V54" s="13">
        <v>42464</v>
      </c>
      <c r="W54" s="13">
        <v>42545</v>
      </c>
      <c r="X54" s="7" t="s">
        <v>495</v>
      </c>
      <c r="Y54" s="7" t="s">
        <v>496</v>
      </c>
      <c r="Z54" s="7" t="s">
        <v>497</v>
      </c>
      <c r="AA54" s="7" t="s">
        <v>40</v>
      </c>
      <c r="AB54" s="7" t="s">
        <v>40</v>
      </c>
    </row>
    <row r="55" spans="1:28" ht="69.95" customHeight="1">
      <c r="A55" s="7">
        <v>2016</v>
      </c>
      <c r="B55" s="7" t="s">
        <v>64</v>
      </c>
      <c r="C55" s="7" t="s">
        <v>506</v>
      </c>
      <c r="D55" s="13">
        <v>42482</v>
      </c>
      <c r="E55" s="7" t="s">
        <v>507</v>
      </c>
      <c r="F55" s="7" t="s">
        <v>67</v>
      </c>
      <c r="G55" s="11">
        <v>256955.42</v>
      </c>
      <c r="H55" s="7" t="s">
        <v>508</v>
      </c>
      <c r="I55" s="7" t="s">
        <v>509</v>
      </c>
      <c r="J55" s="7" t="s">
        <v>161</v>
      </c>
      <c r="K55" s="7" t="s">
        <v>321</v>
      </c>
      <c r="L55" s="7" t="s">
        <v>510</v>
      </c>
      <c r="M55" s="7" t="s">
        <v>511</v>
      </c>
      <c r="N55" s="11">
        <v>256955.42</v>
      </c>
      <c r="O55" s="11">
        <v>226398.84</v>
      </c>
      <c r="P55" s="7" t="s">
        <v>110</v>
      </c>
      <c r="Q55" s="11">
        <f>N55/315</f>
        <v>815.73149206349206</v>
      </c>
      <c r="R55" s="7" t="s">
        <v>42</v>
      </c>
      <c r="S55" s="15">
        <v>1085</v>
      </c>
      <c r="T55" s="7" t="s">
        <v>43</v>
      </c>
      <c r="U55" s="7" t="s">
        <v>44</v>
      </c>
      <c r="V55" s="13">
        <v>42485</v>
      </c>
      <c r="W55" s="13">
        <v>42518</v>
      </c>
      <c r="X55" s="7" t="s">
        <v>512</v>
      </c>
      <c r="Y55" s="7" t="s">
        <v>513</v>
      </c>
      <c r="Z55" s="7" t="s">
        <v>280</v>
      </c>
      <c r="AA55" s="7" t="s">
        <v>40</v>
      </c>
      <c r="AB55" s="7" t="s">
        <v>40</v>
      </c>
    </row>
    <row r="56" spans="1:28" ht="69.95" customHeight="1">
      <c r="A56" s="7">
        <v>2016</v>
      </c>
      <c r="B56" s="7" t="s">
        <v>64</v>
      </c>
      <c r="C56" s="7" t="s">
        <v>514</v>
      </c>
      <c r="D56" s="13">
        <v>42501</v>
      </c>
      <c r="E56" s="7" t="s">
        <v>515</v>
      </c>
      <c r="F56" s="7" t="s">
        <v>184</v>
      </c>
      <c r="G56" s="11">
        <v>1546969.1500000001</v>
      </c>
      <c r="H56" s="7" t="s">
        <v>516</v>
      </c>
      <c r="I56" s="7" t="str">
        <f>'[1]V, inciso o) (OP)'!M40</f>
        <v>José Antonio</v>
      </c>
      <c r="J56" s="7" t="str">
        <f>'[1]V, inciso o) (OP)'!N40</f>
        <v>Álvarez</v>
      </c>
      <c r="K56" s="7" t="str">
        <f>'[1]V, inciso o) (OP)'!O40</f>
        <v>Garcia</v>
      </c>
      <c r="L56" s="7" t="str">
        <f>'[1]V, inciso o) (OP)'!P40</f>
        <v>Urcoma 1970, S. A. de C. V. PCZ-041/2016</v>
      </c>
      <c r="M56" s="7" t="str">
        <f>'[1]V, inciso o) (OP)'!Q40</f>
        <v>UMN160125869</v>
      </c>
      <c r="N56" s="11">
        <v>1546969.15</v>
      </c>
      <c r="O56" s="11">
        <v>1546887.7200000002</v>
      </c>
      <c r="P56" s="7" t="s">
        <v>517</v>
      </c>
      <c r="Q56" s="7" t="s">
        <v>231</v>
      </c>
      <c r="R56" s="7" t="s">
        <v>42</v>
      </c>
      <c r="S56" s="15">
        <v>192531</v>
      </c>
      <c r="T56" s="7" t="s">
        <v>43</v>
      </c>
      <c r="U56" s="7" t="s">
        <v>44</v>
      </c>
      <c r="V56" s="13">
        <v>42502</v>
      </c>
      <c r="W56" s="13">
        <v>42582</v>
      </c>
      <c r="X56" s="7" t="s">
        <v>518</v>
      </c>
      <c r="Y56" s="7" t="s">
        <v>519</v>
      </c>
      <c r="Z56" s="7" t="s">
        <v>63</v>
      </c>
      <c r="AA56" s="9" t="s">
        <v>514</v>
      </c>
      <c r="AB56" s="7" t="s">
        <v>40</v>
      </c>
    </row>
    <row r="57" spans="1:28" ht="69.95" customHeight="1">
      <c r="A57" s="7">
        <v>2016</v>
      </c>
      <c r="B57" s="7" t="s">
        <v>64</v>
      </c>
      <c r="C57" s="7" t="s">
        <v>520</v>
      </c>
      <c r="D57" s="13">
        <v>42503</v>
      </c>
      <c r="E57" s="7" t="s">
        <v>521</v>
      </c>
      <c r="F57" s="7" t="s">
        <v>67</v>
      </c>
      <c r="G57" s="11">
        <v>1495650.37</v>
      </c>
      <c r="H57" s="7" t="s">
        <v>522</v>
      </c>
      <c r="I57" s="7" t="str">
        <f>'[1]V, inciso o) (OP)'!M41</f>
        <v>Juan Francisco</v>
      </c>
      <c r="J57" s="7" t="str">
        <f>'[1]V, inciso o) (OP)'!N41</f>
        <v>Toscano</v>
      </c>
      <c r="K57" s="7" t="str">
        <f>'[1]V, inciso o) (OP)'!O41</f>
        <v>Lases</v>
      </c>
      <c r="L57" s="7" t="str">
        <f>'[1]V, inciso o) (OP)'!P41</f>
        <v>Infografía Digital de Occidente, S. A. de C. V. PCZ-178/2016</v>
      </c>
      <c r="M57" s="7" t="str">
        <f>'[1]V, inciso o) (OP)'!Q41</f>
        <v>IDO100427QG2</v>
      </c>
      <c r="N57" s="11">
        <v>1495650.37</v>
      </c>
      <c r="O57" s="7" t="s">
        <v>40</v>
      </c>
      <c r="P57" s="7" t="s">
        <v>231</v>
      </c>
      <c r="Q57" s="7" t="s">
        <v>231</v>
      </c>
      <c r="R57" s="7" t="s">
        <v>232</v>
      </c>
      <c r="S57" s="15" t="s">
        <v>232</v>
      </c>
      <c r="T57" s="7" t="s">
        <v>43</v>
      </c>
      <c r="U57" s="7" t="s">
        <v>44</v>
      </c>
      <c r="V57" s="13">
        <v>42506</v>
      </c>
      <c r="W57" s="13">
        <v>42582</v>
      </c>
      <c r="X57" s="7" t="s">
        <v>523</v>
      </c>
      <c r="Y57" s="7" t="s">
        <v>524</v>
      </c>
      <c r="Z57" s="7" t="s">
        <v>462</v>
      </c>
      <c r="AA57" s="9" t="s">
        <v>520</v>
      </c>
      <c r="AB57" s="7" t="s">
        <v>40</v>
      </c>
    </row>
    <row r="58" spans="1:28" ht="69.95" customHeight="1">
      <c r="A58" s="7">
        <v>2016</v>
      </c>
      <c r="B58" s="7" t="s">
        <v>296</v>
      </c>
      <c r="C58" s="7" t="s">
        <v>525</v>
      </c>
      <c r="D58" s="13">
        <v>42580</v>
      </c>
      <c r="E58" s="7" t="str">
        <f>'[1]V, inciso p) (OP)'!AL23</f>
        <v>Construcción de muro mecánicamente estabilizado (obra complementaria) para conexión al retorno vial a Periférico Norte y Av Juan Palomar y Arias, municipio de Zapopan, Jalisco.</v>
      </c>
      <c r="F58" s="7" t="s">
        <v>67</v>
      </c>
      <c r="G58" s="11">
        <f>'[1]V, inciso p) (OP)'!AG23</f>
        <v>4256046.82</v>
      </c>
      <c r="H58" s="7" t="str">
        <f>'[1]V, inciso p) (OP)'!AS23</f>
        <v>Col. Parque Industrial Belenes</v>
      </c>
      <c r="I58" s="7" t="s">
        <v>526</v>
      </c>
      <c r="J58" s="7" t="s">
        <v>462</v>
      </c>
      <c r="K58" s="7" t="s">
        <v>254</v>
      </c>
      <c r="L58" s="7" t="s">
        <v>527</v>
      </c>
      <c r="M58" s="7" t="s">
        <v>528</v>
      </c>
      <c r="N58" s="11">
        <v>4256046.82</v>
      </c>
      <c r="O58" s="11">
        <v>4256046.5200000005</v>
      </c>
      <c r="P58" s="7" t="s">
        <v>529</v>
      </c>
      <c r="Q58" s="11">
        <f>N58/750</f>
        <v>5674.7290933333334</v>
      </c>
      <c r="R58" s="7" t="s">
        <v>42</v>
      </c>
      <c r="S58" s="15">
        <v>92837</v>
      </c>
      <c r="T58" s="7" t="s">
        <v>43</v>
      </c>
      <c r="U58" s="7" t="s">
        <v>44</v>
      </c>
      <c r="V58" s="13">
        <v>42583</v>
      </c>
      <c r="W58" s="13">
        <v>42627</v>
      </c>
      <c r="X58" s="7" t="s">
        <v>530</v>
      </c>
      <c r="Y58" s="7" t="s">
        <v>343</v>
      </c>
      <c r="Z58" s="7" t="s">
        <v>344</v>
      </c>
      <c r="AA58" s="7" t="s">
        <v>40</v>
      </c>
      <c r="AB58" s="7" t="s">
        <v>40</v>
      </c>
    </row>
    <row r="59" spans="1:28" ht="69.95" customHeight="1">
      <c r="A59" s="7">
        <v>2016</v>
      </c>
      <c r="B59" s="7" t="s">
        <v>296</v>
      </c>
      <c r="C59" s="7" t="s">
        <v>531</v>
      </c>
      <c r="D59" s="13">
        <v>42580</v>
      </c>
      <c r="E59" s="7"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59" s="7" t="s">
        <v>67</v>
      </c>
      <c r="G59" s="11">
        <f>'[1]V, inciso p) (OP)'!AG24</f>
        <v>4886861.9000000004</v>
      </c>
      <c r="H59" s="7" t="str">
        <f>'[1]V, inciso p) (OP)'!AS24</f>
        <v>Col. El Campanario</v>
      </c>
      <c r="I59" s="7" t="s">
        <v>532</v>
      </c>
      <c r="J59" s="7" t="s">
        <v>77</v>
      </c>
      <c r="K59" s="7" t="s">
        <v>295</v>
      </c>
      <c r="L59" s="7" t="s">
        <v>533</v>
      </c>
      <c r="M59" s="7" t="s">
        <v>534</v>
      </c>
      <c r="N59" s="11">
        <v>4886861.9000000004</v>
      </c>
      <c r="O59" s="7" t="s">
        <v>40</v>
      </c>
      <c r="P59" s="7" t="s">
        <v>535</v>
      </c>
      <c r="Q59" s="11">
        <f>N59/2466</f>
        <v>1981.6958231954584</v>
      </c>
      <c r="R59" s="7" t="s">
        <v>42</v>
      </c>
      <c r="S59" s="15">
        <v>2159</v>
      </c>
      <c r="T59" s="7" t="s">
        <v>43</v>
      </c>
      <c r="U59" s="7" t="s">
        <v>44</v>
      </c>
      <c r="V59" s="13">
        <v>42583</v>
      </c>
      <c r="W59" s="13">
        <v>42627</v>
      </c>
      <c r="X59" s="7" t="s">
        <v>536</v>
      </c>
      <c r="Y59" s="7" t="s">
        <v>383</v>
      </c>
      <c r="Z59" s="7" t="s">
        <v>300</v>
      </c>
      <c r="AA59" s="7" t="s">
        <v>40</v>
      </c>
      <c r="AB59" s="7" t="s">
        <v>40</v>
      </c>
    </row>
    <row r="60" spans="1:28" ht="69.95" customHeight="1">
      <c r="A60" s="7">
        <v>2016</v>
      </c>
      <c r="B60" s="7" t="s">
        <v>296</v>
      </c>
      <c r="C60" s="7" t="s">
        <v>537</v>
      </c>
      <c r="D60" s="13">
        <v>42580</v>
      </c>
      <c r="E60" s="7"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60" s="7" t="s">
        <v>67</v>
      </c>
      <c r="G60" s="11">
        <f>'[1]V, inciso p) (OP)'!AG25</f>
        <v>3920653.99</v>
      </c>
      <c r="H60" s="7" t="str">
        <f>'[1]V, inciso p) (OP)'!AS25</f>
        <v>Localidad Santa Lucía</v>
      </c>
      <c r="I60" s="7" t="s">
        <v>538</v>
      </c>
      <c r="J60" s="7" t="s">
        <v>539</v>
      </c>
      <c r="K60" s="7" t="s">
        <v>540</v>
      </c>
      <c r="L60" s="7" t="s">
        <v>541</v>
      </c>
      <c r="M60" s="7" t="s">
        <v>542</v>
      </c>
      <c r="N60" s="11">
        <v>3920653.99</v>
      </c>
      <c r="O60" s="7" t="s">
        <v>40</v>
      </c>
      <c r="P60" s="7" t="s">
        <v>543</v>
      </c>
      <c r="Q60" s="11">
        <f>N60/2014</f>
        <v>1946.7000943396229</v>
      </c>
      <c r="R60" s="7" t="s">
        <v>42</v>
      </c>
      <c r="S60" s="15">
        <v>1748</v>
      </c>
      <c r="T60" s="7" t="s">
        <v>43</v>
      </c>
      <c r="U60" s="7" t="s">
        <v>44</v>
      </c>
      <c r="V60" s="13">
        <v>42583</v>
      </c>
      <c r="W60" s="13">
        <v>42627</v>
      </c>
      <c r="X60" s="7" t="s">
        <v>544</v>
      </c>
      <c r="Y60" s="7" t="s">
        <v>545</v>
      </c>
      <c r="Z60" s="7" t="s">
        <v>212</v>
      </c>
      <c r="AA60" s="7" t="s">
        <v>40</v>
      </c>
      <c r="AB60" s="7" t="s">
        <v>40</v>
      </c>
    </row>
    <row r="61" spans="1:28" ht="69.95" customHeight="1">
      <c r="A61" s="7">
        <v>2016</v>
      </c>
      <c r="B61" s="7" t="s">
        <v>296</v>
      </c>
      <c r="C61" s="7" t="s">
        <v>546</v>
      </c>
      <c r="D61" s="13">
        <v>42580</v>
      </c>
      <c r="E61" s="7" t="str">
        <f>'[1]V, inciso p) (OP)'!AL26</f>
        <v>Construcción de la red de agua potable y de drenaje sanitario en la carretera La Venta del Astillero - Santa Lucia, en la colonia La Soledad, localidad de Nextipac, municipio de Zapopan, Jalisco</v>
      </c>
      <c r="F61" s="7" t="s">
        <v>67</v>
      </c>
      <c r="G61" s="11">
        <f>'[1]V, inciso p) (OP)'!AG26</f>
        <v>5701133.4699999997</v>
      </c>
      <c r="H61" s="7" t="str">
        <f>'[1]V, inciso p) (OP)'!AS26</f>
        <v>Localidad de Nextipac</v>
      </c>
      <c r="I61" s="7" t="s">
        <v>547</v>
      </c>
      <c r="J61" s="7" t="s">
        <v>548</v>
      </c>
      <c r="K61" s="7" t="s">
        <v>549</v>
      </c>
      <c r="L61" s="7" t="s">
        <v>550</v>
      </c>
      <c r="M61" s="7" t="s">
        <v>551</v>
      </c>
      <c r="N61" s="11">
        <v>5701133.4699999997</v>
      </c>
      <c r="O61" s="7" t="s">
        <v>40</v>
      </c>
      <c r="P61" s="7" t="s">
        <v>552</v>
      </c>
      <c r="Q61" s="11">
        <f>N61/2390</f>
        <v>2385.4114937238492</v>
      </c>
      <c r="R61" s="7" t="s">
        <v>42</v>
      </c>
      <c r="S61" s="15">
        <v>5663</v>
      </c>
      <c r="T61" s="7" t="s">
        <v>43</v>
      </c>
      <c r="U61" s="7" t="s">
        <v>44</v>
      </c>
      <c r="V61" s="13">
        <v>42583</v>
      </c>
      <c r="W61" s="13">
        <v>42642</v>
      </c>
      <c r="X61" s="7" t="s">
        <v>544</v>
      </c>
      <c r="Y61" s="7" t="s">
        <v>545</v>
      </c>
      <c r="Z61" s="7" t="s">
        <v>212</v>
      </c>
      <c r="AA61" s="9" t="s">
        <v>546</v>
      </c>
      <c r="AB61" s="7" t="s">
        <v>40</v>
      </c>
    </row>
    <row r="62" spans="1:28" ht="69.95" customHeight="1">
      <c r="A62" s="7">
        <v>2016</v>
      </c>
      <c r="B62" s="7" t="s">
        <v>296</v>
      </c>
      <c r="C62" s="7" t="s">
        <v>553</v>
      </c>
      <c r="D62" s="13">
        <v>42580</v>
      </c>
      <c r="E62" s="7"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62" s="7" t="s">
        <v>67</v>
      </c>
      <c r="G62" s="11">
        <f>'[1]V, inciso p) (OP)'!AG27</f>
        <v>2157478.2999999998</v>
      </c>
      <c r="H62" s="7" t="str">
        <f>'[1]V, inciso p) (OP)'!AS27</f>
        <v>Col. Villas de Guadalupe</v>
      </c>
      <c r="I62" s="7" t="s">
        <v>116</v>
      </c>
      <c r="J62" s="7" t="s">
        <v>149</v>
      </c>
      <c r="K62" s="7" t="s">
        <v>150</v>
      </c>
      <c r="L62" s="7" t="s">
        <v>554</v>
      </c>
      <c r="M62" s="7" t="s">
        <v>152</v>
      </c>
      <c r="N62" s="11">
        <v>2157478.2999999998</v>
      </c>
      <c r="O62" s="7" t="s">
        <v>40</v>
      </c>
      <c r="P62" s="7" t="s">
        <v>555</v>
      </c>
      <c r="Q62" s="11">
        <f>N62/808</f>
        <v>2670.1464108910891</v>
      </c>
      <c r="R62" s="7" t="s">
        <v>42</v>
      </c>
      <c r="S62" s="15">
        <v>2762</v>
      </c>
      <c r="T62" s="7" t="s">
        <v>43</v>
      </c>
      <c r="U62" s="7" t="s">
        <v>44</v>
      </c>
      <c r="V62" s="13">
        <v>42583</v>
      </c>
      <c r="W62" s="13">
        <v>42642</v>
      </c>
      <c r="X62" s="7" t="s">
        <v>556</v>
      </c>
      <c r="Y62" s="7" t="s">
        <v>557</v>
      </c>
      <c r="Z62" s="7" t="s">
        <v>558</v>
      </c>
      <c r="AA62" s="9" t="s">
        <v>553</v>
      </c>
      <c r="AB62" s="7" t="s">
        <v>40</v>
      </c>
    </row>
    <row r="63" spans="1:28" ht="69.95" customHeight="1">
      <c r="A63" s="7">
        <v>2016</v>
      </c>
      <c r="B63" s="7" t="s">
        <v>296</v>
      </c>
      <c r="C63" s="7" t="s">
        <v>559</v>
      </c>
      <c r="D63" s="13">
        <v>42580</v>
      </c>
      <c r="E63" s="7" t="str">
        <f>'[1]V, inciso p) (OP)'!AL28</f>
        <v>Construcción de líneas de drenaje sanitario y de agua potable, subrasante y base hidráulica en la calle Idolina Gaona entre Decima Oriente y Cuarta Oriente  en la colonia Jardines de Nuevo México, municipio de Zapopan, Jalisco.</v>
      </c>
      <c r="F63" s="7" t="s">
        <v>67</v>
      </c>
      <c r="G63" s="11">
        <f>'[1]V, inciso p) (OP)'!AG28</f>
        <v>3164998.73</v>
      </c>
      <c r="H63" s="7" t="str">
        <f>'[1]V, inciso p) (OP)'!AS28</f>
        <v>Col. Jardines de Nuevo México</v>
      </c>
      <c r="I63" s="7" t="s">
        <v>547</v>
      </c>
      <c r="J63" s="7" t="s">
        <v>560</v>
      </c>
      <c r="K63" s="7" t="s">
        <v>117</v>
      </c>
      <c r="L63" s="7" t="s">
        <v>561</v>
      </c>
      <c r="M63" s="7" t="s">
        <v>562</v>
      </c>
      <c r="N63" s="11">
        <v>3164998.73</v>
      </c>
      <c r="O63" s="7" t="s">
        <v>40</v>
      </c>
      <c r="P63" s="7" t="s">
        <v>563</v>
      </c>
      <c r="Q63" s="11">
        <f>N63/561</f>
        <v>5641.7089661319069</v>
      </c>
      <c r="R63" s="7" t="s">
        <v>42</v>
      </c>
      <c r="S63" s="15">
        <v>4470</v>
      </c>
      <c r="T63" s="7" t="s">
        <v>43</v>
      </c>
      <c r="U63" s="7" t="s">
        <v>44</v>
      </c>
      <c r="V63" s="13">
        <v>42583</v>
      </c>
      <c r="W63" s="13">
        <v>42642</v>
      </c>
      <c r="X63" s="7" t="s">
        <v>544</v>
      </c>
      <c r="Y63" s="7" t="s">
        <v>545</v>
      </c>
      <c r="Z63" s="7" t="s">
        <v>212</v>
      </c>
      <c r="AA63" s="9" t="s">
        <v>559</v>
      </c>
      <c r="AB63" s="7" t="s">
        <v>40</v>
      </c>
    </row>
    <row r="64" spans="1:28" ht="69.95" customHeight="1">
      <c r="A64" s="7">
        <v>2016</v>
      </c>
      <c r="B64" s="7" t="s">
        <v>30</v>
      </c>
      <c r="C64" s="7" t="str">
        <f>'[1]V, inciso p) (OP)'!D29</f>
        <v>DOPI-MUN-PP-PAV-LP-050-2016</v>
      </c>
      <c r="D64" s="13">
        <f>'[1]V, inciso p) (OP)'!AD29</f>
        <v>42593</v>
      </c>
      <c r="E64" s="7"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64" s="7" t="s">
        <v>67</v>
      </c>
      <c r="G64" s="11">
        <f>'[1]V, inciso p) (OP)'!AG29</f>
        <v>4426493.25</v>
      </c>
      <c r="H64" s="7" t="str">
        <f>'[1]V, inciso p) (OP)'!AS29</f>
        <v>Tesitán</v>
      </c>
      <c r="I64" s="7" t="str">
        <f>'[1]V, inciso p) (OP)'!T29</f>
        <v>Julio Eduardo</v>
      </c>
      <c r="J64" s="7" t="str">
        <f>'[1]V, inciso p) (OP)'!U29</f>
        <v>Lopez</v>
      </c>
      <c r="K64" s="7" t="str">
        <f>'[1]V, inciso p) (OP)'!V29</f>
        <v>Perez</v>
      </c>
      <c r="L64" s="7" t="str">
        <f>'[1]V, inciso p) (OP)'!W29</f>
        <v>Proyectos e Insumos Industriales Jelp, S.A. de C.V.</v>
      </c>
      <c r="M64" s="7" t="str">
        <f>'[1]V, inciso p) (OP)'!X29</f>
        <v>PEI020208RW0</v>
      </c>
      <c r="N64" s="11">
        <f>G64</f>
        <v>4426493.25</v>
      </c>
      <c r="O64" s="7" t="s">
        <v>40</v>
      </c>
      <c r="P64" s="7" t="s">
        <v>564</v>
      </c>
      <c r="Q64" s="11">
        <f>N64/2010</f>
        <v>2202.2354477611939</v>
      </c>
      <c r="R64" s="7" t="s">
        <v>42</v>
      </c>
      <c r="S64" s="15">
        <v>60027</v>
      </c>
      <c r="T64" s="7" t="s">
        <v>43</v>
      </c>
      <c r="U64" s="7" t="s">
        <v>44</v>
      </c>
      <c r="V64" s="13">
        <f>'[1]V, inciso p) (OP)'!AM29</f>
        <v>42614</v>
      </c>
      <c r="W64" s="13">
        <f>'[1]V, inciso p) (OP)'!AN29</f>
        <v>42735</v>
      </c>
      <c r="X64" s="7" t="s">
        <v>544</v>
      </c>
      <c r="Y64" s="7" t="s">
        <v>545</v>
      </c>
      <c r="Z64" s="7" t="s">
        <v>212</v>
      </c>
      <c r="AA64" s="7" t="s">
        <v>40</v>
      </c>
      <c r="AB64" s="7" t="s">
        <v>40</v>
      </c>
    </row>
    <row r="65" spans="1:28" ht="69.95" customHeight="1">
      <c r="A65" s="7">
        <v>2016</v>
      </c>
      <c r="B65" s="7" t="s">
        <v>30</v>
      </c>
      <c r="C65" s="7" t="str">
        <f>'[1]V, inciso p) (OP)'!D30</f>
        <v>DOPI-MUN-PP-PAV-LP-051-2016</v>
      </c>
      <c r="D65" s="13">
        <f>'[1]V, inciso p) (OP)'!AD30</f>
        <v>42600</v>
      </c>
      <c r="E65" s="7"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65" s="7" t="s">
        <v>67</v>
      </c>
      <c r="G65" s="11">
        <f>'[1]V, inciso p) (OP)'!AG30</f>
        <v>8579575.5199999996</v>
      </c>
      <c r="H65" s="7" t="str">
        <f>'[1]V, inciso p) (OP)'!AS30</f>
        <v>Tesitán</v>
      </c>
      <c r="I65" s="7" t="str">
        <f>'[1]V, inciso p) (OP)'!T30</f>
        <v xml:space="preserve">Cesar Agustin </v>
      </c>
      <c r="J65" s="7" t="str">
        <f>'[1]V, inciso p) (OP)'!U30</f>
        <v>Salgado</v>
      </c>
      <c r="K65" s="7" t="str">
        <f>'[1]V, inciso p) (OP)'!V30</f>
        <v>Santiago</v>
      </c>
      <c r="L65" s="7" t="str">
        <f>'[1]V, inciso p) (OP)'!W30</f>
        <v>Ecopav de México, S.A. de C.V.</v>
      </c>
      <c r="M65" s="7" t="str">
        <f>'[1]V, inciso p) (OP)'!X30</f>
        <v>FRA070416K99</v>
      </c>
      <c r="N65" s="11">
        <f t="shared" ref="N65:N86" si="1">G65</f>
        <v>8579575.5199999996</v>
      </c>
      <c r="O65" s="7" t="s">
        <v>40</v>
      </c>
      <c r="P65" s="7" t="s">
        <v>565</v>
      </c>
      <c r="Q65" s="11">
        <f>N65/4400</f>
        <v>1949.9035272727272</v>
      </c>
      <c r="R65" s="7" t="s">
        <v>42</v>
      </c>
      <c r="S65" s="15">
        <v>60027</v>
      </c>
      <c r="T65" s="7" t="s">
        <v>43</v>
      </c>
      <c r="U65" s="7" t="s">
        <v>44</v>
      </c>
      <c r="V65" s="13">
        <f>'[1]V, inciso p) (OP)'!AM30</f>
        <v>42614</v>
      </c>
      <c r="W65" s="13">
        <f>'[1]V, inciso p) (OP)'!AN30</f>
        <v>42735</v>
      </c>
      <c r="X65" s="7" t="s">
        <v>544</v>
      </c>
      <c r="Y65" s="7" t="s">
        <v>545</v>
      </c>
      <c r="Z65" s="7" t="s">
        <v>212</v>
      </c>
      <c r="AA65" s="7" t="s">
        <v>40</v>
      </c>
      <c r="AB65" s="7" t="s">
        <v>40</v>
      </c>
    </row>
    <row r="66" spans="1:28" ht="69.95" customHeight="1">
      <c r="A66" s="7">
        <v>2016</v>
      </c>
      <c r="B66" s="7" t="s">
        <v>30</v>
      </c>
      <c r="C66" s="7" t="str">
        <f>'[1]V, inciso p) (OP)'!D31</f>
        <v>DOPI-MUN-PP-PAV-LP-052-2016</v>
      </c>
      <c r="D66" s="13">
        <f>'[1]V, inciso p) (OP)'!AD31</f>
        <v>42601</v>
      </c>
      <c r="E66" s="7"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66" s="7" t="s">
        <v>67</v>
      </c>
      <c r="G66" s="11">
        <f>'[1]V, inciso p) (OP)'!AG31</f>
        <v>4875141.67</v>
      </c>
      <c r="H66" s="7" t="str">
        <f>'[1]V, inciso p) (OP)'!AS31</f>
        <v>Tesitán</v>
      </c>
      <c r="I66" s="7" t="str">
        <f>'[1]V, inciso p) (OP)'!T31</f>
        <v>Jose Antonio</v>
      </c>
      <c r="J66" s="7" t="str">
        <f>'[1]V, inciso p) (OP)'!U31</f>
        <v>Alvarez</v>
      </c>
      <c r="K66" s="7" t="str">
        <f>'[1]V, inciso p) (OP)'!V31</f>
        <v>Zuloaga</v>
      </c>
      <c r="L66" s="7" t="str">
        <f>'[1]V, inciso p) (OP)'!W31</f>
        <v>Grupo Desarrollador Alzu, S.A. de C.V.</v>
      </c>
      <c r="M66" s="7" t="str">
        <f>'[1]V, inciso p) (OP)'!X31</f>
        <v>GDA150928286</v>
      </c>
      <c r="N66" s="11">
        <f t="shared" si="1"/>
        <v>4875141.67</v>
      </c>
      <c r="O66" s="7" t="s">
        <v>40</v>
      </c>
      <c r="P66" s="7" t="s">
        <v>566</v>
      </c>
      <c r="Q66" s="11">
        <f>N66/3090</f>
        <v>1577.7157508090615</v>
      </c>
      <c r="R66" s="7" t="s">
        <v>42</v>
      </c>
      <c r="S66" s="15">
        <v>60027</v>
      </c>
      <c r="T66" s="7" t="s">
        <v>43</v>
      </c>
      <c r="U66" s="7" t="s">
        <v>44</v>
      </c>
      <c r="V66" s="13">
        <f>'[1]V, inciso p) (OP)'!AM31</f>
        <v>42614</v>
      </c>
      <c r="W66" s="13">
        <f>'[1]V, inciso p) (OP)'!AN31</f>
        <v>42735</v>
      </c>
      <c r="X66" s="7" t="s">
        <v>544</v>
      </c>
      <c r="Y66" s="7" t="s">
        <v>545</v>
      </c>
      <c r="Z66" s="7" t="s">
        <v>212</v>
      </c>
      <c r="AA66" s="7" t="s">
        <v>40</v>
      </c>
      <c r="AB66" s="7" t="s">
        <v>40</v>
      </c>
    </row>
    <row r="67" spans="1:28" ht="69.95" customHeight="1">
      <c r="A67" s="7">
        <v>2016</v>
      </c>
      <c r="B67" s="7" t="s">
        <v>30</v>
      </c>
      <c r="C67" s="7" t="str">
        <f>'[1]V, inciso p) (OP)'!D32</f>
        <v>DOPI-MUN-PP-PAV-LP-053-2016</v>
      </c>
      <c r="D67" s="13">
        <f>'[1]V, inciso p) (OP)'!AD32</f>
        <v>42604</v>
      </c>
      <c r="E67" s="7"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67" s="7" t="s">
        <v>67</v>
      </c>
      <c r="G67" s="11">
        <f>'[1]V, inciso p) (OP)'!AG32</f>
        <v>999852.22</v>
      </c>
      <c r="H67" s="7" t="str">
        <f>'[1]V, inciso p) (OP)'!AS32</f>
        <v>Tesitán</v>
      </c>
      <c r="I67" s="7" t="str">
        <f>'[1]V, inciso p) (OP)'!T32</f>
        <v>Guadalupe Alejandrina</v>
      </c>
      <c r="J67" s="7" t="str">
        <f>'[1]V, inciso p) (OP)'!U32</f>
        <v>Maldonado</v>
      </c>
      <c r="K67" s="7" t="str">
        <f>'[1]V, inciso p) (OP)'!V32</f>
        <v>Lara</v>
      </c>
      <c r="L67" s="7" t="str">
        <f>'[1]V, inciso p) (OP)'!W32</f>
        <v>L&amp;A Ejecución, Construcción y Proyectos Corporativo JM, S.A. de C.V.</v>
      </c>
      <c r="M67" s="7" t="str">
        <f>'[1]V, inciso p) (OP)'!X32</f>
        <v>LAE1306263B5</v>
      </c>
      <c r="N67" s="11">
        <f t="shared" si="1"/>
        <v>999852.22</v>
      </c>
      <c r="O67" s="7" t="s">
        <v>40</v>
      </c>
      <c r="P67" s="7" t="s">
        <v>567</v>
      </c>
      <c r="Q67" s="11">
        <f>N67/510</f>
        <v>1960.4945490196078</v>
      </c>
      <c r="R67" s="7" t="s">
        <v>42</v>
      </c>
      <c r="S67" s="15">
        <v>60027</v>
      </c>
      <c r="T67" s="7" t="s">
        <v>43</v>
      </c>
      <c r="U67" s="7" t="s">
        <v>44</v>
      </c>
      <c r="V67" s="13">
        <f>'[1]V, inciso p) (OP)'!AM32</f>
        <v>42614</v>
      </c>
      <c r="W67" s="13">
        <f>'[1]V, inciso p) (OP)'!AN32</f>
        <v>42705</v>
      </c>
      <c r="X67" s="7" t="s">
        <v>544</v>
      </c>
      <c r="Y67" s="7" t="s">
        <v>545</v>
      </c>
      <c r="Z67" s="7" t="s">
        <v>212</v>
      </c>
      <c r="AA67" s="7" t="s">
        <v>40</v>
      </c>
      <c r="AB67" s="7" t="s">
        <v>40</v>
      </c>
    </row>
    <row r="68" spans="1:28" ht="69.95" customHeight="1">
      <c r="A68" s="7">
        <v>2016</v>
      </c>
      <c r="B68" s="7" t="s">
        <v>30</v>
      </c>
      <c r="C68" s="7" t="str">
        <f>'[1]V, inciso p) (OP)'!D33</f>
        <v>DOPI-MUN-PP-PAV-LP-054-2016</v>
      </c>
      <c r="D68" s="13">
        <f>'[1]V, inciso p) (OP)'!AD33</f>
        <v>42605</v>
      </c>
      <c r="E68" s="7"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68" s="7" t="s">
        <v>67</v>
      </c>
      <c r="G68" s="11">
        <f>'[1]V, inciso p) (OP)'!AG33</f>
        <v>1223679.9099999999</v>
      </c>
      <c r="H68" s="7" t="str">
        <f>'[1]V, inciso p) (OP)'!AS33</f>
        <v>Tesitán</v>
      </c>
      <c r="I68" s="7" t="str">
        <f>'[1]V, inciso p) (OP)'!T33</f>
        <v>Clarissa Gabriela</v>
      </c>
      <c r="J68" s="7" t="str">
        <f>'[1]V, inciso p) (OP)'!U33</f>
        <v>Valdez</v>
      </c>
      <c r="K68" s="7" t="str">
        <f>'[1]V, inciso p) (OP)'!V33</f>
        <v>Manjarrez</v>
      </c>
      <c r="L68" s="7" t="str">
        <f>'[1]V, inciso p) (OP)'!W33</f>
        <v>Tekton Grupo Empresarial, S.A. de C.V.</v>
      </c>
      <c r="M68" s="7" t="str">
        <f>'[1]V, inciso p) (OP)'!X33</f>
        <v>TGE101215JI6</v>
      </c>
      <c r="N68" s="11">
        <f t="shared" si="1"/>
        <v>1223679.9099999999</v>
      </c>
      <c r="O68" s="7" t="s">
        <v>40</v>
      </c>
      <c r="P68" s="7" t="s">
        <v>567</v>
      </c>
      <c r="Q68" s="11">
        <f>N68/510</f>
        <v>2399.3723725490195</v>
      </c>
      <c r="R68" s="7" t="s">
        <v>42</v>
      </c>
      <c r="S68" s="15">
        <v>60027</v>
      </c>
      <c r="T68" s="7" t="s">
        <v>43</v>
      </c>
      <c r="U68" s="7" t="s">
        <v>44</v>
      </c>
      <c r="V68" s="13">
        <f>'[1]V, inciso p) (OP)'!AM33</f>
        <v>42614</v>
      </c>
      <c r="W68" s="13">
        <f>'[1]V, inciso p) (OP)'!AN33</f>
        <v>42705</v>
      </c>
      <c r="X68" s="7" t="s">
        <v>544</v>
      </c>
      <c r="Y68" s="7" t="s">
        <v>545</v>
      </c>
      <c r="Z68" s="7" t="s">
        <v>212</v>
      </c>
      <c r="AA68" s="9" t="s">
        <v>1261</v>
      </c>
      <c r="AB68" s="7" t="s">
        <v>40</v>
      </c>
    </row>
    <row r="69" spans="1:28" ht="69.95" customHeight="1">
      <c r="A69" s="7">
        <v>2016</v>
      </c>
      <c r="B69" s="7" t="s">
        <v>30</v>
      </c>
      <c r="C69" s="7" t="str">
        <f>'[1]V, inciso p) (OP)'!D34</f>
        <v>DOPI-MUN-PP-PAV-LP-055-2016</v>
      </c>
      <c r="D69" s="13">
        <f>'[1]V, inciso p) (OP)'!AD34</f>
        <v>42605</v>
      </c>
      <c r="E69" s="7"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69" s="7" t="s">
        <v>67</v>
      </c>
      <c r="G69" s="11">
        <f>'[1]V, inciso p) (OP)'!AG34</f>
        <v>1229696.57</v>
      </c>
      <c r="H69" s="7" t="str">
        <f>'[1]V, inciso p) (OP)'!AS34</f>
        <v>Tesitán</v>
      </c>
      <c r="I69" s="7" t="str">
        <f>'[1]V, inciso p) (OP)'!T34</f>
        <v>Raul</v>
      </c>
      <c r="J69" s="7" t="str">
        <f>'[1]V, inciso p) (OP)'!U34</f>
        <v xml:space="preserve">Ortega </v>
      </c>
      <c r="K69" s="7" t="str">
        <f>'[1]V, inciso p) (OP)'!V34</f>
        <v>Jara</v>
      </c>
      <c r="L69" s="7" t="str">
        <f>'[1]V, inciso p) (OP)'!W34</f>
        <v>Construcciones Anayari, S.A. de C.V.</v>
      </c>
      <c r="M69" s="7" t="str">
        <f>'[1]V, inciso p) (OP)'!X34</f>
        <v>CAN030528ME0</v>
      </c>
      <c r="N69" s="11">
        <f t="shared" si="1"/>
        <v>1229696.57</v>
      </c>
      <c r="O69" s="7" t="s">
        <v>40</v>
      </c>
      <c r="P69" s="7" t="s">
        <v>567</v>
      </c>
      <c r="Q69" s="11">
        <f>N69/510</f>
        <v>2411.1697450980391</v>
      </c>
      <c r="R69" s="7" t="s">
        <v>42</v>
      </c>
      <c r="S69" s="15">
        <v>60027</v>
      </c>
      <c r="T69" s="7" t="s">
        <v>43</v>
      </c>
      <c r="U69" s="7" t="s">
        <v>44</v>
      </c>
      <c r="V69" s="13">
        <f>'[1]V, inciso p) (OP)'!AM34</f>
        <v>42614</v>
      </c>
      <c r="W69" s="13">
        <f>'[1]V, inciso p) (OP)'!AN34</f>
        <v>42705</v>
      </c>
      <c r="X69" s="7" t="s">
        <v>544</v>
      </c>
      <c r="Y69" s="7" t="s">
        <v>545</v>
      </c>
      <c r="Z69" s="7" t="s">
        <v>212</v>
      </c>
      <c r="AA69" s="9" t="s">
        <v>1262</v>
      </c>
      <c r="AB69" s="7" t="s">
        <v>40</v>
      </c>
    </row>
    <row r="70" spans="1:28" ht="69.95" customHeight="1">
      <c r="A70" s="7">
        <v>2016</v>
      </c>
      <c r="B70" s="7" t="s">
        <v>30</v>
      </c>
      <c r="C70" s="7" t="str">
        <f>'[1]V, inciso p) (OP)'!D35</f>
        <v>DOPI-MUN-PP-PAV-LP-056-2016</v>
      </c>
      <c r="D70" s="13">
        <f>'[1]V, inciso p) (OP)'!AD35</f>
        <v>42591</v>
      </c>
      <c r="E70" s="7"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70" s="7" t="s">
        <v>67</v>
      </c>
      <c r="G70" s="11">
        <f>'[1]V, inciso p) (OP)'!AG35</f>
        <v>5518122.6399999997</v>
      </c>
      <c r="H70" s="7" t="str">
        <f>'[1]V, inciso p) (OP)'!AS35</f>
        <v>Colonia Arenales Tapatios</v>
      </c>
      <c r="I70" s="7" t="str">
        <f>'[1]V, inciso p) (OP)'!T35</f>
        <v>Carlos Ignacio</v>
      </c>
      <c r="J70" s="7" t="str">
        <f>'[1]V, inciso p) (OP)'!U35</f>
        <v>Curiel</v>
      </c>
      <c r="K70" s="7" t="str">
        <f>'[1]V, inciso p) (OP)'!V35</f>
        <v>Dueñas</v>
      </c>
      <c r="L70" s="7" t="str">
        <f>'[1]V, inciso p) (OP)'!W35</f>
        <v>Constructora Cecuchi, S.A. de C.V.</v>
      </c>
      <c r="M70" s="7" t="str">
        <f>'[1]V, inciso p) (OP)'!X35</f>
        <v>CCE130723IR7</v>
      </c>
      <c r="N70" s="11">
        <f t="shared" si="1"/>
        <v>5518122.6399999997</v>
      </c>
      <c r="O70" s="7" t="s">
        <v>40</v>
      </c>
      <c r="P70" s="7" t="s">
        <v>568</v>
      </c>
      <c r="Q70" s="11">
        <f>N70/3045</f>
        <v>1812.1913431855501</v>
      </c>
      <c r="R70" s="7" t="s">
        <v>42</v>
      </c>
      <c r="S70" s="15">
        <v>6432</v>
      </c>
      <c r="T70" s="7" t="s">
        <v>43</v>
      </c>
      <c r="U70" s="7" t="s">
        <v>44</v>
      </c>
      <c r="V70" s="13">
        <f>'[1]V, inciso p) (OP)'!AM35</f>
        <v>42592</v>
      </c>
      <c r="W70" s="13">
        <f>'[1]V, inciso p) (OP)'!AN35</f>
        <v>42713</v>
      </c>
      <c r="X70" s="7" t="s">
        <v>569</v>
      </c>
      <c r="Y70" s="7" t="s">
        <v>383</v>
      </c>
      <c r="Z70" s="7" t="s">
        <v>300</v>
      </c>
      <c r="AA70" s="7" t="s">
        <v>40</v>
      </c>
      <c r="AB70" s="7" t="s">
        <v>40</v>
      </c>
    </row>
    <row r="71" spans="1:28" ht="69.95" customHeight="1">
      <c r="A71" s="7">
        <v>2016</v>
      </c>
      <c r="B71" s="7" t="s">
        <v>30</v>
      </c>
      <c r="C71" s="7" t="str">
        <f>'[1]V, inciso p) (OP)'!D36</f>
        <v>DOPI-MUN-PP-PAV-LP-057-2016</v>
      </c>
      <c r="D71" s="13">
        <f>'[1]V, inciso p) (OP)'!AD36</f>
        <v>42591</v>
      </c>
      <c r="E71" s="7"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71" s="7" t="s">
        <v>67</v>
      </c>
      <c r="G71" s="11">
        <f>'[1]V, inciso p) (OP)'!AG36</f>
        <v>5312056.17</v>
      </c>
      <c r="H71" s="7" t="str">
        <f>'[1]V, inciso p) (OP)'!AS36</f>
        <v>Colonia Arenales Tapatios</v>
      </c>
      <c r="I71" s="7" t="str">
        <f>'[1]V, inciso p) (OP)'!T36</f>
        <v>Sergio Cesar</v>
      </c>
      <c r="J71" s="7" t="str">
        <f>'[1]V, inciso p) (OP)'!U36</f>
        <v>Diaz</v>
      </c>
      <c r="K71" s="7" t="str">
        <f>'[1]V, inciso p) (OP)'!V36</f>
        <v>Quiroz</v>
      </c>
      <c r="L71" s="7" t="str">
        <f>'[1]V, inciso p) (OP)'!W36</f>
        <v>Transcreto S.A. de C.V.</v>
      </c>
      <c r="M71" s="7" t="str">
        <f>'[1]V, inciso p) (OP)'!X36</f>
        <v>TRA750528286</v>
      </c>
      <c r="N71" s="11">
        <f t="shared" si="1"/>
        <v>5312056.17</v>
      </c>
      <c r="O71" s="7" t="s">
        <v>40</v>
      </c>
      <c r="P71" s="7" t="s">
        <v>568</v>
      </c>
      <c r="Q71" s="11">
        <f>N71/3045</f>
        <v>1744.5176256157636</v>
      </c>
      <c r="R71" s="7" t="s">
        <v>42</v>
      </c>
      <c r="S71" s="15">
        <v>6432</v>
      </c>
      <c r="T71" s="7" t="s">
        <v>43</v>
      </c>
      <c r="U71" s="7" t="s">
        <v>44</v>
      </c>
      <c r="V71" s="13">
        <f>'[1]V, inciso p) (OP)'!AM36</f>
        <v>42592</v>
      </c>
      <c r="W71" s="13">
        <f>'[1]V, inciso p) (OP)'!AN36</f>
        <v>42713</v>
      </c>
      <c r="X71" s="7" t="s">
        <v>569</v>
      </c>
      <c r="Y71" s="7" t="s">
        <v>383</v>
      </c>
      <c r="Z71" s="7" t="s">
        <v>300</v>
      </c>
      <c r="AA71" s="7" t="s">
        <v>40</v>
      </c>
      <c r="AB71" s="7" t="s">
        <v>40</v>
      </c>
    </row>
    <row r="72" spans="1:28" ht="69.95" customHeight="1">
      <c r="A72" s="7">
        <v>2016</v>
      </c>
      <c r="B72" s="7" t="s">
        <v>30</v>
      </c>
      <c r="C72" s="7" t="str">
        <f>'[1]V, inciso p) (OP)'!D37</f>
        <v>DOPI-MUN-PP-PAV-LP-058-2016</v>
      </c>
      <c r="D72" s="13">
        <f>'[1]V, inciso p) (OP)'!AD37</f>
        <v>42591</v>
      </c>
      <c r="E72" s="7"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72" s="7" t="s">
        <v>67</v>
      </c>
      <c r="G72" s="11">
        <f>'[1]V, inciso p) (OP)'!AG37</f>
        <v>7853005.75</v>
      </c>
      <c r="H72" s="7" t="str">
        <f>'[1]V, inciso p) (OP)'!AS37</f>
        <v>Tesitán</v>
      </c>
      <c r="I72" s="7" t="str">
        <f>'[1]V, inciso p) (OP)'!T37</f>
        <v>Enrique Christian</v>
      </c>
      <c r="J72" s="7" t="str">
        <f>'[1]V, inciso p) (OP)'!U37</f>
        <v>Anshiro Minakata</v>
      </c>
      <c r="K72" s="7" t="str">
        <f>'[1]V, inciso p) (OP)'!V37</f>
        <v>Morentin</v>
      </c>
      <c r="L72" s="7" t="str">
        <f>'[1]V, inciso p) (OP)'!W37</f>
        <v>Construcciones Mirot, S.A. de C.V.</v>
      </c>
      <c r="M72" s="7" t="str">
        <f>'[1]V, inciso p) (OP)'!X37</f>
        <v>CMI110222AA0</v>
      </c>
      <c r="N72" s="11">
        <f t="shared" si="1"/>
        <v>7853005.75</v>
      </c>
      <c r="O72" s="7" t="s">
        <v>40</v>
      </c>
      <c r="P72" s="7" t="s">
        <v>570</v>
      </c>
      <c r="Q72" s="11">
        <f>N72/13005</f>
        <v>603.84511726259132</v>
      </c>
      <c r="R72" s="7" t="s">
        <v>42</v>
      </c>
      <c r="S72" s="15">
        <v>21089</v>
      </c>
      <c r="T72" s="7" t="s">
        <v>43</v>
      </c>
      <c r="U72" s="7" t="s">
        <v>44</v>
      </c>
      <c r="V72" s="13">
        <f>'[1]V, inciso p) (OP)'!AM37</f>
        <v>42592</v>
      </c>
      <c r="W72" s="13">
        <f>'[1]V, inciso p) (OP)'!AN37</f>
        <v>42683</v>
      </c>
      <c r="X72" s="7" t="s">
        <v>571</v>
      </c>
      <c r="Y72" s="7" t="s">
        <v>572</v>
      </c>
      <c r="Z72" s="7" t="s">
        <v>573</v>
      </c>
      <c r="AA72" s="9" t="s">
        <v>1263</v>
      </c>
      <c r="AB72" s="7" t="s">
        <v>40</v>
      </c>
    </row>
    <row r="73" spans="1:28" ht="69.95" customHeight="1">
      <c r="A73" s="7">
        <v>2016</v>
      </c>
      <c r="B73" s="7" t="s">
        <v>30</v>
      </c>
      <c r="C73" s="7" t="str">
        <f>'[1]V, inciso p) (OP)'!D38</f>
        <v>DOPI-MUN-PP-PAV-LP-059-2016</v>
      </c>
      <c r="D73" s="13">
        <f>'[1]V, inciso p) (OP)'!AD38</f>
        <v>42591</v>
      </c>
      <c r="E73" s="7"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73" s="7" t="s">
        <v>67</v>
      </c>
      <c r="G73" s="11">
        <f>'[1]V, inciso p) (OP)'!AG38</f>
        <v>6564336.8600000003</v>
      </c>
      <c r="H73" s="7" t="str">
        <f>'[1]V, inciso p) (OP)'!AS38</f>
        <v>Colonia Valle de Atemajac</v>
      </c>
      <c r="I73" s="7" t="str">
        <f>'[1]V, inciso p) (OP)'!T38</f>
        <v>Rodrigo</v>
      </c>
      <c r="J73" s="7" t="str">
        <f>'[1]V, inciso p) (OP)'!U38</f>
        <v>Ramos</v>
      </c>
      <c r="K73" s="7" t="str">
        <f>'[1]V, inciso p) (OP)'!V38</f>
        <v>Garibi</v>
      </c>
      <c r="L73" s="7" t="str">
        <f>'[1]V, inciso p) (OP)'!W38</f>
        <v>Metro Asfaltos, S.A. de C.V.</v>
      </c>
      <c r="M73" s="7" t="str">
        <f>'[1]V, inciso p) (OP)'!X38</f>
        <v>CMA070307RU6</v>
      </c>
      <c r="N73" s="11">
        <f t="shared" si="1"/>
        <v>6564336.8600000003</v>
      </c>
      <c r="O73" s="7" t="s">
        <v>40</v>
      </c>
      <c r="P73" s="7" t="s">
        <v>574</v>
      </c>
      <c r="Q73" s="11">
        <f>N73/8610</f>
        <v>762.40846225319399</v>
      </c>
      <c r="R73" s="7" t="s">
        <v>42</v>
      </c>
      <c r="S73" s="15">
        <v>21089</v>
      </c>
      <c r="T73" s="7" t="s">
        <v>43</v>
      </c>
      <c r="U73" s="7" t="s">
        <v>44</v>
      </c>
      <c r="V73" s="13">
        <f>'[1]V, inciso p) (OP)'!AM38</f>
        <v>42592</v>
      </c>
      <c r="W73" s="13">
        <f>'[1]V, inciso p) (OP)'!AN38</f>
        <v>42713</v>
      </c>
      <c r="X73" s="7" t="s">
        <v>571</v>
      </c>
      <c r="Y73" s="7" t="s">
        <v>572</v>
      </c>
      <c r="Z73" s="7" t="s">
        <v>573</v>
      </c>
      <c r="AA73" s="9" t="s">
        <v>1264</v>
      </c>
      <c r="AB73" s="7" t="s">
        <v>40</v>
      </c>
    </row>
    <row r="74" spans="1:28" ht="69.95" customHeight="1">
      <c r="A74" s="7">
        <v>2016</v>
      </c>
      <c r="B74" s="7" t="s">
        <v>30</v>
      </c>
      <c r="C74" s="7" t="str">
        <f>'[1]V, inciso p) (OP)'!D39</f>
        <v>DOPI-MUN-PP-PAV-LP-060-2016</v>
      </c>
      <c r="D74" s="13">
        <f>'[1]V, inciso p) (OP)'!AD39</f>
        <v>42591</v>
      </c>
      <c r="E74" s="7"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74" s="7" t="s">
        <v>67</v>
      </c>
      <c r="G74" s="11">
        <f>'[1]V, inciso p) (OP)'!AG39</f>
        <v>7287576.9199999999</v>
      </c>
      <c r="H74" s="7" t="str">
        <f>'[1]V, inciso p) (OP)'!AS39</f>
        <v>Colonia Girasoles Acueducto</v>
      </c>
      <c r="I74" s="7" t="str">
        <f>'[1]V, inciso p) (OP)'!T39</f>
        <v>Ignacio Javier</v>
      </c>
      <c r="J74" s="7" t="str">
        <f>'[1]V, inciso p) (OP)'!U39</f>
        <v>Curiel</v>
      </c>
      <c r="K74" s="7" t="str">
        <f>'[1]V, inciso p) (OP)'!V39</f>
        <v>Dueñas</v>
      </c>
      <c r="L74" s="7" t="str">
        <f>'[1]V, inciso p) (OP)'!W39</f>
        <v>Tc Construcción Y Mantenimiento, S.A. de C.V.</v>
      </c>
      <c r="M74" s="7" t="str">
        <f>'[1]V, inciso p) (OP)'!X39</f>
        <v>TCM100915HA1</v>
      </c>
      <c r="N74" s="11">
        <f t="shared" si="1"/>
        <v>7287576.9199999999</v>
      </c>
      <c r="O74" s="7" t="s">
        <v>40</v>
      </c>
      <c r="P74" s="7" t="s">
        <v>575</v>
      </c>
      <c r="Q74" s="11">
        <f>N74/13445</f>
        <v>542.02877798438078</v>
      </c>
      <c r="R74" s="7" t="s">
        <v>42</v>
      </c>
      <c r="S74" s="15">
        <v>21089</v>
      </c>
      <c r="T74" s="7" t="s">
        <v>43</v>
      </c>
      <c r="U74" s="7" t="s">
        <v>44</v>
      </c>
      <c r="V74" s="13">
        <f>'[1]V, inciso p) (OP)'!AM39</f>
        <v>42592</v>
      </c>
      <c r="W74" s="13">
        <f>'[1]V, inciso p) (OP)'!AN39</f>
        <v>42683</v>
      </c>
      <c r="X74" s="7" t="s">
        <v>571</v>
      </c>
      <c r="Y74" s="7" t="s">
        <v>572</v>
      </c>
      <c r="Z74" s="7" t="s">
        <v>573</v>
      </c>
      <c r="AA74" s="9" t="s">
        <v>1265</v>
      </c>
      <c r="AB74" s="7" t="s">
        <v>40</v>
      </c>
    </row>
    <row r="75" spans="1:28" ht="69.95" customHeight="1">
      <c r="A75" s="7">
        <v>2016</v>
      </c>
      <c r="B75" s="7" t="s">
        <v>30</v>
      </c>
      <c r="C75" s="7" t="str">
        <f>'[1]V, inciso p) (OP)'!D40</f>
        <v>DOPI-MUN-PP-PAV-LP-061-2016</v>
      </c>
      <c r="D75" s="13">
        <f>'[1]V, inciso p) (OP)'!AD40</f>
        <v>42591</v>
      </c>
      <c r="E75" s="7"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75" s="7" t="s">
        <v>67</v>
      </c>
      <c r="G75" s="11">
        <f>'[1]V, inciso p) (OP)'!AG40</f>
        <v>6426888.9699999997</v>
      </c>
      <c r="H75" s="7" t="str">
        <f>'[1]V, inciso p) (OP)'!AS40</f>
        <v>Colonia Las Bóvedas</v>
      </c>
      <c r="I75" s="7" t="str">
        <f>'[1]V, inciso p) (OP)'!T40</f>
        <v>Ignacio Javier</v>
      </c>
      <c r="J75" s="7" t="str">
        <f>'[1]V, inciso p) (OP)'!U40</f>
        <v>Curiel</v>
      </c>
      <c r="K75" s="7" t="str">
        <f>'[1]V, inciso p) (OP)'!V40</f>
        <v>Dueñas</v>
      </c>
      <c r="L75" s="7" t="str">
        <f>'[1]V, inciso p) (OP)'!W40</f>
        <v>Tc Construcción Y Mantenimiento, S.A. de C.V.</v>
      </c>
      <c r="M75" s="7" t="str">
        <f>'[1]V, inciso p) (OP)'!X40</f>
        <v>TCM100915HA1</v>
      </c>
      <c r="N75" s="11">
        <f t="shared" si="1"/>
        <v>6426888.9699999997</v>
      </c>
      <c r="O75" s="7" t="s">
        <v>40</v>
      </c>
      <c r="P75" s="7" t="s">
        <v>576</v>
      </c>
      <c r="Q75" s="11">
        <f>N75/11700</f>
        <v>549.30674957264955</v>
      </c>
      <c r="R75" s="7" t="s">
        <v>42</v>
      </c>
      <c r="S75" s="15">
        <v>21089</v>
      </c>
      <c r="T75" s="7" t="s">
        <v>43</v>
      </c>
      <c r="U75" s="7" t="s">
        <v>44</v>
      </c>
      <c r="V75" s="13">
        <f>'[1]V, inciso p) (OP)'!AM40</f>
        <v>42592</v>
      </c>
      <c r="W75" s="13">
        <f>'[1]V, inciso p) (OP)'!AN40</f>
        <v>42683</v>
      </c>
      <c r="X75" s="7" t="s">
        <v>571</v>
      </c>
      <c r="Y75" s="7" t="s">
        <v>572</v>
      </c>
      <c r="Z75" s="7" t="s">
        <v>573</v>
      </c>
      <c r="AA75" s="9" t="s">
        <v>1266</v>
      </c>
      <c r="AB75" s="7" t="s">
        <v>40</v>
      </c>
    </row>
    <row r="76" spans="1:28" ht="69.95" customHeight="1">
      <c r="A76" s="7">
        <v>2016</v>
      </c>
      <c r="B76" s="7" t="s">
        <v>30</v>
      </c>
      <c r="C76" s="7" t="str">
        <f>'[1]V, inciso p) (OP)'!D41</f>
        <v>DOPI-MUN-MA-PAV-LP-062-2016</v>
      </c>
      <c r="D76" s="13">
        <f>'[1]V, inciso p) (OP)'!AD41</f>
        <v>42632</v>
      </c>
      <c r="E76" s="7" t="str">
        <f>'[1]V, inciso p) (OP)'!AL41</f>
        <v>Rehabilitación de la pavimentación de la Av. López Mateos Sur de Periférico Sur a Av. Copérnico (carriles centrales se sustituyen con concreto hidráulico).</v>
      </c>
      <c r="F76" s="7" t="s">
        <v>67</v>
      </c>
      <c r="G76" s="11">
        <f>'[1]V, inciso p) (OP)'!AJ41</f>
        <v>79605111.310000002</v>
      </c>
      <c r="H76" s="7" t="s">
        <v>577</v>
      </c>
      <c r="I76" s="7" t="str">
        <f>'[1]V, inciso p) (OP)'!T41</f>
        <v>José Manuel</v>
      </c>
      <c r="J76" s="7" t="str">
        <f>'[1]V, inciso p) (OP)'!U41</f>
        <v>Gómez</v>
      </c>
      <c r="K76" s="7" t="str">
        <f>'[1]V, inciso p) (OP)'!V41</f>
        <v>Castellanos</v>
      </c>
      <c r="L76" s="7" t="str">
        <f>'[1]V, inciso p) (OP)'!W41</f>
        <v>GVA Desarrollos Integrales, S.A. de C.V.</v>
      </c>
      <c r="M76" s="7" t="str">
        <f>'[1]V, inciso p) (OP)'!X41</f>
        <v>GDI020122D2A</v>
      </c>
      <c r="N76" s="11">
        <f>G76</f>
        <v>79605111.310000002</v>
      </c>
      <c r="O76" s="7" t="s">
        <v>40</v>
      </c>
      <c r="P76" s="7" t="s">
        <v>578</v>
      </c>
      <c r="Q76" s="11">
        <f>N76/38846</f>
        <v>2049.2486050043763</v>
      </c>
      <c r="R76" s="7" t="s">
        <v>42</v>
      </c>
      <c r="S76" s="15">
        <v>845000</v>
      </c>
      <c r="T76" s="7" t="s">
        <v>43</v>
      </c>
      <c r="U76" s="7" t="s">
        <v>44</v>
      </c>
      <c r="V76" s="13">
        <f>'[1]V, inciso p) (OP)'!AM41</f>
        <v>42632</v>
      </c>
      <c r="W76" s="13">
        <f>'[1]V, inciso p) (OP)'!AN41</f>
        <v>42768</v>
      </c>
      <c r="X76" s="7" t="s">
        <v>579</v>
      </c>
      <c r="Y76" s="7" t="s">
        <v>580</v>
      </c>
      <c r="Z76" s="7" t="s">
        <v>581</v>
      </c>
      <c r="AA76" s="7" t="s">
        <v>40</v>
      </c>
      <c r="AB76" s="7" t="s">
        <v>40</v>
      </c>
    </row>
    <row r="77" spans="1:28" ht="69.95" customHeight="1">
      <c r="A77" s="7">
        <v>2016</v>
      </c>
      <c r="B77" s="7" t="s">
        <v>30</v>
      </c>
      <c r="C77" s="7" t="str">
        <f>'[1]V, inciso p) (OP)'!D42</f>
        <v>DOPI-MUN-MA-PAV-LP-063-2016</v>
      </c>
      <c r="D77" s="13">
        <f>'[1]V, inciso p) (OP)'!AD42</f>
        <v>42632</v>
      </c>
      <c r="E77" s="7" t="str">
        <f>'[1]V, inciso p) (OP)'!AL42</f>
        <v>Rehabilitación y mantenimiento de pavimentos de vialidades (reencarpetamiento, sellado, sustitución de lozas dañadas, calafateo y señalamiento horizontal) en diferentes colonias del municipio.</v>
      </c>
      <c r="F77" s="7" t="s">
        <v>67</v>
      </c>
      <c r="G77" s="11">
        <f>'[1]V, inciso p) (OP)'!AJ42</f>
        <v>79764410.700000003</v>
      </c>
      <c r="H77" s="7" t="s">
        <v>582</v>
      </c>
      <c r="I77" s="7" t="str">
        <f>'[1]V, inciso p) (OP)'!T42</f>
        <v>Diego</v>
      </c>
      <c r="J77" s="7" t="str">
        <f>'[1]V, inciso p) (OP)'!U42</f>
        <v>Valenzuela</v>
      </c>
      <c r="K77" s="7" t="str">
        <f>'[1]V, inciso p) (OP)'!V42</f>
        <v>Cadena</v>
      </c>
      <c r="L77" s="7" t="str">
        <f>'[1]V, inciso p) (OP)'!W42</f>
        <v>Fuerza de Apoyo Constructiva de Occidente, S.A. de C.V.</v>
      </c>
      <c r="M77" s="7" t="str">
        <f>'[1]V, inciso p) (OP)'!X42</f>
        <v>FAC010607TI0</v>
      </c>
      <c r="N77" s="11">
        <f>G77</f>
        <v>79764410.700000003</v>
      </c>
      <c r="O77" s="7" t="s">
        <v>40</v>
      </c>
      <c r="P77" s="7" t="s">
        <v>583</v>
      </c>
      <c r="Q77" s="11">
        <f>N77/95806</f>
        <v>832.56174665469803</v>
      </c>
      <c r="R77" s="7" t="s">
        <v>42</v>
      </c>
      <c r="S77" s="15">
        <v>243524</v>
      </c>
      <c r="T77" s="7" t="s">
        <v>43</v>
      </c>
      <c r="U77" s="7" t="s">
        <v>584</v>
      </c>
      <c r="V77" s="13">
        <f>'[1]V, inciso p) (OP)'!AM42</f>
        <v>42632</v>
      </c>
      <c r="W77" s="13">
        <f>'[1]V, inciso p) (OP)'!AN42</f>
        <v>42768</v>
      </c>
      <c r="X77" s="7" t="s">
        <v>579</v>
      </c>
      <c r="Y77" s="7" t="s">
        <v>580</v>
      </c>
      <c r="Z77" s="7" t="s">
        <v>581</v>
      </c>
      <c r="AA77" s="7" t="s">
        <v>40</v>
      </c>
      <c r="AB77" s="7" t="s">
        <v>40</v>
      </c>
    </row>
    <row r="78" spans="1:28" ht="69.95" customHeight="1">
      <c r="A78" s="7">
        <v>2016</v>
      </c>
      <c r="B78" s="7" t="s">
        <v>30</v>
      </c>
      <c r="C78" s="7" t="str">
        <f>'[1]V, inciso p) (OP)'!D43</f>
        <v>DOPI-MUN-AMP-PAV-LP-064-2016</v>
      </c>
      <c r="D78" s="13">
        <f>'[1]V, inciso p) (OP)'!AD43</f>
        <v>42591</v>
      </c>
      <c r="E78" s="7"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78" s="7" t="s">
        <v>67</v>
      </c>
      <c r="G78" s="11">
        <f>'[1]V, inciso p) (OP)'!AG43</f>
        <v>12009584.140000001</v>
      </c>
      <c r="H78" s="7" t="str">
        <f>'[1]V, inciso p) (OP)'!AS43</f>
        <v>Colonia Nuevo México</v>
      </c>
      <c r="I78" s="7" t="str">
        <f>'[1]V, inciso p) (OP)'!T43</f>
        <v>Rodrigo</v>
      </c>
      <c r="J78" s="7" t="str">
        <f>'[1]V, inciso p) (OP)'!U43</f>
        <v>Ramos</v>
      </c>
      <c r="K78" s="7" t="str">
        <f>'[1]V, inciso p) (OP)'!V43</f>
        <v>Garibi</v>
      </c>
      <c r="L78" s="7" t="str">
        <f>'[1]V, inciso p) (OP)'!W43</f>
        <v>Metro Asfaltos, S.A. de C.V.</v>
      </c>
      <c r="M78" s="7" t="str">
        <f>'[1]V, inciso p) (OP)'!X43</f>
        <v>CMA070307RU6</v>
      </c>
      <c r="N78" s="11">
        <f t="shared" si="1"/>
        <v>12009584.140000001</v>
      </c>
      <c r="O78" s="7" t="s">
        <v>40</v>
      </c>
      <c r="P78" s="7" t="s">
        <v>585</v>
      </c>
      <c r="Q78" s="11">
        <f>N78/40328</f>
        <v>297.79766266613768</v>
      </c>
      <c r="R78" s="7" t="s">
        <v>42</v>
      </c>
      <c r="S78" s="15">
        <v>60027</v>
      </c>
      <c r="T78" s="7" t="s">
        <v>43</v>
      </c>
      <c r="U78" s="7" t="s">
        <v>44</v>
      </c>
      <c r="V78" s="13">
        <f>'[1]V, inciso p) (OP)'!AM43</f>
        <v>42592</v>
      </c>
      <c r="W78" s="13">
        <f>'[1]V, inciso p) (OP)'!AN43</f>
        <v>42666</v>
      </c>
      <c r="X78" s="7" t="s">
        <v>586</v>
      </c>
      <c r="Y78" s="7" t="s">
        <v>404</v>
      </c>
      <c r="Z78" s="7" t="s">
        <v>405</v>
      </c>
      <c r="AA78" s="9" t="s">
        <v>1267</v>
      </c>
      <c r="AB78" s="7" t="s">
        <v>40</v>
      </c>
    </row>
    <row r="79" spans="1:28" ht="69.95" customHeight="1">
      <c r="A79" s="7">
        <v>2016</v>
      </c>
      <c r="B79" s="7" t="s">
        <v>30</v>
      </c>
      <c r="C79" s="7" t="str">
        <f>'[1]V, inciso p) (OP)'!D44</f>
        <v>DOPI-MUN-AMP-PAV-LP-065-2016</v>
      </c>
      <c r="D79" s="13">
        <f>'[1]V, inciso p) (OP)'!AD44</f>
        <v>42592</v>
      </c>
      <c r="E79" s="7"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79" s="7" t="s">
        <v>67</v>
      </c>
      <c r="G79" s="11">
        <f>'[1]V, inciso p) (OP)'!AG44</f>
        <v>10115493.029999999</v>
      </c>
      <c r="H79" s="7" t="str">
        <f>'[1]V, inciso p) (OP)'!AS44</f>
        <v>Colonia Nuevo México</v>
      </c>
      <c r="I79" s="7" t="str">
        <f>'[1]V, inciso p) (OP)'!T44</f>
        <v>Jose Luis</v>
      </c>
      <c r="J79" s="7" t="str">
        <f>'[1]V, inciso p) (OP)'!U44</f>
        <v>Brenez</v>
      </c>
      <c r="K79" s="7" t="str">
        <f>'[1]V, inciso p) (OP)'!V44</f>
        <v>Moreno</v>
      </c>
      <c r="L79" s="7" t="str">
        <f>'[1]V, inciso p) (OP)'!W44</f>
        <v>Breysa Constructora, S.A. de C.V.</v>
      </c>
      <c r="M79" s="7" t="str">
        <f>'[1]V, inciso p) (OP)'!X44</f>
        <v>BCO900423GC5</v>
      </c>
      <c r="N79" s="11">
        <f t="shared" si="1"/>
        <v>10115493.029999999</v>
      </c>
      <c r="O79" s="7" t="s">
        <v>40</v>
      </c>
      <c r="P79" s="7" t="s">
        <v>587</v>
      </c>
      <c r="Q79" s="11">
        <f>N79/24640</f>
        <v>410.53137297077922</v>
      </c>
      <c r="R79" s="7" t="s">
        <v>42</v>
      </c>
      <c r="S79" s="15">
        <v>60027</v>
      </c>
      <c r="T79" s="7" t="s">
        <v>43</v>
      </c>
      <c r="U79" s="7" t="s">
        <v>44</v>
      </c>
      <c r="V79" s="13">
        <f>'[1]V, inciso p) (OP)'!AM44</f>
        <v>42592</v>
      </c>
      <c r="W79" s="13">
        <f>'[1]V, inciso p) (OP)'!AN44</f>
        <v>42683</v>
      </c>
      <c r="X79" s="7" t="s">
        <v>586</v>
      </c>
      <c r="Y79" s="7" t="s">
        <v>404</v>
      </c>
      <c r="Z79" s="7" t="s">
        <v>405</v>
      </c>
      <c r="AA79" s="7" t="s">
        <v>40</v>
      </c>
      <c r="AB79" s="7" t="s">
        <v>40</v>
      </c>
    </row>
    <row r="80" spans="1:28" ht="69.95" customHeight="1">
      <c r="A80" s="7">
        <v>2016</v>
      </c>
      <c r="B80" s="7" t="s">
        <v>30</v>
      </c>
      <c r="C80" s="7" t="str">
        <f>'[1]V, inciso p) (OP)'!D45</f>
        <v>DOPI-MUN-AMP-PAV-LP-066-2016</v>
      </c>
      <c r="D80" s="13">
        <f>'[1]V, inciso p) (OP)'!AD45</f>
        <v>42592</v>
      </c>
      <c r="E80" s="7"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80" s="7" t="s">
        <v>67</v>
      </c>
      <c r="G80" s="11">
        <f>'[1]V, inciso p) (OP)'!AG45</f>
        <v>9475895.3699999992</v>
      </c>
      <c r="H80" s="7" t="str">
        <f>'[1]V, inciso p) (OP)'!AS45</f>
        <v>Colonia Base Aerea Militar</v>
      </c>
      <c r="I80" s="7" t="str">
        <f>'[1]V, inciso p) (OP)'!T45</f>
        <v>Sergio Cesar</v>
      </c>
      <c r="J80" s="7" t="str">
        <f>'[1]V, inciso p) (OP)'!U45</f>
        <v>Diaz</v>
      </c>
      <c r="K80" s="7" t="str">
        <f>'[1]V, inciso p) (OP)'!V45</f>
        <v>Quiroz</v>
      </c>
      <c r="L80" s="7" t="str">
        <f>'[1]V, inciso p) (OP)'!W45</f>
        <v>Grupo Unicreto S.A. de C.V.</v>
      </c>
      <c r="M80" s="7" t="str">
        <f>'[1]V, inciso p) (OP)'!X45</f>
        <v>GUN880613NY1</v>
      </c>
      <c r="N80" s="11">
        <f t="shared" si="1"/>
        <v>9475895.3699999992</v>
      </c>
      <c r="O80" s="7" t="s">
        <v>40</v>
      </c>
      <c r="P80" s="7" t="s">
        <v>588</v>
      </c>
      <c r="Q80" s="11">
        <f>N80/6073</f>
        <v>1560.3318574016137</v>
      </c>
      <c r="R80" s="7" t="s">
        <v>42</v>
      </c>
      <c r="S80" s="15">
        <v>3428</v>
      </c>
      <c r="T80" s="7" t="s">
        <v>43</v>
      </c>
      <c r="U80" s="7" t="s">
        <v>44</v>
      </c>
      <c r="V80" s="13">
        <f>'[1]V, inciso p) (OP)'!AM45</f>
        <v>42592</v>
      </c>
      <c r="W80" s="13">
        <f>'[1]V, inciso p) (OP)'!AN45</f>
        <v>42713</v>
      </c>
      <c r="X80" s="7" t="s">
        <v>569</v>
      </c>
      <c r="Y80" s="7" t="s">
        <v>383</v>
      </c>
      <c r="Z80" s="7" t="s">
        <v>300</v>
      </c>
      <c r="AA80" s="7" t="s">
        <v>40</v>
      </c>
      <c r="AB80" s="7" t="s">
        <v>40</v>
      </c>
    </row>
    <row r="81" spans="1:28" ht="69.95" customHeight="1">
      <c r="A81" s="7">
        <v>2016</v>
      </c>
      <c r="B81" s="7" t="s">
        <v>64</v>
      </c>
      <c r="C81" s="7" t="str">
        <f>'[1]V, inciso o) (OP)'!C42</f>
        <v>DOPI-MUN-RM-EM-AD-068-2016</v>
      </c>
      <c r="D81" s="13">
        <f>'[1]V, inciso o) (OP)'!V42</f>
        <v>42545</v>
      </c>
      <c r="E81" s="7" t="str">
        <f>'[1]V, inciso o) (OP)'!AA42</f>
        <v>Construcción de solución pluvial y de reforzamiento en terreno afectado por deslaves en paredes de terreno natural en terreno anexo a Residencial Poniente, Municipio de Zapopan, Jalisco.</v>
      </c>
      <c r="F81" s="7" t="s">
        <v>184</v>
      </c>
      <c r="G81" s="11">
        <f>'[1]V, inciso o) (OP)'!Y42</f>
        <v>4496387.16</v>
      </c>
      <c r="H81" s="7" t="s">
        <v>589</v>
      </c>
      <c r="I81" s="7" t="str">
        <f>'[1]V, inciso o) (OP)'!M42</f>
        <v>Alfredo</v>
      </c>
      <c r="J81" s="7" t="str">
        <f>'[1]V, inciso o) (OP)'!N42</f>
        <v>Aguirre</v>
      </c>
      <c r="K81" s="7" t="str">
        <f>'[1]V, inciso o) (OP)'!O42</f>
        <v>Montoya</v>
      </c>
      <c r="L81" s="7" t="str">
        <f>'[1]V, inciso o) (OP)'!P42</f>
        <v>Torres Aguirre Ingenieros, S.A. de C.V.</v>
      </c>
      <c r="M81" s="7" t="str">
        <f>'[1]V, inciso o) (OP)'!Q42</f>
        <v>TAI920312952</v>
      </c>
      <c r="N81" s="11">
        <f t="shared" si="1"/>
        <v>4496387.16</v>
      </c>
      <c r="O81" s="7" t="s">
        <v>40</v>
      </c>
      <c r="P81" s="7" t="s">
        <v>590</v>
      </c>
      <c r="Q81" s="11">
        <f>N81/855</f>
        <v>5258.9323508771931</v>
      </c>
      <c r="R81" s="7" t="s">
        <v>42</v>
      </c>
      <c r="S81" s="15">
        <v>342</v>
      </c>
      <c r="T81" s="7" t="s">
        <v>43</v>
      </c>
      <c r="U81" s="7" t="s">
        <v>44</v>
      </c>
      <c r="V81" s="13">
        <f>'[1]V, inciso o) (OP)'!AD42</f>
        <v>42548</v>
      </c>
      <c r="W81" s="13">
        <f>'[1]V, inciso o) (OP)'!AE42</f>
        <v>42637</v>
      </c>
      <c r="X81" s="7" t="s">
        <v>591</v>
      </c>
      <c r="Y81" s="7" t="s">
        <v>46</v>
      </c>
      <c r="Z81" s="7" t="s">
        <v>47</v>
      </c>
      <c r="AA81" s="9" t="s">
        <v>1268</v>
      </c>
      <c r="AB81" s="7" t="s">
        <v>40</v>
      </c>
    </row>
    <row r="82" spans="1:28" ht="69.95" customHeight="1">
      <c r="A82" s="7">
        <v>2016</v>
      </c>
      <c r="B82" s="7" t="s">
        <v>64</v>
      </c>
      <c r="C82" s="7" t="str">
        <f>'[1]V, inciso o) (OP)'!C43</f>
        <v>DOPI-MUN-RM-EM-AD-069-2016</v>
      </c>
      <c r="D82" s="13">
        <f>'[1]V, inciso o) (OP)'!V43</f>
        <v>42542</v>
      </c>
      <c r="E82" s="7"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82" s="7" t="s">
        <v>67</v>
      </c>
      <c r="G82" s="11">
        <f>'[1]V, inciso o) (OP)'!Y43</f>
        <v>2358235.4400000004</v>
      </c>
      <c r="H82" s="7" t="s">
        <v>592</v>
      </c>
      <c r="I82" s="7" t="str">
        <f>'[1]V, inciso o) (OP)'!M43</f>
        <v>José Antonio</v>
      </c>
      <c r="J82" s="7" t="str">
        <f>'[1]V, inciso o) (OP)'!N43</f>
        <v>Cuevas</v>
      </c>
      <c r="K82" s="7" t="str">
        <f>'[1]V, inciso o) (OP)'!O43</f>
        <v>Briseño</v>
      </c>
      <c r="L82" s="7" t="str">
        <f>'[1]V, inciso o) (OP)'!P43</f>
        <v>José Antonio Cuevas Briseño</v>
      </c>
      <c r="M82" s="7" t="str">
        <f>'[1]V, inciso o) (OP)'!Q43</f>
        <v>CUBA5705179V8</v>
      </c>
      <c r="N82" s="11">
        <f t="shared" si="1"/>
        <v>2358235.4400000004</v>
      </c>
      <c r="O82" s="7" t="s">
        <v>40</v>
      </c>
      <c r="P82" s="7" t="s">
        <v>593</v>
      </c>
      <c r="Q82" s="11">
        <f>N82/462</f>
        <v>5104.4057142857155</v>
      </c>
      <c r="R82" s="7" t="s">
        <v>42</v>
      </c>
      <c r="S82" s="15">
        <v>14</v>
      </c>
      <c r="T82" s="7" t="s">
        <v>43</v>
      </c>
      <c r="U82" s="7" t="s">
        <v>44</v>
      </c>
      <c r="V82" s="13">
        <f>'[1]V, inciso o) (OP)'!AD43</f>
        <v>42543</v>
      </c>
      <c r="W82" s="13">
        <f>'[1]V, inciso o) (OP)'!AE43</f>
        <v>42632</v>
      </c>
      <c r="X82" s="7" t="s">
        <v>594</v>
      </c>
      <c r="Y82" s="7" t="s">
        <v>595</v>
      </c>
      <c r="Z82" s="7" t="s">
        <v>596</v>
      </c>
      <c r="AA82" s="9" t="s">
        <v>1269</v>
      </c>
      <c r="AB82" s="7" t="s">
        <v>40</v>
      </c>
    </row>
    <row r="83" spans="1:28" ht="69.95" customHeight="1">
      <c r="A83" s="7">
        <v>2016</v>
      </c>
      <c r="B83" s="7" t="s">
        <v>64</v>
      </c>
      <c r="C83" s="7" t="str">
        <f>'[1]V, inciso o) (OP)'!C44</f>
        <v>DOPI-MUN-RM-CA-AD-070-2016</v>
      </c>
      <c r="D83" s="13">
        <f>'[1]V, inciso o) (OP)'!V44</f>
        <v>42542</v>
      </c>
      <c r="E83" s="7"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83" s="7" t="s">
        <v>184</v>
      </c>
      <c r="G83" s="11">
        <f>'[1]V, inciso o) (OP)'!Y44</f>
        <v>1449650.2300000002</v>
      </c>
      <c r="H83" s="7" t="s">
        <v>597</v>
      </c>
      <c r="I83" s="7" t="str">
        <f>'[1]V, inciso o) (OP)'!M44</f>
        <v xml:space="preserve">Eduardo </v>
      </c>
      <c r="J83" s="7" t="str">
        <f>'[1]V, inciso o) (OP)'!N44</f>
        <v>Plascencia</v>
      </c>
      <c r="K83" s="7" t="str">
        <f>'[1]V, inciso o) (OP)'!O44</f>
        <v>Macias</v>
      </c>
      <c r="L83" s="7" t="str">
        <f>'[1]V, inciso o) (OP)'!P44</f>
        <v>Constructora y Edificadora Plasma, S.A. de C.V.</v>
      </c>
      <c r="M83" s="7" t="str">
        <f>'[1]V, inciso o) (OP)'!Q44</f>
        <v>CEP080129EK6</v>
      </c>
      <c r="N83" s="11">
        <f t="shared" si="1"/>
        <v>1449650.2300000002</v>
      </c>
      <c r="O83" s="11">
        <v>1049516.9099999999</v>
      </c>
      <c r="P83" s="7" t="s">
        <v>598</v>
      </c>
      <c r="Q83" s="11">
        <f>N83/1137</f>
        <v>1274.9782145998242</v>
      </c>
      <c r="R83" s="7" t="s">
        <v>42</v>
      </c>
      <c r="S83" s="15">
        <v>89669</v>
      </c>
      <c r="T83" s="7" t="s">
        <v>43</v>
      </c>
      <c r="U83" s="7" t="s">
        <v>44</v>
      </c>
      <c r="V83" s="13">
        <f>'[1]V, inciso o) (OP)'!AD44</f>
        <v>42543</v>
      </c>
      <c r="W83" s="13">
        <f>'[1]V, inciso o) (OP)'!AE44</f>
        <v>42632</v>
      </c>
      <c r="X83" s="7" t="s">
        <v>544</v>
      </c>
      <c r="Y83" s="7" t="s">
        <v>545</v>
      </c>
      <c r="Z83" s="7" t="s">
        <v>212</v>
      </c>
      <c r="AA83" s="9" t="s">
        <v>1270</v>
      </c>
      <c r="AB83" s="7" t="s">
        <v>40</v>
      </c>
    </row>
    <row r="84" spans="1:28" ht="69.95" customHeight="1">
      <c r="A84" s="7">
        <v>2016</v>
      </c>
      <c r="B84" s="7" t="s">
        <v>64</v>
      </c>
      <c r="C84" s="7" t="str">
        <f>'[1]V, inciso o) (OP)'!C45</f>
        <v>DOPI-MUN-RM-CA-AD-071-2016</v>
      </c>
      <c r="D84" s="13">
        <f>'[1]V, inciso o) (OP)'!V45</f>
        <v>42542</v>
      </c>
      <c r="E84" s="7"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84" s="7" t="s">
        <v>67</v>
      </c>
      <c r="G84" s="11">
        <f>'[1]V, inciso o) (OP)'!Y45</f>
        <v>1301258.44</v>
      </c>
      <c r="H84" s="7" t="s">
        <v>599</v>
      </c>
      <c r="I84" s="7" t="str">
        <f>'[1]V, inciso o) (OP)'!M45</f>
        <v>Ofelia</v>
      </c>
      <c r="J84" s="7" t="str">
        <f>'[1]V, inciso o) (OP)'!N45</f>
        <v>Reyes</v>
      </c>
      <c r="K84" s="7" t="str">
        <f>'[1]V, inciso o) (OP)'!O45</f>
        <v>Estrella</v>
      </c>
      <c r="L84" s="7" t="str">
        <f>'[1]V, inciso o) (OP)'!P45</f>
        <v>Wences Construcciones, S.A. de C.V.</v>
      </c>
      <c r="M84" s="7" t="str">
        <f>'[1]V, inciso o) (OP)'!Q45</f>
        <v>WCO130628TM3</v>
      </c>
      <c r="N84" s="11">
        <f t="shared" si="1"/>
        <v>1301258.44</v>
      </c>
      <c r="O84" s="11">
        <v>1301248.2200000002</v>
      </c>
      <c r="P84" s="7" t="s">
        <v>600</v>
      </c>
      <c r="Q84" s="11">
        <f>N84/112</f>
        <v>11618.378928571428</v>
      </c>
      <c r="R84" s="7" t="s">
        <v>42</v>
      </c>
      <c r="S84" s="15">
        <v>36304</v>
      </c>
      <c r="T84" s="7" t="s">
        <v>43</v>
      </c>
      <c r="U84" s="7" t="s">
        <v>44</v>
      </c>
      <c r="V84" s="13">
        <f>'[1]V, inciso o) (OP)'!AD45</f>
        <v>42543</v>
      </c>
      <c r="W84" s="13">
        <f>'[1]V, inciso o) (OP)'!AE45</f>
        <v>42602</v>
      </c>
      <c r="X84" s="7" t="s">
        <v>571</v>
      </c>
      <c r="Y84" s="7" t="s">
        <v>572</v>
      </c>
      <c r="Z84" s="7" t="s">
        <v>573</v>
      </c>
      <c r="AA84" s="9" t="s">
        <v>1271</v>
      </c>
      <c r="AB84" s="7" t="s">
        <v>40</v>
      </c>
    </row>
    <row r="85" spans="1:28" ht="69.95" customHeight="1">
      <c r="A85" s="7">
        <v>2016</v>
      </c>
      <c r="B85" s="7" t="s">
        <v>64</v>
      </c>
      <c r="C85" s="7" t="str">
        <f>'[1]V, inciso o) (OP)'!C46</f>
        <v>DOPI-MUN-RM-PAV-AD-072-2016</v>
      </c>
      <c r="D85" s="13">
        <f>'[1]V, inciso o) (OP)'!V46</f>
        <v>42542</v>
      </c>
      <c r="E85" s="7"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85" s="7" t="s">
        <v>184</v>
      </c>
      <c r="G85" s="11">
        <f>'[1]V, inciso o) (OP)'!Y46</f>
        <v>1503202.18</v>
      </c>
      <c r="H85" s="7" t="s">
        <v>601</v>
      </c>
      <c r="I85" s="7" t="str">
        <f>'[1]V, inciso o) (OP)'!M46</f>
        <v>Elba</v>
      </c>
      <c r="J85" s="7" t="str">
        <f>'[1]V, inciso o) (OP)'!N46</f>
        <v xml:space="preserve">González </v>
      </c>
      <c r="K85" s="7" t="str">
        <f>'[1]V, inciso o) (OP)'!O46</f>
        <v>Aguirre</v>
      </c>
      <c r="L85" s="7" t="str">
        <f>'[1]V, inciso o) (OP)'!P46</f>
        <v>GA Urbanización, S.A. de C.V.</v>
      </c>
      <c r="M85" s="7" t="str">
        <f>'[1]V, inciso o) (OP)'!Q46</f>
        <v>GUR120612P22</v>
      </c>
      <c r="N85" s="11">
        <f t="shared" si="1"/>
        <v>1503202.18</v>
      </c>
      <c r="O85" s="11">
        <v>704023.13</v>
      </c>
      <c r="P85" s="7" t="s">
        <v>602</v>
      </c>
      <c r="Q85" s="11">
        <f>N85/680</f>
        <v>2210.5914411764707</v>
      </c>
      <c r="R85" s="7" t="s">
        <v>42</v>
      </c>
      <c r="S85" s="15">
        <v>918</v>
      </c>
      <c r="T85" s="7" t="s">
        <v>43</v>
      </c>
      <c r="U85" s="7" t="s">
        <v>44</v>
      </c>
      <c r="V85" s="13">
        <f>'[1]V, inciso o) (OP)'!AD46</f>
        <v>42543</v>
      </c>
      <c r="W85" s="13">
        <f>'[1]V, inciso o) (OP)'!AE46</f>
        <v>42632</v>
      </c>
      <c r="X85" s="7" t="s">
        <v>556</v>
      </c>
      <c r="Y85" s="7" t="s">
        <v>557</v>
      </c>
      <c r="Z85" s="7" t="s">
        <v>558</v>
      </c>
      <c r="AA85" s="9" t="s">
        <v>1272</v>
      </c>
      <c r="AB85" s="7" t="s">
        <v>40</v>
      </c>
    </row>
    <row r="86" spans="1:28" ht="69.95" customHeight="1">
      <c r="A86" s="7">
        <v>2016</v>
      </c>
      <c r="B86" s="7" t="s">
        <v>64</v>
      </c>
      <c r="C86" s="7" t="str">
        <f>'[1]V, inciso o) (OP)'!C47</f>
        <v>DOPI-MUN-RM-IM-AD-073-2016</v>
      </c>
      <c r="D86" s="13">
        <f>'[1]V, inciso o) (OP)'!V47</f>
        <v>42545</v>
      </c>
      <c r="E86" s="7" t="str">
        <f>'[1]V, inciso o) (OP)'!AA47</f>
        <v>Construcción y rehabilitación de bardas perimetrales en el Centro Comunitario No. 15 del DIF ubicado en San Juan de Ocotán y en la guardería CAIC del DIF ubicado en Miramar, Municipio de Zapopan, Jalisco.</v>
      </c>
      <c r="F86" s="7" t="s">
        <v>184</v>
      </c>
      <c r="G86" s="11">
        <f>'[1]V, inciso o) (OP)'!Y47</f>
        <v>1398736.1200000003</v>
      </c>
      <c r="H86" s="7" t="s">
        <v>603</v>
      </c>
      <c r="I86" s="7" t="str">
        <f>'[1]V, inciso o) (OP)'!M47</f>
        <v>Hugo Armando</v>
      </c>
      <c r="J86" s="7" t="str">
        <f>'[1]V, inciso o) (OP)'!N47</f>
        <v>Prieto</v>
      </c>
      <c r="K86" s="7" t="str">
        <f>'[1]V, inciso o) (OP)'!O47</f>
        <v>Jiménez</v>
      </c>
      <c r="L86" s="7" t="str">
        <f>'[1]V, inciso o) (OP)'!P47</f>
        <v>Constructora Rural del Pais, S.A. de C.V.</v>
      </c>
      <c r="M86" s="7" t="str">
        <f>'[1]V, inciso o) (OP)'!Q47</f>
        <v>CRP870708I62</v>
      </c>
      <c r="N86" s="11">
        <f t="shared" si="1"/>
        <v>1398736.1200000003</v>
      </c>
      <c r="O86" s="7" t="s">
        <v>40</v>
      </c>
      <c r="P86" s="7" t="s">
        <v>604</v>
      </c>
      <c r="Q86" s="11">
        <f>N86/312</f>
        <v>4483.128589743591</v>
      </c>
      <c r="R86" s="7" t="s">
        <v>42</v>
      </c>
      <c r="S86" s="15">
        <v>19228</v>
      </c>
      <c r="T86" s="7" t="s">
        <v>43</v>
      </c>
      <c r="U86" s="7" t="s">
        <v>44</v>
      </c>
      <c r="V86" s="13">
        <f>'[1]V, inciso o) (OP)'!AD47</f>
        <v>42548</v>
      </c>
      <c r="W86" s="13">
        <f>'[1]V, inciso o) (OP)'!AE47</f>
        <v>42607</v>
      </c>
      <c r="X86" s="7" t="s">
        <v>605</v>
      </c>
      <c r="Y86" s="7" t="s">
        <v>442</v>
      </c>
      <c r="Z86" s="7" t="s">
        <v>101</v>
      </c>
      <c r="AA86" s="9" t="s">
        <v>1273</v>
      </c>
      <c r="AB86" s="7" t="s">
        <v>40</v>
      </c>
    </row>
    <row r="87" spans="1:28" ht="69.95" customHeight="1">
      <c r="A87" s="7">
        <v>2016</v>
      </c>
      <c r="B87" s="7" t="s">
        <v>64</v>
      </c>
      <c r="C87" s="7" t="s">
        <v>606</v>
      </c>
      <c r="D87" s="13">
        <v>42521</v>
      </c>
      <c r="E87" s="7" t="s">
        <v>607</v>
      </c>
      <c r="F87" s="7" t="s">
        <v>184</v>
      </c>
      <c r="G87" s="11">
        <v>1472628.4</v>
      </c>
      <c r="H87" s="7" t="s">
        <v>608</v>
      </c>
      <c r="I87" s="7" t="s">
        <v>609</v>
      </c>
      <c r="J87" s="7" t="s">
        <v>610</v>
      </c>
      <c r="K87" s="7" t="s">
        <v>611</v>
      </c>
      <c r="L87" s="7" t="s">
        <v>612</v>
      </c>
      <c r="M87" s="7" t="s">
        <v>613</v>
      </c>
      <c r="N87" s="11">
        <v>1472628.4</v>
      </c>
      <c r="O87" s="11">
        <v>1381638.21</v>
      </c>
      <c r="P87" s="7" t="s">
        <v>614</v>
      </c>
      <c r="Q87" s="11">
        <f>N87/4700</f>
        <v>313.32519148936166</v>
      </c>
      <c r="R87" s="7" t="s">
        <v>222</v>
      </c>
      <c r="S87" s="15">
        <v>122345</v>
      </c>
      <c r="T87" s="7" t="s">
        <v>43</v>
      </c>
      <c r="U87" s="7" t="s">
        <v>44</v>
      </c>
      <c r="V87" s="13">
        <v>42522</v>
      </c>
      <c r="W87" s="13">
        <v>42566</v>
      </c>
      <c r="X87" s="7" t="s">
        <v>333</v>
      </c>
      <c r="Y87" s="7" t="s">
        <v>334</v>
      </c>
      <c r="Z87" s="7" t="s">
        <v>133</v>
      </c>
      <c r="AA87" s="9" t="s">
        <v>606</v>
      </c>
      <c r="AB87" s="7" t="s">
        <v>40</v>
      </c>
    </row>
    <row r="88" spans="1:28" ht="69.95" customHeight="1">
      <c r="A88" s="7">
        <v>2016</v>
      </c>
      <c r="B88" s="7" t="s">
        <v>64</v>
      </c>
      <c r="C88" s="7" t="s">
        <v>615</v>
      </c>
      <c r="D88" s="13">
        <v>42521</v>
      </c>
      <c r="E88" s="7" t="s">
        <v>616</v>
      </c>
      <c r="F88" s="7" t="s">
        <v>184</v>
      </c>
      <c r="G88" s="11">
        <v>1386929.62</v>
      </c>
      <c r="H88" s="7" t="s">
        <v>617</v>
      </c>
      <c r="I88" s="7" t="s">
        <v>618</v>
      </c>
      <c r="J88" s="7" t="s">
        <v>619</v>
      </c>
      <c r="K88" s="7" t="s">
        <v>377</v>
      </c>
      <c r="L88" s="7" t="s">
        <v>620</v>
      </c>
      <c r="M88" s="7" t="s">
        <v>621</v>
      </c>
      <c r="N88" s="11">
        <v>1386929.62</v>
      </c>
      <c r="O88" s="11">
        <v>1386928.81</v>
      </c>
      <c r="P88" s="7" t="s">
        <v>622</v>
      </c>
      <c r="Q88" s="11">
        <f>N88/30700</f>
        <v>45.176860586319222</v>
      </c>
      <c r="R88" s="7" t="s">
        <v>222</v>
      </c>
      <c r="S88" s="15">
        <v>164322</v>
      </c>
      <c r="T88" s="7" t="s">
        <v>43</v>
      </c>
      <c r="U88" s="7" t="s">
        <v>44</v>
      </c>
      <c r="V88" s="13">
        <v>42522</v>
      </c>
      <c r="W88" s="13">
        <v>42566</v>
      </c>
      <c r="X88" s="7" t="s">
        <v>342</v>
      </c>
      <c r="Y88" s="7" t="s">
        <v>343</v>
      </c>
      <c r="Z88" s="7" t="s">
        <v>344</v>
      </c>
      <c r="AA88" s="9" t="s">
        <v>615</v>
      </c>
      <c r="AB88" s="7" t="s">
        <v>40</v>
      </c>
    </row>
    <row r="89" spans="1:28" ht="69.95" customHeight="1">
      <c r="A89" s="7">
        <v>2016</v>
      </c>
      <c r="B89" s="7" t="s">
        <v>64</v>
      </c>
      <c r="C89" s="7" t="s">
        <v>623</v>
      </c>
      <c r="D89" s="13">
        <v>42523</v>
      </c>
      <c r="E89" s="7" t="s">
        <v>624</v>
      </c>
      <c r="F89" s="7" t="s">
        <v>184</v>
      </c>
      <c r="G89" s="11">
        <v>1414800.15</v>
      </c>
      <c r="H89" s="7" t="s">
        <v>617</v>
      </c>
      <c r="I89" s="7" t="s">
        <v>625</v>
      </c>
      <c r="J89" s="7" t="s">
        <v>139</v>
      </c>
      <c r="K89" s="7" t="s">
        <v>626</v>
      </c>
      <c r="L89" s="7" t="s">
        <v>627</v>
      </c>
      <c r="M89" s="7" t="s">
        <v>628</v>
      </c>
      <c r="N89" s="11">
        <v>1414800.15</v>
      </c>
      <c r="O89" s="11">
        <v>1390957.67</v>
      </c>
      <c r="P89" s="7" t="s">
        <v>629</v>
      </c>
      <c r="Q89" s="11">
        <f>N89/2495</f>
        <v>567.05416833667334</v>
      </c>
      <c r="R89" s="7" t="s">
        <v>222</v>
      </c>
      <c r="S89" s="15">
        <v>264114</v>
      </c>
      <c r="T89" s="7" t="s">
        <v>43</v>
      </c>
      <c r="U89" s="7" t="s">
        <v>44</v>
      </c>
      <c r="V89" s="13">
        <v>42524</v>
      </c>
      <c r="W89" s="13">
        <v>42573</v>
      </c>
      <c r="X89" s="7" t="str">
        <f>X87</f>
        <v xml:space="preserve">Carlos Gerardo </v>
      </c>
      <c r="Y89" s="7" t="str">
        <f>Y87</f>
        <v xml:space="preserve">Peña </v>
      </c>
      <c r="Z89" s="7" t="str">
        <f>Z87</f>
        <v>Ortega</v>
      </c>
      <c r="AA89" s="7" t="s">
        <v>40</v>
      </c>
      <c r="AB89" s="7" t="s">
        <v>40</v>
      </c>
    </row>
    <row r="90" spans="1:28" ht="69.95" customHeight="1">
      <c r="A90" s="7">
        <v>2016</v>
      </c>
      <c r="B90" s="7" t="s">
        <v>64</v>
      </c>
      <c r="C90" s="7" t="s">
        <v>630</v>
      </c>
      <c r="D90" s="13">
        <v>42530</v>
      </c>
      <c r="E90" s="7" t="s">
        <v>631</v>
      </c>
      <c r="F90" s="7" t="s">
        <v>184</v>
      </c>
      <c r="G90" s="11">
        <v>1495650.36</v>
      </c>
      <c r="H90" s="7" t="s">
        <v>617</v>
      </c>
      <c r="I90" s="7" t="s">
        <v>632</v>
      </c>
      <c r="J90" s="7" t="s">
        <v>633</v>
      </c>
      <c r="K90" s="7" t="s">
        <v>634</v>
      </c>
      <c r="L90" s="7" t="s">
        <v>635</v>
      </c>
      <c r="M90" s="7" t="s">
        <v>636</v>
      </c>
      <c r="N90" s="11">
        <v>1495650.36</v>
      </c>
      <c r="O90" s="7" t="s">
        <v>40</v>
      </c>
      <c r="P90" s="7" t="s">
        <v>231</v>
      </c>
      <c r="Q90" s="7" t="s">
        <v>231</v>
      </c>
      <c r="R90" s="7" t="s">
        <v>232</v>
      </c>
      <c r="S90" s="15" t="s">
        <v>232</v>
      </c>
      <c r="T90" s="7" t="s">
        <v>43</v>
      </c>
      <c r="U90" s="7" t="s">
        <v>44</v>
      </c>
      <c r="V90" s="13">
        <v>42531</v>
      </c>
      <c r="W90" s="13">
        <v>42643</v>
      </c>
      <c r="X90" s="7" t="s">
        <v>523</v>
      </c>
      <c r="Y90" s="7" t="s">
        <v>524</v>
      </c>
      <c r="Z90" s="7" t="s">
        <v>462</v>
      </c>
      <c r="AA90" s="9" t="s">
        <v>630</v>
      </c>
      <c r="AB90" s="7" t="s">
        <v>40</v>
      </c>
    </row>
    <row r="91" spans="1:28" ht="69.95" customHeight="1">
      <c r="A91" s="7">
        <v>2016</v>
      </c>
      <c r="B91" s="7" t="s">
        <v>64</v>
      </c>
      <c r="C91" s="7" t="str">
        <f>'[1]V, inciso o) (OP)'!C52</f>
        <v>DOPI-MUN-RM-IM-AD-078-2016</v>
      </c>
      <c r="D91" s="13">
        <f>'[1]V, inciso o) (OP)'!V52</f>
        <v>42545</v>
      </c>
      <c r="E91" s="7" t="str">
        <f>'[1]V, inciso o) (OP)'!AA52</f>
        <v>Construcción de estacionamiento con pavimento asfáltico y sello tipo Slurry Seal, guarniciones, banquetas, adecuaciones a la instalación eléctrica y aire acondicionado en el archivo histórico de Zapopan, Municipio de Zapopan, Jalisco.</v>
      </c>
      <c r="F91" s="7" t="s">
        <v>184</v>
      </c>
      <c r="G91" s="11">
        <f>'[1]V, inciso o) (OP)'!Y52</f>
        <v>1598479.88</v>
      </c>
      <c r="H91" s="7" t="s">
        <v>637</v>
      </c>
      <c r="I91" s="7" t="str">
        <f>'[1]V, inciso o) (OP)'!M52</f>
        <v>J. Gerardo</v>
      </c>
      <c r="J91" s="7" t="str">
        <f>'[1]V, inciso o) (OP)'!N52</f>
        <v>Nicanor</v>
      </c>
      <c r="K91" s="7" t="str">
        <f>'[1]V, inciso o) (OP)'!O52</f>
        <v>Mejia Mariscal</v>
      </c>
      <c r="L91" s="7" t="str">
        <f>'[1]V, inciso o) (OP)'!P52</f>
        <v>Ineco Construye, S.A. de C.V.</v>
      </c>
      <c r="M91" s="7" t="str">
        <f>'[1]V, inciso o) (OP)'!Q52</f>
        <v>ICO980722M04</v>
      </c>
      <c r="N91" s="11">
        <f>G91</f>
        <v>1598479.88</v>
      </c>
      <c r="O91" s="7" t="s">
        <v>40</v>
      </c>
      <c r="P91" s="7" t="s">
        <v>638</v>
      </c>
      <c r="Q91" s="11">
        <f>N91/812</f>
        <v>1968.5712807881771</v>
      </c>
      <c r="R91" s="7" t="s">
        <v>42</v>
      </c>
      <c r="S91" s="15">
        <v>134</v>
      </c>
      <c r="T91" s="7" t="s">
        <v>43</v>
      </c>
      <c r="U91" s="7" t="s">
        <v>44</v>
      </c>
      <c r="V91" s="13">
        <f>'[1]V, inciso o) (OP)'!AD52</f>
        <v>42548</v>
      </c>
      <c r="W91" s="13">
        <f>'[1]V, inciso o) (OP)'!AE52</f>
        <v>42607</v>
      </c>
      <c r="X91" s="7" t="s">
        <v>594</v>
      </c>
      <c r="Y91" s="7" t="s">
        <v>595</v>
      </c>
      <c r="Z91" s="7" t="s">
        <v>596</v>
      </c>
      <c r="AA91" s="9" t="s">
        <v>1274</v>
      </c>
      <c r="AB91" s="7" t="s">
        <v>40</v>
      </c>
    </row>
    <row r="92" spans="1:28" ht="69.95" customHeight="1">
      <c r="A92" s="7">
        <v>2016</v>
      </c>
      <c r="B92" s="7" t="s">
        <v>64</v>
      </c>
      <c r="C92" s="7" t="str">
        <f>'[1]V, inciso o) (OP)'!C53</f>
        <v>DOPI-MUN-RM-PROY-AD-079-2016</v>
      </c>
      <c r="D92" s="13">
        <f>'[1]V, inciso o) (OP)'!V53</f>
        <v>42545</v>
      </c>
      <c r="E92" s="7" t="str">
        <f>'[1]V, inciso o) (OP)'!AA53</f>
        <v>Proyecto ejecutivo para la construcción de la celda 5 en el relleno sanitario Picachos, Municipio de Zapopan, Jalisco.</v>
      </c>
      <c r="F92" s="7" t="s">
        <v>184</v>
      </c>
      <c r="G92" s="11">
        <f>'[1]V, inciso o) (OP)'!Y53</f>
        <v>1115518.2</v>
      </c>
      <c r="H92" s="7" t="s">
        <v>231</v>
      </c>
      <c r="I92" s="7" t="str">
        <f>'[1]V, inciso o) (OP)'!M53</f>
        <v>Juan Ramón</v>
      </c>
      <c r="J92" s="7" t="str">
        <f>'[1]V, inciso o) (OP)'!N53</f>
        <v>Ramírez</v>
      </c>
      <c r="K92" s="7" t="str">
        <f>'[1]V, inciso o) (OP)'!O53</f>
        <v>Alatorre</v>
      </c>
      <c r="L92" s="7" t="str">
        <f>'[1]V, inciso o) (OP)'!P53</f>
        <v>Quercus Geosoluciones, S.A. de C.V.</v>
      </c>
      <c r="M92" s="7" t="str">
        <f>'[1]V, inciso o) (OP)'!Q53</f>
        <v>QGE080213988</v>
      </c>
      <c r="N92" s="11">
        <f t="shared" ref="N92:N147" si="2">G92</f>
        <v>1115518.2</v>
      </c>
      <c r="O92" s="7" t="s">
        <v>40</v>
      </c>
      <c r="P92" s="7" t="s">
        <v>231</v>
      </c>
      <c r="Q92" s="7" t="s">
        <v>231</v>
      </c>
      <c r="R92" s="7" t="s">
        <v>42</v>
      </c>
      <c r="S92" s="15" t="s">
        <v>231</v>
      </c>
      <c r="T92" s="7" t="s">
        <v>43</v>
      </c>
      <c r="U92" s="7" t="s">
        <v>44</v>
      </c>
      <c r="V92" s="13">
        <f>'[1]V, inciso o) (OP)'!AD53</f>
        <v>42548</v>
      </c>
      <c r="W92" s="13">
        <f>'[1]V, inciso o) (OP)'!AE53</f>
        <v>42592</v>
      </c>
      <c r="X92" s="7" t="s">
        <v>639</v>
      </c>
      <c r="Y92" s="7" t="s">
        <v>524</v>
      </c>
      <c r="Z92" s="7" t="s">
        <v>462</v>
      </c>
      <c r="AA92" s="9" t="s">
        <v>1275</v>
      </c>
      <c r="AB92" s="7" t="s">
        <v>40</v>
      </c>
    </row>
    <row r="93" spans="1:28" ht="69.95" customHeight="1">
      <c r="A93" s="7">
        <v>2016</v>
      </c>
      <c r="B93" s="7" t="s">
        <v>64</v>
      </c>
      <c r="C93" s="7" t="str">
        <f>'[1]V, inciso o) (OP)'!C54</f>
        <v>DOPI-MUN-RM-MOV-AD-080-2016</v>
      </c>
      <c r="D93" s="13">
        <f>'[1]V, inciso o) (OP)'!V54</f>
        <v>42552</v>
      </c>
      <c r="E93" s="7" t="str">
        <f>'[1]V, inciso o) (OP)'!AA54</f>
        <v>Señalización vertical y horizontal en diferentes obras del municipio de Zapopan, Jalisco, frente 1.</v>
      </c>
      <c r="F93" s="7" t="s">
        <v>184</v>
      </c>
      <c r="G93" s="11">
        <f>'[1]V, inciso o) (OP)'!Y54</f>
        <v>1250236.98</v>
      </c>
      <c r="H93" s="7" t="s">
        <v>225</v>
      </c>
      <c r="I93" s="7" t="str">
        <f>'[1]V, inciso o) (OP)'!M54</f>
        <v>Jorge Alberto</v>
      </c>
      <c r="J93" s="7" t="str">
        <f>'[1]V, inciso o) (OP)'!N54</f>
        <v>Mena</v>
      </c>
      <c r="K93" s="7" t="str">
        <f>'[1]V, inciso o) (OP)'!O54</f>
        <v>Adames</v>
      </c>
      <c r="L93" s="7" t="str">
        <f>'[1]V, inciso o) (OP)'!P54</f>
        <v>Divicon, S.A. de C.V.</v>
      </c>
      <c r="M93" s="7" t="str">
        <f>'[1]V, inciso o) (OP)'!Q54</f>
        <v>DIV010905510</v>
      </c>
      <c r="N93" s="11">
        <f t="shared" si="2"/>
        <v>1250236.98</v>
      </c>
      <c r="O93" s="7" t="s">
        <v>40</v>
      </c>
      <c r="P93" s="7" t="s">
        <v>231</v>
      </c>
      <c r="Q93" s="11" t="s">
        <v>231</v>
      </c>
      <c r="R93" s="7" t="s">
        <v>42</v>
      </c>
      <c r="S93" s="15">
        <v>333068</v>
      </c>
      <c r="T93" s="7" t="s">
        <v>43</v>
      </c>
      <c r="U93" s="7" t="s">
        <v>44</v>
      </c>
      <c r="V93" s="13">
        <f>'[1]V, inciso o) (OP)'!AD54</f>
        <v>42555</v>
      </c>
      <c r="W93" s="13">
        <f>'[1]V, inciso o) (OP)'!AE54</f>
        <v>42724</v>
      </c>
      <c r="X93" s="7" t="s">
        <v>640</v>
      </c>
      <c r="Y93" s="7" t="s">
        <v>641</v>
      </c>
      <c r="Z93" s="7" t="s">
        <v>167</v>
      </c>
      <c r="AA93" s="9" t="s">
        <v>1276</v>
      </c>
      <c r="AB93" s="7" t="s">
        <v>40</v>
      </c>
    </row>
    <row r="94" spans="1:28" ht="69.95" customHeight="1">
      <c r="A94" s="7">
        <v>2016</v>
      </c>
      <c r="B94" s="7" t="s">
        <v>64</v>
      </c>
      <c r="C94" s="7" t="str">
        <f>'[1]V, inciso o) (OP)'!C55</f>
        <v>DOPI-MUN-RM-PAV-AD-081-2016</v>
      </c>
      <c r="D94" s="13">
        <f>'[1]V, inciso o) (OP)'!V55</f>
        <v>42552</v>
      </c>
      <c r="E94" s="7"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94" s="7" t="s">
        <v>184</v>
      </c>
      <c r="G94" s="11">
        <f>'[1]V, inciso o) (OP)'!Y55</f>
        <v>1475028.6100000003</v>
      </c>
      <c r="H94" s="7" t="s">
        <v>642</v>
      </c>
      <c r="I94" s="7" t="str">
        <f>'[1]V, inciso o) (OP)'!M55</f>
        <v>Miguel</v>
      </c>
      <c r="J94" s="7" t="str">
        <f>'[1]V, inciso o) (OP)'!N55</f>
        <v>Rodríguez</v>
      </c>
      <c r="K94" s="7" t="str">
        <f>'[1]V, inciso o) (OP)'!O55</f>
        <v>Rosas</v>
      </c>
      <c r="L94" s="7" t="str">
        <f>'[1]V, inciso o) (OP)'!P55</f>
        <v>Stella Construcciones, S.A. de C.V.</v>
      </c>
      <c r="M94" s="7" t="str">
        <f>'[1]V, inciso o) (OP)'!Q55</f>
        <v>SCO0102137E1</v>
      </c>
      <c r="N94" s="11">
        <f t="shared" si="2"/>
        <v>1475028.6100000003</v>
      </c>
      <c r="O94" s="7" t="s">
        <v>40</v>
      </c>
      <c r="P94" s="7" t="s">
        <v>643</v>
      </c>
      <c r="Q94" s="11">
        <f>N94/768</f>
        <v>1920.6101692708337</v>
      </c>
      <c r="R94" s="7" t="s">
        <v>42</v>
      </c>
      <c r="S94" s="15">
        <v>1929</v>
      </c>
      <c r="T94" s="7" t="s">
        <v>43</v>
      </c>
      <c r="U94" s="7" t="s">
        <v>44</v>
      </c>
      <c r="V94" s="13">
        <f>'[1]V, inciso o) (OP)'!AD55</f>
        <v>42555</v>
      </c>
      <c r="W94" s="13">
        <f>'[1]V, inciso o) (OP)'!AE55</f>
        <v>42613</v>
      </c>
      <c r="X94" s="7" t="s">
        <v>530</v>
      </c>
      <c r="Y94" s="7" t="s">
        <v>343</v>
      </c>
      <c r="Z94" s="7" t="s">
        <v>344</v>
      </c>
      <c r="AA94" s="9" t="s">
        <v>1277</v>
      </c>
      <c r="AB94" s="7" t="s">
        <v>40</v>
      </c>
    </row>
    <row r="95" spans="1:28" ht="69.95" customHeight="1">
      <c r="A95" s="7">
        <v>2016</v>
      </c>
      <c r="B95" s="7" t="s">
        <v>64</v>
      </c>
      <c r="C95" s="7" t="str">
        <f>'[1]V, inciso o) (OP)'!C56</f>
        <v>DOPI-MUN-RM-PAV-AD-082-2016</v>
      </c>
      <c r="D95" s="13">
        <f>'[1]V, inciso o) (OP)'!V56</f>
        <v>42555</v>
      </c>
      <c r="E95" s="7"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95" s="7" t="s">
        <v>184</v>
      </c>
      <c r="G95" s="11">
        <f>'[1]V, inciso o) (OP)'!Y56</f>
        <v>1497852.13</v>
      </c>
      <c r="H95" s="7" t="s">
        <v>644</v>
      </c>
      <c r="I95" s="7" t="str">
        <f>'[1]V, inciso o) (OP)'!M56</f>
        <v xml:space="preserve">José Luis </v>
      </c>
      <c r="J95" s="7" t="str">
        <f>'[1]V, inciso o) (OP)'!N56</f>
        <v xml:space="preserve">Castillo </v>
      </c>
      <c r="K95" s="7" t="str">
        <f>'[1]V, inciso o) (OP)'!O56</f>
        <v>Rodríguez</v>
      </c>
      <c r="L95" s="7" t="str">
        <f>'[1]V, inciso o) (OP)'!P56</f>
        <v>Felal Construcciones, S.A. de C.V.</v>
      </c>
      <c r="M95" s="7" t="str">
        <f>'[1]V, inciso o) (OP)'!Q56</f>
        <v>FCO9911092V5</v>
      </c>
      <c r="N95" s="11">
        <f t="shared" si="2"/>
        <v>1497852.13</v>
      </c>
      <c r="O95" s="7" t="s">
        <v>40</v>
      </c>
      <c r="P95" s="7" t="s">
        <v>645</v>
      </c>
      <c r="Q95" s="11">
        <f>N95/925</f>
        <v>1619.2995999999998</v>
      </c>
      <c r="R95" s="7" t="s">
        <v>42</v>
      </c>
      <c r="S95" s="15">
        <v>98751</v>
      </c>
      <c r="T95" s="7" t="s">
        <v>43</v>
      </c>
      <c r="U95" s="7" t="s">
        <v>44</v>
      </c>
      <c r="V95" s="13">
        <f>'[1]V, inciso o) (OP)'!AD56</f>
        <v>42556</v>
      </c>
      <c r="W95" s="13">
        <f>'[1]V, inciso o) (OP)'!AE56</f>
        <v>42585</v>
      </c>
      <c r="X95" s="7" t="s">
        <v>530</v>
      </c>
      <c r="Y95" s="7" t="s">
        <v>343</v>
      </c>
      <c r="Z95" s="7" t="s">
        <v>344</v>
      </c>
      <c r="AA95" s="9" t="s">
        <v>1278</v>
      </c>
      <c r="AB95" s="7" t="s">
        <v>40</v>
      </c>
    </row>
    <row r="96" spans="1:28" ht="69.95" customHeight="1">
      <c r="A96" s="7">
        <v>2016</v>
      </c>
      <c r="B96" s="7" t="s">
        <v>64</v>
      </c>
      <c r="C96" s="7" t="str">
        <f>'[1]V, inciso o) (OP)'!C57</f>
        <v>DOPI-MUN-RM-OC-AD-083-2016</v>
      </c>
      <c r="D96" s="13">
        <f>'[1]V, inciso o) (OP)'!V57</f>
        <v>42555</v>
      </c>
      <c r="E96" s="7" t="str">
        <f>'[1]V, inciso o) (OP)'!AA57</f>
        <v>Corrección de canal pluvial, construcción de mamposteos, zampeados, puente peatonal, accesos y aproches en el cruce del arroyo ubicado en la colonia Las Higueras, municipio de Zapopan, Jalisco.</v>
      </c>
      <c r="F96" s="7" t="s">
        <v>184</v>
      </c>
      <c r="G96" s="11">
        <f>'[1]V, inciso o) (OP)'!Y57</f>
        <v>1394254.6600000001</v>
      </c>
      <c r="H96" s="7" t="s">
        <v>646</v>
      </c>
      <c r="I96" s="7" t="str">
        <f>'[1]V, inciso o) (OP)'!M57</f>
        <v>José Gilberto</v>
      </c>
      <c r="J96" s="7" t="str">
        <f>'[1]V, inciso o) (OP)'!N57</f>
        <v>Luján</v>
      </c>
      <c r="K96" s="7" t="str">
        <f>'[1]V, inciso o) (OP)'!O57</f>
        <v>Barajas</v>
      </c>
      <c r="L96" s="7" t="str">
        <f>'[1]V, inciso o) (OP)'!P57</f>
        <v>Gilco Ingeniería, S.A. de C.V.</v>
      </c>
      <c r="M96" s="7" t="str">
        <f>'[1]V, inciso o) (OP)'!Q57</f>
        <v>GIN1202272F9</v>
      </c>
      <c r="N96" s="11">
        <f t="shared" si="2"/>
        <v>1394254.6600000001</v>
      </c>
      <c r="O96" s="7" t="s">
        <v>40</v>
      </c>
      <c r="P96" s="7" t="s">
        <v>647</v>
      </c>
      <c r="Q96" s="11">
        <f>N96/5324</f>
        <v>261.88104057099929</v>
      </c>
      <c r="R96" s="7" t="s">
        <v>42</v>
      </c>
      <c r="S96" s="15">
        <v>3061</v>
      </c>
      <c r="T96" s="7" t="s">
        <v>43</v>
      </c>
      <c r="U96" s="7" t="s">
        <v>44</v>
      </c>
      <c r="V96" s="13">
        <f>'[1]V, inciso o) (OP)'!AD57</f>
        <v>42556</v>
      </c>
      <c r="W96" s="13">
        <f>'[1]V, inciso o) (OP)'!AE57</f>
        <v>42615</v>
      </c>
      <c r="X96" s="7" t="s">
        <v>605</v>
      </c>
      <c r="Y96" s="7" t="s">
        <v>442</v>
      </c>
      <c r="Z96" s="7" t="s">
        <v>101</v>
      </c>
      <c r="AA96" s="7" t="s">
        <v>40</v>
      </c>
      <c r="AB96" s="7" t="s">
        <v>40</v>
      </c>
    </row>
    <row r="97" spans="1:28" ht="69.95" customHeight="1">
      <c r="A97" s="7">
        <v>2016</v>
      </c>
      <c r="B97" s="7" t="s">
        <v>30</v>
      </c>
      <c r="C97" s="7" t="str">
        <f>'[1]V, inciso p) (OP)'!D46</f>
        <v>DOPI-FED-R23-PAV-LP-084-2016</v>
      </c>
      <c r="D97" s="13">
        <f>'[1]V, inciso p) (OP)'!AD46</f>
        <v>42656</v>
      </c>
      <c r="E97" s="7" t="str">
        <f>'[1]V, inciso p) (OP)'!I46</f>
        <v>Reencarpetamiento de la Av. Obreros de Cananea, municipio de Zapopan, Jalisco.</v>
      </c>
      <c r="F97" s="7" t="s">
        <v>648</v>
      </c>
      <c r="G97" s="11">
        <f>'[1]V, inciso p) (OP)'!AG46</f>
        <v>8740845.9000000004</v>
      </c>
      <c r="H97" s="7" t="str">
        <f>'[1]V, inciso p) (OP)'!AS46</f>
        <v>Colonia El Paraiso</v>
      </c>
      <c r="I97" s="7" t="str">
        <f>'[1]V, inciso p) (OP)'!T46</f>
        <v>Salvador</v>
      </c>
      <c r="J97" s="7" t="str">
        <f>'[1]V, inciso p) (OP)'!U46</f>
        <v>Meza</v>
      </c>
      <c r="K97" s="7" t="str">
        <f>'[1]V, inciso p) (OP)'!V46</f>
        <v>López</v>
      </c>
      <c r="L97" s="7" t="str">
        <f>'[1]V, inciso p) (OP)'!W46</f>
        <v>Constructores en Corporación, S.A. de C.V.</v>
      </c>
      <c r="M97" s="7" t="str">
        <f>'[1]V, inciso p) (OP)'!X46</f>
        <v>CCO780607JD6</v>
      </c>
      <c r="N97" s="11">
        <f>G97</f>
        <v>8740845.9000000004</v>
      </c>
      <c r="O97" s="7" t="s">
        <v>40</v>
      </c>
      <c r="P97" s="7" t="s">
        <v>649</v>
      </c>
      <c r="Q97" s="11">
        <f>N97/28562</f>
        <v>306.03059659687699</v>
      </c>
      <c r="R97" s="7" t="s">
        <v>42</v>
      </c>
      <c r="S97" s="15">
        <v>4325</v>
      </c>
      <c r="T97" s="7" t="s">
        <v>43</v>
      </c>
      <c r="U97" s="7" t="s">
        <v>44</v>
      </c>
      <c r="V97" s="13">
        <f>'[1]V, inciso p) (OP)'!AM46</f>
        <v>42656</v>
      </c>
      <c r="W97" s="13">
        <f>'[1]V, inciso p) (OP)'!AN46</f>
        <v>42722</v>
      </c>
      <c r="X97" s="7" t="s">
        <v>650</v>
      </c>
      <c r="Y97" s="7" t="s">
        <v>651</v>
      </c>
      <c r="Z97" s="7" t="s">
        <v>652</v>
      </c>
      <c r="AA97" s="7" t="s">
        <v>40</v>
      </c>
      <c r="AB97" s="7" t="s">
        <v>40</v>
      </c>
    </row>
    <row r="98" spans="1:28" ht="69.95" customHeight="1">
      <c r="A98" s="7">
        <v>2016</v>
      </c>
      <c r="B98" s="7" t="s">
        <v>30</v>
      </c>
      <c r="C98" s="7" t="str">
        <f>'[1]V, inciso p) (OP)'!D47</f>
        <v>DOPI-FED-R23-PAV-LP-085-2016</v>
      </c>
      <c r="D98" s="13">
        <f>'[1]V, inciso p) (OP)'!AD47</f>
        <v>42656</v>
      </c>
      <c r="E98" s="7" t="str">
        <f>'[1]V, inciso p) (OP)'!I47</f>
        <v>Reencarpetamiento de la Calle Industria, municipio de Zapopan, Jalisco.</v>
      </c>
      <c r="F98" s="7" t="s">
        <v>648</v>
      </c>
      <c r="G98" s="11">
        <f>'[1]V, inciso p) (OP)'!AG47</f>
        <v>3747446.55</v>
      </c>
      <c r="H98" s="7" t="str">
        <f>'[1]V, inciso p) (OP)'!AS47</f>
        <v>Colonia El Paraiso</v>
      </c>
      <c r="I98" s="7" t="str">
        <f>'[1]V, inciso p) (OP)'!T47</f>
        <v>Ernesto</v>
      </c>
      <c r="J98" s="7" t="str">
        <f>'[1]V, inciso p) (OP)'!U47</f>
        <v>Zamora</v>
      </c>
      <c r="K98" s="7" t="str">
        <f>'[1]V, inciso p) (OP)'!V47</f>
        <v>Corona</v>
      </c>
      <c r="L98" s="7" t="str">
        <f>'[1]V, inciso p) (OP)'!W47</f>
        <v>Keops Ingenieria y Construccion, S.A. de C.V.</v>
      </c>
      <c r="M98" s="7" t="str">
        <f>'[1]V, inciso p) (OP)'!X47</f>
        <v>KIC040617JIA</v>
      </c>
      <c r="N98" s="11">
        <f>G98</f>
        <v>3747446.55</v>
      </c>
      <c r="O98" s="7" t="s">
        <v>40</v>
      </c>
      <c r="P98" s="7" t="s">
        <v>653</v>
      </c>
      <c r="Q98" s="11">
        <f>N98/22150</f>
        <v>169.18494582392776</v>
      </c>
      <c r="R98" s="7" t="s">
        <v>42</v>
      </c>
      <c r="S98" s="15">
        <v>4365</v>
      </c>
      <c r="T98" s="7" t="s">
        <v>43</v>
      </c>
      <c r="U98" s="7" t="s">
        <v>44</v>
      </c>
      <c r="V98" s="13">
        <f>'[1]V, inciso p) (OP)'!AM47</f>
        <v>42656</v>
      </c>
      <c r="W98" s="13">
        <f>'[1]V, inciso p) (OP)'!AN47</f>
        <v>42722</v>
      </c>
      <c r="X98" s="7" t="s">
        <v>650</v>
      </c>
      <c r="Y98" s="7" t="s">
        <v>651</v>
      </c>
      <c r="Z98" s="7" t="s">
        <v>652</v>
      </c>
      <c r="AA98" s="9" t="s">
        <v>1279</v>
      </c>
      <c r="AB98" s="7" t="s">
        <v>40</v>
      </c>
    </row>
    <row r="99" spans="1:28" ht="69.95" customHeight="1">
      <c r="A99" s="7">
        <v>2016</v>
      </c>
      <c r="B99" s="7" t="s">
        <v>30</v>
      </c>
      <c r="C99" s="7" t="str">
        <f>'[1]V, inciso p) (OP)'!D48</f>
        <v>DOPI-FED-R23-PAV-LP-086-2016</v>
      </c>
      <c r="D99" s="13">
        <f>'[1]V, inciso p) (OP)'!AD48</f>
        <v>42656</v>
      </c>
      <c r="E99" s="7" t="str">
        <f>'[1]V, inciso p) (OP)'!I48</f>
        <v>Reencarpetamiento de la Calle Epigmenio Preciado, municipio de Zapopan, Jalisco.</v>
      </c>
      <c r="F99" s="7" t="s">
        <v>648</v>
      </c>
      <c r="G99" s="11">
        <f>'[1]V, inciso p) (OP)'!AG48</f>
        <v>3579474.78</v>
      </c>
      <c r="H99" s="7" t="str">
        <f>'[1]V, inciso p) (OP)'!AS48</f>
        <v>Colonia El Paraiso</v>
      </c>
      <c r="I99" s="7" t="str">
        <f>'[1]V, inciso p) (OP)'!T48</f>
        <v>Ignacio Javier</v>
      </c>
      <c r="J99" s="7" t="str">
        <f>'[1]V, inciso p) (OP)'!U48</f>
        <v>Curiel</v>
      </c>
      <c r="K99" s="7" t="str">
        <f>'[1]V, inciso p) (OP)'!V48</f>
        <v>Dueñas</v>
      </c>
      <c r="L99" s="7" t="str">
        <f>'[1]V, inciso p) (OP)'!W48</f>
        <v>TC Construcción y Mantenimiento, S.A. de C.V.</v>
      </c>
      <c r="M99" s="7" t="str">
        <f>'[1]V, inciso p) (OP)'!X48</f>
        <v>TCM100915HA1</v>
      </c>
      <c r="N99" s="11">
        <f t="shared" ref="N99:N138" si="3">G99</f>
        <v>3579474.78</v>
      </c>
      <c r="O99" s="7" t="s">
        <v>40</v>
      </c>
      <c r="P99" s="7" t="s">
        <v>654</v>
      </c>
      <c r="Q99" s="11">
        <f>N99/10640</f>
        <v>336.41680263157895</v>
      </c>
      <c r="R99" s="7" t="s">
        <v>42</v>
      </c>
      <c r="S99" s="15">
        <v>4220</v>
      </c>
      <c r="T99" s="7" t="s">
        <v>43</v>
      </c>
      <c r="U99" s="7" t="s">
        <v>44</v>
      </c>
      <c r="V99" s="13">
        <f>'[1]V, inciso p) (OP)'!AM48</f>
        <v>42656</v>
      </c>
      <c r="W99" s="13">
        <f>'[1]V, inciso p) (OP)'!AN48</f>
        <v>42722</v>
      </c>
      <c r="X99" s="7" t="s">
        <v>650</v>
      </c>
      <c r="Y99" s="7" t="s">
        <v>651</v>
      </c>
      <c r="Z99" s="7" t="s">
        <v>652</v>
      </c>
      <c r="AA99" s="9" t="s">
        <v>1280</v>
      </c>
      <c r="AB99" s="7" t="s">
        <v>40</v>
      </c>
    </row>
    <row r="100" spans="1:28" ht="69.95" customHeight="1">
      <c r="A100" s="7">
        <v>2016</v>
      </c>
      <c r="B100" s="7" t="s">
        <v>30</v>
      </c>
      <c r="C100" s="7" t="str">
        <f>'[1]V, inciso p) (OP)'!D49</f>
        <v>DOPI-FED-R23-PAV-LP-087-2016</v>
      </c>
      <c r="D100" s="13">
        <f>'[1]V, inciso p) (OP)'!AD49</f>
        <v>42656</v>
      </c>
      <c r="E100" s="7" t="str">
        <f>'[1]V, inciso p) (OP)'!I49</f>
        <v>Reencarpetamiento de la Av. Constituyentes, municipio de Zapopan, Jalisco.</v>
      </c>
      <c r="F100" s="7" t="s">
        <v>648</v>
      </c>
      <c r="G100" s="11">
        <f>'[1]V, inciso p) (OP)'!AG49</f>
        <v>2527207.35</v>
      </c>
      <c r="H100" s="7" t="str">
        <f>'[1]V, inciso p) (OP)'!AS49</f>
        <v>Colonia Constitución</v>
      </c>
      <c r="I100" s="7" t="str">
        <f>'[1]V, inciso p) (OP)'!T49</f>
        <v>Ignacio Javier</v>
      </c>
      <c r="J100" s="7" t="str">
        <f>'[1]V, inciso p) (OP)'!U49</f>
        <v>Curiel</v>
      </c>
      <c r="K100" s="7" t="str">
        <f>'[1]V, inciso p) (OP)'!V49</f>
        <v>Dueñas</v>
      </c>
      <c r="L100" s="7" t="str">
        <f>'[1]V, inciso p) (OP)'!W49</f>
        <v>TC Construcción y Mantenimiento, S.A. de C.V.</v>
      </c>
      <c r="M100" s="7" t="str">
        <f>'[1]V, inciso p) (OP)'!X49</f>
        <v>TCM100915HA1</v>
      </c>
      <c r="N100" s="11">
        <f t="shared" si="3"/>
        <v>2527207.35</v>
      </c>
      <c r="O100" s="7" t="s">
        <v>40</v>
      </c>
      <c r="P100" s="7" t="s">
        <v>655</v>
      </c>
      <c r="Q100" s="11">
        <f>N100/7380</f>
        <v>342.44002032520325</v>
      </c>
      <c r="R100" s="7" t="s">
        <v>42</v>
      </c>
      <c r="S100" s="15">
        <v>8642</v>
      </c>
      <c r="T100" s="7" t="s">
        <v>43</v>
      </c>
      <c r="U100" s="7" t="s">
        <v>44</v>
      </c>
      <c r="V100" s="13">
        <f>'[1]V, inciso p) (OP)'!AM49</f>
        <v>42656</v>
      </c>
      <c r="W100" s="13">
        <f>'[1]V, inciso p) (OP)'!AN49</f>
        <v>42722</v>
      </c>
      <c r="X100" s="7" t="s">
        <v>650</v>
      </c>
      <c r="Y100" s="7" t="s">
        <v>651</v>
      </c>
      <c r="Z100" s="7" t="s">
        <v>652</v>
      </c>
      <c r="AA100" s="9" t="s">
        <v>1281</v>
      </c>
      <c r="AB100" s="7" t="s">
        <v>40</v>
      </c>
    </row>
    <row r="101" spans="1:28" ht="69.95" customHeight="1">
      <c r="A101" s="7">
        <v>2016</v>
      </c>
      <c r="B101" s="7" t="s">
        <v>30</v>
      </c>
      <c r="C101" s="7" t="str">
        <f>'[1]V, inciso p) (OP)'!D50</f>
        <v>DOPI-FED-PR-PAV-LP-088-2016</v>
      </c>
      <c r="D101" s="13">
        <f>'[1]V, inciso p) (OP)'!AD50</f>
        <v>42656</v>
      </c>
      <c r="E101" s="7"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101" s="7" t="s">
        <v>648</v>
      </c>
      <c r="G101" s="11">
        <f>'[1]V, inciso p) (OP)'!AG50</f>
        <v>1331847.2</v>
      </c>
      <c r="H101" s="7" t="str">
        <f>'[1]V, inciso p) (OP)'!AS50</f>
        <v>Zona de Las Mesas</v>
      </c>
      <c r="I101" s="7" t="str">
        <f>'[1]V, inciso p) (OP)'!T50</f>
        <v>Carlos Ignacio</v>
      </c>
      <c r="J101" s="7" t="str">
        <f>'[1]V, inciso p) (OP)'!U50</f>
        <v>Curiel</v>
      </c>
      <c r="K101" s="7" t="str">
        <f>'[1]V, inciso p) (OP)'!V50</f>
        <v>Dueñas</v>
      </c>
      <c r="L101" s="7" t="str">
        <f>'[1]V, inciso p) (OP)'!W50</f>
        <v>Constructora Cecuchi, S.A. de C.V.</v>
      </c>
      <c r="M101" s="7" t="str">
        <f>'[1]V, inciso p) (OP)'!X50</f>
        <v>CCE130723IR7</v>
      </c>
      <c r="N101" s="11">
        <f t="shared" si="3"/>
        <v>1331847.2</v>
      </c>
      <c r="O101" s="7" t="s">
        <v>40</v>
      </c>
      <c r="P101" s="7" t="s">
        <v>200</v>
      </c>
      <c r="Q101" s="11">
        <f>N101/850</f>
        <v>1566.8790588235292</v>
      </c>
      <c r="R101" s="7" t="s">
        <v>42</v>
      </c>
      <c r="S101" s="15">
        <v>3612</v>
      </c>
      <c r="T101" s="7" t="s">
        <v>43</v>
      </c>
      <c r="U101" s="7" t="s">
        <v>44</v>
      </c>
      <c r="V101" s="13">
        <f>'[1]V, inciso p) (OP)'!AM50</f>
        <v>42656</v>
      </c>
      <c r="W101" s="13">
        <f>'[1]V, inciso p) (OP)'!AN50</f>
        <v>42722</v>
      </c>
      <c r="X101" s="7" t="s">
        <v>556</v>
      </c>
      <c r="Y101" s="7" t="s">
        <v>557</v>
      </c>
      <c r="Z101" s="7" t="s">
        <v>558</v>
      </c>
      <c r="AA101" s="7" t="s">
        <v>40</v>
      </c>
      <c r="AB101" s="7" t="s">
        <v>40</v>
      </c>
    </row>
    <row r="102" spans="1:28" ht="69.95" customHeight="1">
      <c r="A102" s="7">
        <v>2016</v>
      </c>
      <c r="B102" s="7" t="s">
        <v>30</v>
      </c>
      <c r="C102" s="7" t="str">
        <f>'[1]V, inciso p) (OP)'!D51</f>
        <v>DOPI-FED-PR-PAV-LP-089-2016</v>
      </c>
      <c r="D102" s="13">
        <f>'[1]V, inciso p) (OP)'!AD51</f>
        <v>42656</v>
      </c>
      <c r="E102" s="7" t="str">
        <f>'[1]V, inciso p) (OP)'!I51</f>
        <v>Construcción de vialidad con concreto hidráulico calle Michí desde la calle Cuatlicue a la calle Comitl, incluye: guarniciones, banquetas, red de agua potable, alcantarillado y alumbrado público, zona las Mesas, Municipio de Zapopan, Jalisco.</v>
      </c>
      <c r="F102" s="7" t="s">
        <v>648</v>
      </c>
      <c r="G102" s="11">
        <f>'[1]V, inciso p) (OP)'!AG51</f>
        <v>1301540.1000000001</v>
      </c>
      <c r="H102" s="7" t="str">
        <f>'[1]V, inciso p) (OP)'!AS51</f>
        <v>Zona de Las Mesas</v>
      </c>
      <c r="I102" s="7" t="str">
        <f>'[1]V, inciso p) (OP)'!T51</f>
        <v>Carlos Ignacio</v>
      </c>
      <c r="J102" s="7" t="str">
        <f>'[1]V, inciso p) (OP)'!U51</f>
        <v>Curiel</v>
      </c>
      <c r="K102" s="7" t="str">
        <f>'[1]V, inciso p) (OP)'!V51</f>
        <v>Dueñas</v>
      </c>
      <c r="L102" s="7" t="str">
        <f>'[1]V, inciso p) (OP)'!W51</f>
        <v>Constructora Cecuchi, S.A. de C.V.</v>
      </c>
      <c r="M102" s="7" t="str">
        <f>'[1]V, inciso p) (OP)'!X51</f>
        <v>CCE130723IR7</v>
      </c>
      <c r="N102" s="11">
        <f t="shared" si="3"/>
        <v>1301540.1000000001</v>
      </c>
      <c r="O102" s="7" t="s">
        <v>40</v>
      </c>
      <c r="P102" s="7" t="s">
        <v>656</v>
      </c>
      <c r="Q102" s="11">
        <f>N102/840</f>
        <v>1549.4525000000001</v>
      </c>
      <c r="R102" s="7" t="s">
        <v>42</v>
      </c>
      <c r="S102" s="15">
        <v>2351</v>
      </c>
      <c r="T102" s="7" t="s">
        <v>43</v>
      </c>
      <c r="U102" s="7" t="s">
        <v>44</v>
      </c>
      <c r="V102" s="13">
        <f>'[1]V, inciso p) (OP)'!AM51</f>
        <v>42657</v>
      </c>
      <c r="W102" s="13">
        <f>'[1]V, inciso p) (OP)'!AN51</f>
        <v>42723</v>
      </c>
      <c r="X102" s="7" t="s">
        <v>556</v>
      </c>
      <c r="Y102" s="7" t="s">
        <v>557</v>
      </c>
      <c r="Z102" s="7" t="s">
        <v>558</v>
      </c>
      <c r="AA102" s="7" t="s">
        <v>40</v>
      </c>
      <c r="AB102" s="7" t="s">
        <v>40</v>
      </c>
    </row>
    <row r="103" spans="1:28" ht="69.95" customHeight="1">
      <c r="A103" s="7">
        <v>2016</v>
      </c>
      <c r="B103" s="7" t="s">
        <v>30</v>
      </c>
      <c r="C103" s="7" t="str">
        <f>'[1]V, inciso p) (OP)'!D52</f>
        <v>DOPI-FED-PR-PAV-LP-090-2016</v>
      </c>
      <c r="D103" s="13">
        <f>'[1]V, inciso p) (OP)'!AD52</f>
        <v>42656</v>
      </c>
      <c r="E103" s="7" t="str">
        <f>'[1]V, inciso p) (OP)'!I52</f>
        <v>Construcción de vialidad con concreto hidráulico calle Cuatlicue desde la calle Ozomatlí a la calle Michí, incluye: guarniciones, banquetas, red de agua potable, alcantarillado y alumbrado público, zona las Mesas, Municipio de Zapopan, Jalisco.</v>
      </c>
      <c r="F103" s="7" t="s">
        <v>648</v>
      </c>
      <c r="G103" s="11">
        <f>'[1]V, inciso p) (OP)'!AG52</f>
        <v>1504875.62</v>
      </c>
      <c r="H103" s="7" t="str">
        <f>'[1]V, inciso p) (OP)'!AS52</f>
        <v>Zona de Las Mesas</v>
      </c>
      <c r="I103" s="7" t="str">
        <f>'[1]V, inciso p) (OP)'!T52</f>
        <v>José Omar</v>
      </c>
      <c r="J103" s="7" t="str">
        <f>'[1]V, inciso p) (OP)'!U52</f>
        <v>Fernández</v>
      </c>
      <c r="K103" s="7" t="str">
        <f>'[1]V, inciso p) (OP)'!V52</f>
        <v>Vázquez</v>
      </c>
      <c r="L103" s="7" t="str">
        <f>'[1]V, inciso p) (OP)'!W52</f>
        <v>Extra Construcciones, S.A. de C.V.</v>
      </c>
      <c r="M103" s="7" t="str">
        <f>'[1]V, inciso p) (OP)'!X52</f>
        <v>ECO0908115Z7</v>
      </c>
      <c r="N103" s="11">
        <f t="shared" si="3"/>
        <v>1504875.62</v>
      </c>
      <c r="O103" s="7" t="s">
        <v>40</v>
      </c>
      <c r="P103" s="7" t="s">
        <v>656</v>
      </c>
      <c r="Q103" s="11">
        <f>N103/840</f>
        <v>1791.5185952380953</v>
      </c>
      <c r="R103" s="7" t="s">
        <v>42</v>
      </c>
      <c r="S103" s="15">
        <v>2622</v>
      </c>
      <c r="T103" s="7" t="s">
        <v>43</v>
      </c>
      <c r="U103" s="7" t="s">
        <v>44</v>
      </c>
      <c r="V103" s="13">
        <f>'[1]V, inciso p) (OP)'!AM52</f>
        <v>42656</v>
      </c>
      <c r="W103" s="13">
        <f>'[1]V, inciso p) (OP)'!AN52</f>
        <v>42722</v>
      </c>
      <c r="X103" s="7" t="s">
        <v>556</v>
      </c>
      <c r="Y103" s="7" t="s">
        <v>557</v>
      </c>
      <c r="Z103" s="7" t="s">
        <v>558</v>
      </c>
      <c r="AA103" s="7" t="s">
        <v>40</v>
      </c>
      <c r="AB103" s="7" t="s">
        <v>40</v>
      </c>
    </row>
    <row r="104" spans="1:28" ht="69.95" customHeight="1">
      <c r="A104" s="7">
        <v>2016</v>
      </c>
      <c r="B104" s="7" t="s">
        <v>30</v>
      </c>
      <c r="C104" s="7" t="str">
        <f>'[1]V, inciso p) (OP)'!D53</f>
        <v>DOPI-FED-PR-PAV-LP-091-2016</v>
      </c>
      <c r="D104" s="13">
        <f>'[1]V, inciso p) (OP)'!AD53</f>
        <v>42656</v>
      </c>
      <c r="E104" s="7" t="str">
        <f>'[1]V, inciso p) (OP)'!I53</f>
        <v>Construcción de vialidad con concreto hidráulico calle Comitl desde la calle Dellí a la calle Michí, incluye: guarniciones, banquetas, red de agua potable, alcantarillado y alumbrado público, zona las Mesas, Municipio de Zapopan, Jalisco.</v>
      </c>
      <c r="F104" s="7" t="s">
        <v>648</v>
      </c>
      <c r="G104" s="11">
        <f>'[1]V, inciso p) (OP)'!AG53</f>
        <v>6611635.3700000001</v>
      </c>
      <c r="H104" s="7" t="str">
        <f>'[1]V, inciso p) (OP)'!AS53</f>
        <v>Zona de Las Mesas</v>
      </c>
      <c r="I104" s="7" t="str">
        <f>'[1]V, inciso p) (OP)'!T53</f>
        <v>Sergio Alberto</v>
      </c>
      <c r="J104" s="7" t="str">
        <f>'[1]V, inciso p) (OP)'!U53</f>
        <v>Baylon</v>
      </c>
      <c r="K104" s="7" t="str">
        <f>'[1]V, inciso p) (OP)'!V53</f>
        <v>Moreno</v>
      </c>
      <c r="L104" s="7" t="str">
        <f>'[1]V, inciso p) (OP)'!W53</f>
        <v>Edificaciones Estructurales Cobay, S. A. de C. V.</v>
      </c>
      <c r="M104" s="7" t="str">
        <f>'[1]V, inciso p) (OP)'!X53</f>
        <v>EEC9909173A7</v>
      </c>
      <c r="N104" s="11">
        <f t="shared" si="3"/>
        <v>6611635.3700000001</v>
      </c>
      <c r="O104" s="7" t="s">
        <v>40</v>
      </c>
      <c r="P104" s="7" t="s">
        <v>657</v>
      </c>
      <c r="Q104" s="11">
        <f>N104/4015</f>
        <v>1646.733591531756</v>
      </c>
      <c r="R104" s="7" t="s">
        <v>42</v>
      </c>
      <c r="S104" s="15">
        <v>2453</v>
      </c>
      <c r="T104" s="7" t="s">
        <v>43</v>
      </c>
      <c r="U104" s="7" t="s">
        <v>44</v>
      </c>
      <c r="V104" s="13">
        <f>'[1]V, inciso p) (OP)'!AM53</f>
        <v>42657</v>
      </c>
      <c r="W104" s="13">
        <f>'[1]V, inciso p) (OP)'!AN53</f>
        <v>42723</v>
      </c>
      <c r="X104" s="7" t="s">
        <v>556</v>
      </c>
      <c r="Y104" s="7" t="s">
        <v>557</v>
      </c>
      <c r="Z104" s="7" t="s">
        <v>558</v>
      </c>
      <c r="AA104" s="7" t="s">
        <v>40</v>
      </c>
      <c r="AB104" s="7" t="s">
        <v>40</v>
      </c>
    </row>
    <row r="105" spans="1:28" ht="69.95" customHeight="1">
      <c r="A105" s="7">
        <v>2016</v>
      </c>
      <c r="B105" s="7" t="s">
        <v>30</v>
      </c>
      <c r="C105" s="7" t="str">
        <f>'[1]V, inciso p) (OP)'!D54</f>
        <v>DOPI-FED-PR-PAV-LP-092-2016</v>
      </c>
      <c r="D105" s="13">
        <f>'[1]V, inciso p) (OP)'!AD54</f>
        <v>42656</v>
      </c>
      <c r="E105" s="7" t="str">
        <f>'[1]V, inciso p) (OP)'!I54</f>
        <v>Construcción de vialidad con concreto hidráulico calle Eligio Delgado entre calle Tepatl a calle Indígena, incluye: guarniciones, banquetas, red de agua potable, alcantarillado y alumbrado público, zona las Mesas, Municipio de Zapopan, Jalisco.</v>
      </c>
      <c r="F105" s="7" t="s">
        <v>648</v>
      </c>
      <c r="G105" s="11">
        <f>'[1]V, inciso p) (OP)'!AG54</f>
        <v>3070604.74</v>
      </c>
      <c r="H105" s="7" t="str">
        <f>'[1]V, inciso p) (OP)'!AS54</f>
        <v>Zona de Las Mesas</v>
      </c>
      <c r="I105" s="7" t="str">
        <f>'[1]V, inciso p) (OP)'!T54</f>
        <v>Bernardo</v>
      </c>
      <c r="J105" s="7" t="str">
        <f>'[1]V, inciso p) (OP)'!U54</f>
        <v>Saenz</v>
      </c>
      <c r="K105" s="7" t="str">
        <f>'[1]V, inciso p) (OP)'!V54</f>
        <v>Barba</v>
      </c>
      <c r="L105" s="7" t="str">
        <f>'[1]V, inciso p) (OP)'!W54</f>
        <v>Grupo Edificador Mayab, S.A. de C.V.</v>
      </c>
      <c r="M105" s="7" t="str">
        <f>'[1]V, inciso p) (OP)'!X54</f>
        <v>GEM070112PX8</v>
      </c>
      <c r="N105" s="11">
        <f t="shared" si="3"/>
        <v>3070604.74</v>
      </c>
      <c r="O105" s="7" t="s">
        <v>40</v>
      </c>
      <c r="P105" s="7" t="s">
        <v>658</v>
      </c>
      <c r="Q105" s="11">
        <f>N105/1885</f>
        <v>1628.9680318302389</v>
      </c>
      <c r="R105" s="7" t="s">
        <v>42</v>
      </c>
      <c r="S105" s="15">
        <v>2728</v>
      </c>
      <c r="T105" s="7" t="s">
        <v>43</v>
      </c>
      <c r="U105" s="7" t="s">
        <v>44</v>
      </c>
      <c r="V105" s="13">
        <f>'[1]V, inciso p) (OP)'!AM54</f>
        <v>42657</v>
      </c>
      <c r="W105" s="13">
        <f>'[1]V, inciso p) (OP)'!AN54</f>
        <v>42723</v>
      </c>
      <c r="X105" s="7" t="s">
        <v>556</v>
      </c>
      <c r="Y105" s="7" t="s">
        <v>557</v>
      </c>
      <c r="Z105" s="7" t="s">
        <v>558</v>
      </c>
      <c r="AA105" s="7" t="s">
        <v>40</v>
      </c>
      <c r="AB105" s="7" t="s">
        <v>40</v>
      </c>
    </row>
    <row r="106" spans="1:28" ht="69.95" customHeight="1">
      <c r="A106" s="7">
        <v>2016</v>
      </c>
      <c r="B106" s="7" t="s">
        <v>30</v>
      </c>
      <c r="C106" s="7" t="str">
        <f>'[1]V, inciso p) (OP)'!D55</f>
        <v>DOPI-FED-PR-PAV-LP-093-2016</v>
      </c>
      <c r="D106" s="13">
        <f>'[1]V, inciso p) (OP)'!AD55</f>
        <v>42656</v>
      </c>
      <c r="E106" s="7" t="str">
        <f>'[1]V, inciso p) (OP)'!I55</f>
        <v>Construcción de vialidad con concreto hidráulico calle Ozomatlí desde la calle Cholollan a la calle Lenteja, incluye: guarniciones, banquetas, red de agua potable, alcantarillado y alumbrado público, zona las Mesas, Municipio de Zapopan, Jalisco.</v>
      </c>
      <c r="F106" s="7" t="s">
        <v>648</v>
      </c>
      <c r="G106" s="11">
        <f>'[1]V, inciso p) (OP)'!AG55</f>
        <v>5663734.8300000001</v>
      </c>
      <c r="H106" s="7" t="str">
        <f>'[1]V, inciso p) (OP)'!AS55</f>
        <v>Zona de Las Mesas</v>
      </c>
      <c r="I106" s="7" t="str">
        <f>'[1]V, inciso p) (OP)'!T55</f>
        <v>Ignacio Javier</v>
      </c>
      <c r="J106" s="7" t="str">
        <f>'[1]V, inciso p) (OP)'!U55</f>
        <v>Curiel</v>
      </c>
      <c r="K106" s="7" t="str">
        <f>'[1]V, inciso p) (OP)'!V55</f>
        <v>Dueñas</v>
      </c>
      <c r="L106" s="7" t="str">
        <f>'[1]V, inciso p) (OP)'!W55</f>
        <v>TC Construcción y Mantenimiento, S.A. de C.V.</v>
      </c>
      <c r="M106" s="7" t="str">
        <f>'[1]V, inciso p) (OP)'!X55</f>
        <v>TCM100915HA1</v>
      </c>
      <c r="N106" s="11">
        <f t="shared" si="3"/>
        <v>5663734.8300000001</v>
      </c>
      <c r="O106" s="7" t="s">
        <v>40</v>
      </c>
      <c r="P106" s="7" t="s">
        <v>659</v>
      </c>
      <c r="Q106" s="11">
        <f>N106/3796</f>
        <v>1492.0270890410959</v>
      </c>
      <c r="R106" s="7" t="s">
        <v>42</v>
      </c>
      <c r="S106" s="15">
        <v>2612</v>
      </c>
      <c r="T106" s="7" t="s">
        <v>43</v>
      </c>
      <c r="U106" s="7" t="s">
        <v>44</v>
      </c>
      <c r="V106" s="13">
        <f>'[1]V, inciso p) (OP)'!AM55</f>
        <v>42657</v>
      </c>
      <c r="W106" s="13">
        <f>'[1]V, inciso p) (OP)'!AN55</f>
        <v>42723</v>
      </c>
      <c r="X106" s="7" t="s">
        <v>556</v>
      </c>
      <c r="Y106" s="7" t="s">
        <v>557</v>
      </c>
      <c r="Z106" s="7" t="s">
        <v>558</v>
      </c>
      <c r="AA106" s="7" t="s">
        <v>40</v>
      </c>
      <c r="AB106" s="7" t="s">
        <v>40</v>
      </c>
    </row>
    <row r="107" spans="1:28" ht="69.95" customHeight="1">
      <c r="A107" s="7">
        <v>2016</v>
      </c>
      <c r="B107" s="7" t="s">
        <v>30</v>
      </c>
      <c r="C107" s="7" t="str">
        <f>'[1]V, inciso p) (OP)'!D56</f>
        <v>DOPI-FED-PR-PAV-LP-094-2016</v>
      </c>
      <c r="D107" s="13">
        <f>'[1]V, inciso p) (OP)'!AD56</f>
        <v>42656</v>
      </c>
      <c r="E107" s="7"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107" s="7" t="s">
        <v>648</v>
      </c>
      <c r="G107" s="11">
        <f>'[1]V, inciso p) (OP)'!AG56</f>
        <v>9145513.7300000004</v>
      </c>
      <c r="H107" s="7" t="str">
        <f>'[1]V, inciso p) (OP)'!AS56</f>
        <v>Mesa Colorada</v>
      </c>
      <c r="I107" s="7" t="str">
        <f>'[1]V, inciso p) (OP)'!T56</f>
        <v>J. Gerardo</v>
      </c>
      <c r="J107" s="7" t="str">
        <f>'[1]V, inciso p) (OP)'!U56</f>
        <v>Nicanor</v>
      </c>
      <c r="K107" s="7" t="str">
        <f>'[1]V, inciso p) (OP)'!V56</f>
        <v>Mejia Mariscal</v>
      </c>
      <c r="L107" s="7" t="str">
        <f>'[1]V, inciso p) (OP)'!W56</f>
        <v>Ineco Construye, S.A. de C.V.</v>
      </c>
      <c r="M107" s="7" t="str">
        <f>'[1]V, inciso p) (OP)'!X56</f>
        <v>ICO980722M04</v>
      </c>
      <c r="N107" s="11">
        <f t="shared" si="3"/>
        <v>9145513.7300000004</v>
      </c>
      <c r="O107" s="7" t="s">
        <v>40</v>
      </c>
      <c r="P107" s="7" t="s">
        <v>660</v>
      </c>
      <c r="Q107" s="11">
        <f>N107/4847</f>
        <v>1886.840051578296</v>
      </c>
      <c r="R107" s="7" t="s">
        <v>42</v>
      </c>
      <c r="S107" s="15">
        <v>4325</v>
      </c>
      <c r="T107" s="7" t="s">
        <v>43</v>
      </c>
      <c r="U107" s="7" t="s">
        <v>44</v>
      </c>
      <c r="V107" s="13">
        <f>'[1]V, inciso p) (OP)'!AM56</f>
        <v>42657</v>
      </c>
      <c r="W107" s="13">
        <f>'[1]V, inciso p) (OP)'!AN56</f>
        <v>42723</v>
      </c>
      <c r="X107" s="7" t="s">
        <v>556</v>
      </c>
      <c r="Y107" s="7" t="s">
        <v>557</v>
      </c>
      <c r="Z107" s="7" t="s">
        <v>558</v>
      </c>
      <c r="AA107" s="7" t="s">
        <v>40</v>
      </c>
      <c r="AB107" s="7" t="s">
        <v>40</v>
      </c>
    </row>
    <row r="108" spans="1:28" ht="69.95" customHeight="1">
      <c r="A108" s="7">
        <v>2016</v>
      </c>
      <c r="B108" s="7" t="s">
        <v>30</v>
      </c>
      <c r="C108" s="7" t="str">
        <f>'[1]V, inciso p) (OP)'!D57</f>
        <v>DOPI-FED-PR-PAV-LP-095-2016</v>
      </c>
      <c r="D108" s="13">
        <f>'[1]V, inciso p) (OP)'!AD57</f>
        <v>42656</v>
      </c>
      <c r="E108" s="7" t="str">
        <f>'[1]V, inciso p) (OP)'!I57</f>
        <v>Reencarpetamiento de la Av. Santa Margarita, en la colonia Santa Margarita, incluye: guarniciones, banquetas, renivelación de pozos y cajas, señalamiento vertical y horizontal, Municipio de Zapopan, Jalisco, frente 1.</v>
      </c>
      <c r="F108" s="7" t="s">
        <v>648</v>
      </c>
      <c r="G108" s="11">
        <f>'[1]V, inciso p) (OP)'!AG57</f>
        <v>6756554.5</v>
      </c>
      <c r="H108" s="7" t="str">
        <f>'[1]V, inciso p) (OP)'!AS57</f>
        <v>Colonia Santa Margarita</v>
      </c>
      <c r="I108" s="7" t="str">
        <f>'[1]V, inciso p) (OP)'!T57</f>
        <v>Víctor Manuel</v>
      </c>
      <c r="J108" s="7" t="str">
        <f>'[1]V, inciso p) (OP)'!U57</f>
        <v>Jauregui</v>
      </c>
      <c r="K108" s="7" t="str">
        <f>'[1]V, inciso p) (OP)'!V57</f>
        <v>Torres</v>
      </c>
      <c r="L108" s="7" t="str">
        <f>'[1]V, inciso p) (OP)'!W57</f>
        <v>Constructora Erlort y Asociados, S.A. de C.V.</v>
      </c>
      <c r="M108" s="7" t="str">
        <f>'[1]V, inciso p) (OP)'!X57</f>
        <v>CEA070208SB1</v>
      </c>
      <c r="N108" s="11">
        <f t="shared" si="3"/>
        <v>6756554.5</v>
      </c>
      <c r="O108" s="7" t="s">
        <v>40</v>
      </c>
      <c r="P108" s="7" t="s">
        <v>661</v>
      </c>
      <c r="Q108" s="11">
        <f>N108/11696</f>
        <v>577.68078830369359</v>
      </c>
      <c r="R108" s="7" t="s">
        <v>42</v>
      </c>
      <c r="S108" s="15">
        <v>52846</v>
      </c>
      <c r="T108" s="7" t="s">
        <v>43</v>
      </c>
      <c r="U108" s="7" t="s">
        <v>44</v>
      </c>
      <c r="V108" s="13">
        <f>'[1]V, inciso p) (OP)'!AM57</f>
        <v>42657</v>
      </c>
      <c r="W108" s="13">
        <f>'[1]V, inciso p) (OP)'!AN57</f>
        <v>42732</v>
      </c>
      <c r="X108" s="7" t="s">
        <v>571</v>
      </c>
      <c r="Y108" s="7" t="s">
        <v>572</v>
      </c>
      <c r="Z108" s="7" t="s">
        <v>573</v>
      </c>
      <c r="AA108" s="7" t="s">
        <v>40</v>
      </c>
      <c r="AB108" s="7" t="s">
        <v>40</v>
      </c>
    </row>
    <row r="109" spans="1:28" ht="69.95" customHeight="1">
      <c r="A109" s="7">
        <v>2016</v>
      </c>
      <c r="B109" s="7" t="s">
        <v>30</v>
      </c>
      <c r="C109" s="7" t="str">
        <f>'[1]V, inciso p) (OP)'!D58</f>
        <v>DOPI-FED-PR-PAV-LP-096-2016</v>
      </c>
      <c r="D109" s="13">
        <f>'[1]V, inciso p) (OP)'!AD58</f>
        <v>42656</v>
      </c>
      <c r="E109" s="7" t="str">
        <f>'[1]V, inciso p) (OP)'!I58</f>
        <v>Reencarpetamiento de la Av. Santa Margarita, en la colonia Santa Margarita, incluye: guarniciones, banquetas, renivelación de pozos y cajas, señalamiento vertical y horizontal, Municipio de Zapopan, Jalisco, frente 2.</v>
      </c>
      <c r="F109" s="7" t="s">
        <v>648</v>
      </c>
      <c r="G109" s="11">
        <f>'[1]V, inciso p) (OP)'!AG58</f>
        <v>8604721.4600000009</v>
      </c>
      <c r="H109" s="7" t="str">
        <f>'[1]V, inciso p) (OP)'!AS58</f>
        <v>Colonia Santa Margarita</v>
      </c>
      <c r="I109" s="7" t="str">
        <f>'[1]V, inciso p) (OP)'!T58</f>
        <v>Víctor Manuel</v>
      </c>
      <c r="J109" s="7" t="str">
        <f>'[1]V, inciso p) (OP)'!U58</f>
        <v>Jauregui</v>
      </c>
      <c r="K109" s="7" t="str">
        <f>'[1]V, inciso p) (OP)'!V58</f>
        <v>Torres</v>
      </c>
      <c r="L109" s="7" t="str">
        <f>'[1]V, inciso p) (OP)'!W58</f>
        <v>Constructora Erlort y Asociados, S.A. de C.V.</v>
      </c>
      <c r="M109" s="7" t="str">
        <f>'[1]V, inciso p) (OP)'!X58</f>
        <v>CEA070208SB1</v>
      </c>
      <c r="N109" s="11">
        <f t="shared" si="3"/>
        <v>8604721.4600000009</v>
      </c>
      <c r="O109" s="7" t="s">
        <v>40</v>
      </c>
      <c r="P109" s="7" t="s">
        <v>662</v>
      </c>
      <c r="Q109" s="11">
        <f>N109/14923</f>
        <v>576.60801849494078</v>
      </c>
      <c r="R109" s="7" t="s">
        <v>42</v>
      </c>
      <c r="S109" s="15">
        <v>52846</v>
      </c>
      <c r="T109" s="7" t="s">
        <v>43</v>
      </c>
      <c r="U109" s="7" t="s">
        <v>44</v>
      </c>
      <c r="V109" s="13">
        <f>'[1]V, inciso p) (OP)'!AM58</f>
        <v>42657</v>
      </c>
      <c r="W109" s="13">
        <f>'[1]V, inciso p) (OP)'!AN58</f>
        <v>42732</v>
      </c>
      <c r="X109" s="7" t="s">
        <v>571</v>
      </c>
      <c r="Y109" s="7" t="s">
        <v>572</v>
      </c>
      <c r="Z109" s="7" t="s">
        <v>573</v>
      </c>
      <c r="AA109" s="7" t="s">
        <v>40</v>
      </c>
      <c r="AB109" s="7" t="s">
        <v>40</v>
      </c>
    </row>
    <row r="110" spans="1:28" ht="69.95" customHeight="1">
      <c r="A110" s="7">
        <v>2016</v>
      </c>
      <c r="B110" s="7" t="s">
        <v>30</v>
      </c>
      <c r="C110" s="7" t="str">
        <f>'[1]V, inciso p) (OP)'!D59</f>
        <v>DOPI-FED-PR-PAV-LP-097-2016</v>
      </c>
      <c r="D110" s="13">
        <f>'[1]V, inciso p) (OP)'!AD59</f>
        <v>42656</v>
      </c>
      <c r="E110" s="7" t="str">
        <f>'[1]V, inciso p) (OP)'!I59</f>
        <v>Reencarpetamiento de la Av. Santa Margarita, en la colonia Santa Margarita, incluye: guarniciones, banquetas, renivelación de pozos y cajas, señalamiento vertical y horizontal, Municipio de Zapopan, Jalisco, frente 3.</v>
      </c>
      <c r="F110" s="7" t="s">
        <v>648</v>
      </c>
      <c r="G110" s="11">
        <f>'[1]V, inciso p) (OP)'!AG59</f>
        <v>7620310.1200000001</v>
      </c>
      <c r="H110" s="7" t="str">
        <f>'[1]V, inciso p) (OP)'!AS59</f>
        <v>Colonia Santa Margarita</v>
      </c>
      <c r="I110" s="7" t="str">
        <f>'[1]V, inciso p) (OP)'!T59</f>
        <v>Víctor Manuel</v>
      </c>
      <c r="J110" s="7" t="str">
        <f>'[1]V, inciso p) (OP)'!U59</f>
        <v>Jauregui</v>
      </c>
      <c r="K110" s="7" t="str">
        <f>'[1]V, inciso p) (OP)'!V59</f>
        <v>Torres</v>
      </c>
      <c r="L110" s="7" t="str">
        <f>'[1]V, inciso p) (OP)'!W59</f>
        <v>Constructora Erlort y Asociados, S.A. de C.V.</v>
      </c>
      <c r="M110" s="7" t="str">
        <f>'[1]V, inciso p) (OP)'!X59</f>
        <v>CEA070208SB1</v>
      </c>
      <c r="N110" s="11">
        <f t="shared" si="3"/>
        <v>7620310.1200000001</v>
      </c>
      <c r="O110" s="7" t="s">
        <v>40</v>
      </c>
      <c r="P110" s="7" t="s">
        <v>663</v>
      </c>
      <c r="Q110" s="11">
        <f>N110/13168</f>
        <v>578.69912818955038</v>
      </c>
      <c r="R110" s="7" t="s">
        <v>42</v>
      </c>
      <c r="S110" s="15">
        <v>52846</v>
      </c>
      <c r="T110" s="7" t="s">
        <v>43</v>
      </c>
      <c r="U110" s="7" t="s">
        <v>44</v>
      </c>
      <c r="V110" s="13">
        <f>'[1]V, inciso p) (OP)'!AM59</f>
        <v>42657</v>
      </c>
      <c r="W110" s="13">
        <f>'[1]V, inciso p) (OP)'!AN59</f>
        <v>42732</v>
      </c>
      <c r="X110" s="7" t="s">
        <v>571</v>
      </c>
      <c r="Y110" s="7" t="s">
        <v>572</v>
      </c>
      <c r="Z110" s="7" t="s">
        <v>573</v>
      </c>
      <c r="AA110" s="7" t="s">
        <v>40</v>
      </c>
      <c r="AB110" s="7" t="s">
        <v>40</v>
      </c>
    </row>
    <row r="111" spans="1:28" ht="69.95" customHeight="1">
      <c r="A111" s="7">
        <v>2016</v>
      </c>
      <c r="B111" s="7" t="s">
        <v>30</v>
      </c>
      <c r="C111" s="7" t="str">
        <f>'[1]V, inciso p) (OP)'!D60</f>
        <v>DOPI-FED-PR-PAV-LP-098-2016</v>
      </c>
      <c r="D111" s="13">
        <f>'[1]V, inciso p) (OP)'!AD60</f>
        <v>42685</v>
      </c>
      <c r="E111" s="7" t="str">
        <f>'[1]V, inciso p) (OP)'!I60</f>
        <v>Construcción de la vialidad con concreto hidráulico de la Av. Ramón Corona, incluye: guarniciones, banquetas, red de agua potable, alcantarillado, alumbrado público y forestación, Municipio de Zapopan, Jalisco, frente 1.</v>
      </c>
      <c r="F111" s="7" t="s">
        <v>648</v>
      </c>
      <c r="G111" s="11">
        <f>'[1]V, inciso p) (OP)'!AG60</f>
        <v>11081287.630000001</v>
      </c>
      <c r="H111" s="7" t="str">
        <f>'[1]V, inciso p) (OP)'!AS60</f>
        <v>Colonia La Mojonera</v>
      </c>
      <c r="I111" s="7" t="str">
        <f>'[1]V, inciso p) (OP)'!T60</f>
        <v>J. Gerardo</v>
      </c>
      <c r="J111" s="7" t="str">
        <f>'[1]V, inciso p) (OP)'!U60</f>
        <v>Nicanor</v>
      </c>
      <c r="K111" s="7" t="str">
        <f>'[1]V, inciso p) (OP)'!V60</f>
        <v>Mejia Mariscal</v>
      </c>
      <c r="L111" s="7" t="str">
        <f>'[1]V, inciso p) (OP)'!W60</f>
        <v>Ineco Construye, S.A. de C.V.</v>
      </c>
      <c r="M111" s="7" t="str">
        <f>'[1]V, inciso p) (OP)'!X60</f>
        <v>ICO980722M04</v>
      </c>
      <c r="N111" s="11">
        <f t="shared" si="3"/>
        <v>11081287.630000001</v>
      </c>
      <c r="O111" s="7" t="s">
        <v>40</v>
      </c>
      <c r="P111" s="7" t="s">
        <v>664</v>
      </c>
      <c r="Q111" s="11">
        <f>N111/7750</f>
        <v>1429.8435651612904</v>
      </c>
      <c r="R111" s="7" t="s">
        <v>42</v>
      </c>
      <c r="S111" s="15">
        <v>5622</v>
      </c>
      <c r="T111" s="7" t="s">
        <v>43</v>
      </c>
      <c r="U111" s="7" t="s">
        <v>44</v>
      </c>
      <c r="V111" s="13">
        <f>'[1]V, inciso p) (OP)'!AM60</f>
        <v>42688</v>
      </c>
      <c r="W111" s="13">
        <f>'[1]V, inciso p) (OP)'!AN60</f>
        <v>42763</v>
      </c>
      <c r="X111" s="7" t="s">
        <v>605</v>
      </c>
      <c r="Y111" s="7" t="s">
        <v>442</v>
      </c>
      <c r="Z111" s="7" t="s">
        <v>101</v>
      </c>
      <c r="AA111" s="9" t="s">
        <v>1282</v>
      </c>
      <c r="AB111" s="7" t="s">
        <v>40</v>
      </c>
    </row>
    <row r="112" spans="1:28" ht="69.95" customHeight="1">
      <c r="A112" s="7">
        <v>2016</v>
      </c>
      <c r="B112" s="7" t="s">
        <v>30</v>
      </c>
      <c r="C112" s="7" t="str">
        <f>'[1]V, inciso p) (OP)'!D61</f>
        <v>DOPI-FED-PR-PAV-LP-099-2016</v>
      </c>
      <c r="D112" s="13">
        <f>'[1]V, inciso p) (OP)'!AD61</f>
        <v>42685</v>
      </c>
      <c r="E112" s="7" t="str">
        <f>'[1]V, inciso p) (OP)'!I61</f>
        <v>Construcción de la vialidad con concreto hidráulico de la Av. Ramón Corona, incluye: guarniciones, banquetas, red de agua potable, alcantarillado, alumbrado público y forestación, Municipio de Zapopan, Jalisco, frente 2.</v>
      </c>
      <c r="F112" s="7" t="s">
        <v>648</v>
      </c>
      <c r="G112" s="11">
        <f>'[1]V, inciso p) (OP)'!AG61</f>
        <v>9389185.8900000006</v>
      </c>
      <c r="H112" s="7" t="str">
        <f>'[1]V, inciso p) (OP)'!AS61</f>
        <v>Colonia La Mojonera</v>
      </c>
      <c r="I112" s="7" t="str">
        <f>'[1]V, inciso p) (OP)'!T61</f>
        <v>Sergio Cesar</v>
      </c>
      <c r="J112" s="7" t="str">
        <f>'[1]V, inciso p) (OP)'!U61</f>
        <v>Diaz</v>
      </c>
      <c r="K112" s="7" t="str">
        <f>'[1]V, inciso p) (OP)'!V61</f>
        <v>Quiroz</v>
      </c>
      <c r="L112" s="7" t="str">
        <f>'[1]V, inciso p) (OP)'!W61</f>
        <v>Grupo Unicreto S.A. de C.V.</v>
      </c>
      <c r="M112" s="7" t="str">
        <f>'[1]V, inciso p) (OP)'!X61</f>
        <v>GUN880613NY1</v>
      </c>
      <c r="N112" s="11">
        <f t="shared" si="3"/>
        <v>9389185.8900000006</v>
      </c>
      <c r="O112" s="7" t="s">
        <v>40</v>
      </c>
      <c r="P112" s="7" t="s">
        <v>665</v>
      </c>
      <c r="Q112" s="11">
        <f>N112/5500</f>
        <v>1707.1247072727274</v>
      </c>
      <c r="R112" s="7" t="s">
        <v>42</v>
      </c>
      <c r="S112" s="15">
        <v>5622</v>
      </c>
      <c r="T112" s="7" t="s">
        <v>43</v>
      </c>
      <c r="U112" s="7" t="s">
        <v>44</v>
      </c>
      <c r="V112" s="13">
        <f>'[1]V, inciso p) (OP)'!AM61</f>
        <v>42688</v>
      </c>
      <c r="W112" s="13">
        <f>'[1]V, inciso p) (OP)'!AN61</f>
        <v>42763</v>
      </c>
      <c r="X112" s="7" t="s">
        <v>605</v>
      </c>
      <c r="Y112" s="7" t="s">
        <v>442</v>
      </c>
      <c r="Z112" s="7" t="s">
        <v>101</v>
      </c>
      <c r="AA112" s="7" t="s">
        <v>40</v>
      </c>
      <c r="AB112" s="7" t="s">
        <v>40</v>
      </c>
    </row>
    <row r="113" spans="1:28" ht="69.95" customHeight="1">
      <c r="A113" s="7">
        <v>2016</v>
      </c>
      <c r="B113" s="7" t="s">
        <v>30</v>
      </c>
      <c r="C113" s="7" t="str">
        <f>'[1]V, inciso p) (OP)'!D62</f>
        <v>DOPI-FED-PR-PAV-LP-100-2016</v>
      </c>
      <c r="D113" s="13">
        <f>'[1]V, inciso p) (OP)'!AD62</f>
        <v>42685</v>
      </c>
      <c r="E113" s="7" t="str">
        <f>'[1]V, inciso p) (OP)'!I62</f>
        <v>Construcción de la vialidad con concreto hidráulico de la Av. Ramón Corona, incluye: guarniciones, banquetas, red de agua potable, alcantarillado, alumbrado público y forestación, Municipio de Zapopan, Jalisco, frente 3.</v>
      </c>
      <c r="F113" s="7" t="s">
        <v>648</v>
      </c>
      <c r="G113" s="11">
        <f>'[1]V, inciso p) (OP)'!AG62</f>
        <v>6602792.5999999996</v>
      </c>
      <c r="H113" s="7" t="str">
        <f>'[1]V, inciso p) (OP)'!AS62</f>
        <v>Colonia La Mojonera</v>
      </c>
      <c r="I113" s="7" t="str">
        <f>'[1]V, inciso p) (OP)'!T62</f>
        <v>Sergio Cesar</v>
      </c>
      <c r="J113" s="7" t="str">
        <f>'[1]V, inciso p) (OP)'!U62</f>
        <v>Diaz</v>
      </c>
      <c r="K113" s="7" t="str">
        <f>'[1]V, inciso p) (OP)'!V62</f>
        <v>Quiroz</v>
      </c>
      <c r="L113" s="7" t="str">
        <f>'[1]V, inciso p) (OP)'!W62</f>
        <v>Grupo Unicreto S.A. de C.V.</v>
      </c>
      <c r="M113" s="7" t="str">
        <f>'[1]V, inciso p) (OP)'!X62</f>
        <v>GUN880613NY1</v>
      </c>
      <c r="N113" s="11">
        <f t="shared" si="3"/>
        <v>6602792.5999999996</v>
      </c>
      <c r="O113" s="7" t="s">
        <v>40</v>
      </c>
      <c r="P113" s="7" t="s">
        <v>666</v>
      </c>
      <c r="Q113" s="11">
        <f>N113/3802.5</f>
        <v>1736.4346088099933</v>
      </c>
      <c r="R113" s="7" t="s">
        <v>42</v>
      </c>
      <c r="S113" s="15">
        <v>5622</v>
      </c>
      <c r="T113" s="7" t="s">
        <v>43</v>
      </c>
      <c r="U113" s="7" t="s">
        <v>44</v>
      </c>
      <c r="V113" s="13">
        <f>'[1]V, inciso p) (OP)'!AM62</f>
        <v>42688</v>
      </c>
      <c r="W113" s="13">
        <f>'[1]V, inciso p) (OP)'!AN62</f>
        <v>42763</v>
      </c>
      <c r="X113" s="7" t="s">
        <v>605</v>
      </c>
      <c r="Y113" s="7" t="s">
        <v>442</v>
      </c>
      <c r="Z113" s="7" t="s">
        <v>101</v>
      </c>
      <c r="AA113" s="7" t="s">
        <v>40</v>
      </c>
      <c r="AB113" s="7" t="s">
        <v>40</v>
      </c>
    </row>
    <row r="114" spans="1:28" ht="69.95" customHeight="1">
      <c r="A114" s="7">
        <v>2016</v>
      </c>
      <c r="B114" s="7" t="s">
        <v>30</v>
      </c>
      <c r="C114" s="7" t="str">
        <f>'[1]V, inciso p) (OP)'!D63</f>
        <v>DOPI-FED-PR-PAV-LP-101-2016</v>
      </c>
      <c r="D114" s="13">
        <f>'[1]V, inciso p) (OP)'!AD63</f>
        <v>42685</v>
      </c>
      <c r="E114" s="7" t="str">
        <f>'[1]V, inciso p) (OP)'!I63</f>
        <v>Construcción de Centro de Desarrollo Infantil La Loma, Municipio de Zapopan, Jalisco.</v>
      </c>
      <c r="F114" s="7" t="s">
        <v>648</v>
      </c>
      <c r="G114" s="11">
        <f>'[1]V, inciso p) (OP)'!AG63</f>
        <v>17394240.84</v>
      </c>
      <c r="H114" s="7" t="str">
        <f>'[1]V, inciso p) (OP)'!AS63</f>
        <v>Colonia La Loma</v>
      </c>
      <c r="I114" s="7" t="str">
        <f>'[1]V, inciso p) (OP)'!T63</f>
        <v>Jesús</v>
      </c>
      <c r="J114" s="7" t="str">
        <f>'[1]V, inciso p) (OP)'!U63</f>
        <v>Arenas</v>
      </c>
      <c r="K114" s="7" t="str">
        <f>'[1]V, inciso p) (OP)'!V63</f>
        <v>Bravo</v>
      </c>
      <c r="L114" s="7" t="str">
        <f>'[1]V, inciso p) (OP)'!W63</f>
        <v>Sicosa, S.A. de C.V.</v>
      </c>
      <c r="M114" s="7" t="str">
        <f>'[1]V, inciso p) (OP)'!X63</f>
        <v>SIC940317FH7</v>
      </c>
      <c r="N114" s="11">
        <f t="shared" si="3"/>
        <v>17394240.84</v>
      </c>
      <c r="O114" s="7" t="s">
        <v>40</v>
      </c>
      <c r="P114" s="7" t="s">
        <v>667</v>
      </c>
      <c r="Q114" s="11">
        <f>N114/1240</f>
        <v>14027.613580645162</v>
      </c>
      <c r="R114" s="7" t="s">
        <v>42</v>
      </c>
      <c r="S114" s="15">
        <v>8450</v>
      </c>
      <c r="T114" s="7" t="s">
        <v>43</v>
      </c>
      <c r="U114" s="7" t="s">
        <v>584</v>
      </c>
      <c r="V114" s="13">
        <f>'[1]V, inciso p) (OP)'!AM63</f>
        <v>42688</v>
      </c>
      <c r="W114" s="13">
        <f>'[1]V, inciso p) (OP)'!AN63</f>
        <v>42763</v>
      </c>
      <c r="X114" s="7" t="s">
        <v>668</v>
      </c>
      <c r="Y114" s="7" t="s">
        <v>476</v>
      </c>
      <c r="Z114" s="7" t="s">
        <v>89</v>
      </c>
      <c r="AA114" s="7" t="s">
        <v>40</v>
      </c>
      <c r="AB114" s="7" t="s">
        <v>40</v>
      </c>
    </row>
    <row r="115" spans="1:28" ht="69.95" customHeight="1">
      <c r="A115" s="7">
        <v>2016</v>
      </c>
      <c r="B115" s="7" t="s">
        <v>30</v>
      </c>
      <c r="C115" s="7" t="str">
        <f>'[1]V, inciso p) (OP)'!D64</f>
        <v>DOPI-EST-CR-PAV-LP-102-2016</v>
      </c>
      <c r="D115" s="13">
        <f>'[1]V, inciso p) (OP)'!AD64</f>
        <v>42656</v>
      </c>
      <c r="E115" s="7"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15" s="7" t="s">
        <v>669</v>
      </c>
      <c r="G115" s="11">
        <f>'[1]V, inciso p) (OP)'!AG64</f>
        <v>800844.56</v>
      </c>
      <c r="H115" s="7" t="str">
        <f>'[1]V, inciso p) (OP)'!AS64</f>
        <v>Mesa Colorada</v>
      </c>
      <c r="I115" s="7" t="str">
        <f>'[1]V, inciso p) (OP)'!T64</f>
        <v>José Omar</v>
      </c>
      <c r="J115" s="7" t="str">
        <f>'[1]V, inciso p) (OP)'!U64</f>
        <v>Fernández</v>
      </c>
      <c r="K115" s="7" t="str">
        <f>'[1]V, inciso p) (OP)'!V64</f>
        <v>Vázquez</v>
      </c>
      <c r="L115" s="7" t="str">
        <f>'[1]V, inciso p) (OP)'!W64</f>
        <v>Extra Construcciones, S.A. de C.V.</v>
      </c>
      <c r="M115" s="7" t="str">
        <f>'[1]V, inciso p) (OP)'!X64</f>
        <v>ECO0908115Z7</v>
      </c>
      <c r="N115" s="11">
        <f t="shared" si="3"/>
        <v>800844.56</v>
      </c>
      <c r="O115" s="7" t="s">
        <v>40</v>
      </c>
      <c r="P115" s="7" t="s">
        <v>670</v>
      </c>
      <c r="Q115" s="11">
        <f>N115/315</f>
        <v>2542.3636825396829</v>
      </c>
      <c r="R115" s="7" t="s">
        <v>42</v>
      </c>
      <c r="S115" s="15">
        <v>1874</v>
      </c>
      <c r="T115" s="7" t="s">
        <v>43</v>
      </c>
      <c r="U115" s="7" t="s">
        <v>44</v>
      </c>
      <c r="V115" s="13">
        <f>'[1]V, inciso p) (OP)'!AM64</f>
        <v>42657</v>
      </c>
      <c r="W115" s="13">
        <f>'[1]V, inciso p) (OP)'!AN64</f>
        <v>42776</v>
      </c>
      <c r="X115" s="7" t="s">
        <v>671</v>
      </c>
      <c r="Y115" s="7" t="s">
        <v>334</v>
      </c>
      <c r="Z115" s="7" t="s">
        <v>133</v>
      </c>
      <c r="AA115" s="9" t="s">
        <v>1283</v>
      </c>
      <c r="AB115" s="7" t="s">
        <v>40</v>
      </c>
    </row>
    <row r="116" spans="1:28" ht="69.95" customHeight="1">
      <c r="A116" s="7">
        <v>2016</v>
      </c>
      <c r="B116" s="7" t="s">
        <v>30</v>
      </c>
      <c r="C116" s="7" t="str">
        <f>'[1]V, inciso p) (OP)'!D65</f>
        <v>DOPI-EST-CR-PAV-LP-103-2016</v>
      </c>
      <c r="D116" s="13">
        <f>'[1]V, inciso p) (OP)'!AD65</f>
        <v>42656</v>
      </c>
      <c r="E116" s="7"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16" s="7" t="s">
        <v>669</v>
      </c>
      <c r="G116" s="11">
        <f>'[1]V, inciso p) (OP)'!AG65</f>
        <v>2310172.9900000002</v>
      </c>
      <c r="H116" s="7" t="str">
        <f>'[1]V, inciso p) (OP)'!AS65</f>
        <v>Mesa Colorada</v>
      </c>
      <c r="I116" s="7" t="str">
        <f>'[1]V, inciso p) (OP)'!T65</f>
        <v>Alejandro</v>
      </c>
      <c r="J116" s="7" t="str">
        <f>'[1]V, inciso p) (OP)'!U65</f>
        <v>Guevara</v>
      </c>
      <c r="K116" s="7" t="str">
        <f>'[1]V, inciso p) (OP)'!V65</f>
        <v>Castellanos</v>
      </c>
      <c r="L116" s="7" t="str">
        <f>'[1]V, inciso p) (OP)'!W65</f>
        <v>Urbanizacion y Construccion Avanzada, S.A. de C.V.</v>
      </c>
      <c r="M116" s="7" t="str">
        <f>'[1]V, inciso p) (OP)'!X65</f>
        <v>UCA0207107X6</v>
      </c>
      <c r="N116" s="11">
        <f t="shared" si="3"/>
        <v>2310172.9900000002</v>
      </c>
      <c r="O116" s="7" t="s">
        <v>40</v>
      </c>
      <c r="P116" s="7" t="s">
        <v>672</v>
      </c>
      <c r="Q116" s="11">
        <f>N116/1222</f>
        <v>1890.485261865794</v>
      </c>
      <c r="R116" s="7" t="s">
        <v>42</v>
      </c>
      <c r="S116" s="15">
        <v>4532</v>
      </c>
      <c r="T116" s="7" t="s">
        <v>43</v>
      </c>
      <c r="U116" s="7" t="s">
        <v>44</v>
      </c>
      <c r="V116" s="13">
        <f>'[1]V, inciso p) (OP)'!AM65</f>
        <v>42657</v>
      </c>
      <c r="W116" s="13">
        <f>'[1]V, inciso p) (OP)'!AN65</f>
        <v>42776</v>
      </c>
      <c r="X116" s="7" t="s">
        <v>671</v>
      </c>
      <c r="Y116" s="7" t="s">
        <v>334</v>
      </c>
      <c r="Z116" s="7" t="s">
        <v>133</v>
      </c>
      <c r="AA116" s="7" t="s">
        <v>40</v>
      </c>
      <c r="AB116" s="7" t="s">
        <v>40</v>
      </c>
    </row>
    <row r="117" spans="1:28" ht="69.95" customHeight="1">
      <c r="A117" s="7">
        <v>2016</v>
      </c>
      <c r="B117" s="7" t="s">
        <v>30</v>
      </c>
      <c r="C117" s="7" t="str">
        <f>'[1]V, inciso p) (OP)'!D66</f>
        <v>DOPI-EST-CR-PAV-LP-104-2016</v>
      </c>
      <c r="D117" s="13">
        <f>'[1]V, inciso p) (OP)'!AD66</f>
        <v>42656</v>
      </c>
      <c r="E117" s="7"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17" s="7" t="s">
        <v>669</v>
      </c>
      <c r="G117" s="11">
        <f>'[1]V, inciso p) (OP)'!AG66</f>
        <v>931716.14</v>
      </c>
      <c r="H117" s="7" t="str">
        <f>'[1]V, inciso p) (OP)'!AS66</f>
        <v>Mesa Colorada</v>
      </c>
      <c r="I117" s="7" t="str">
        <f>'[1]V, inciso p) (OP)'!T66</f>
        <v>Alejandro</v>
      </c>
      <c r="J117" s="7" t="str">
        <f>'[1]V, inciso p) (OP)'!U66</f>
        <v>Guevara</v>
      </c>
      <c r="K117" s="7" t="str">
        <f>'[1]V, inciso p) (OP)'!V66</f>
        <v>Castellanos</v>
      </c>
      <c r="L117" s="7" t="str">
        <f>'[1]V, inciso p) (OP)'!W66</f>
        <v>Urbanizacion y Construccion Avanzada, S.A. de C.V.</v>
      </c>
      <c r="M117" s="7" t="str">
        <f>'[1]V, inciso p) (OP)'!X66</f>
        <v>UCA0207107X6</v>
      </c>
      <c r="N117" s="11">
        <f t="shared" si="3"/>
        <v>931716.14</v>
      </c>
      <c r="O117" s="7" t="s">
        <v>40</v>
      </c>
      <c r="P117" s="7" t="s">
        <v>673</v>
      </c>
      <c r="Q117" s="11">
        <f>N117/375</f>
        <v>2484.5763733333333</v>
      </c>
      <c r="R117" s="7" t="s">
        <v>42</v>
      </c>
      <c r="S117" s="15">
        <v>4532</v>
      </c>
      <c r="T117" s="7" t="s">
        <v>43</v>
      </c>
      <c r="U117" s="7" t="s">
        <v>44</v>
      </c>
      <c r="V117" s="13">
        <f>'[1]V, inciso p) (OP)'!AM66</f>
        <v>42657</v>
      </c>
      <c r="W117" s="13">
        <f>'[1]V, inciso p) (OP)'!AN66</f>
        <v>42776</v>
      </c>
      <c r="X117" s="7" t="s">
        <v>671</v>
      </c>
      <c r="Y117" s="7" t="s">
        <v>334</v>
      </c>
      <c r="Z117" s="7" t="s">
        <v>133</v>
      </c>
      <c r="AA117" s="7" t="s">
        <v>40</v>
      </c>
      <c r="AB117" s="7" t="s">
        <v>40</v>
      </c>
    </row>
    <row r="118" spans="1:28" ht="69.95" customHeight="1">
      <c r="A118" s="7">
        <v>2016</v>
      </c>
      <c r="B118" s="7" t="s">
        <v>30</v>
      </c>
      <c r="C118" s="7" t="str">
        <f>'[1]V, inciso p) (OP)'!D67</f>
        <v>DOPI-EST-CR-PAV-LP-105-2016</v>
      </c>
      <c r="D118" s="13">
        <f>'[1]V, inciso p) (OP)'!AD67</f>
        <v>42656</v>
      </c>
      <c r="E118" s="7"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18" s="7" t="s">
        <v>669</v>
      </c>
      <c r="G118" s="11">
        <f>'[1]V, inciso p) (OP)'!AG67</f>
        <v>7806734.9199999999</v>
      </c>
      <c r="H118" s="7" t="str">
        <f>'[1]V, inciso p) (OP)'!AS67</f>
        <v>Mesa Colorada</v>
      </c>
      <c r="I118" s="7" t="str">
        <f>'[1]V, inciso p) (OP)'!T67</f>
        <v>Felipe Daniel II</v>
      </c>
      <c r="J118" s="7" t="str">
        <f>'[1]V, inciso p) (OP)'!U67</f>
        <v>Nuñez</v>
      </c>
      <c r="K118" s="7" t="str">
        <f>'[1]V, inciso p) (OP)'!V67</f>
        <v>Pinzón</v>
      </c>
      <c r="L118" s="7" t="str">
        <f>'[1]V, inciso p) (OP)'!W67</f>
        <v>Grupo Nuveco, S.A. de C.V.</v>
      </c>
      <c r="M118" s="7" t="str">
        <f>'[1]V, inciso p) (OP)'!X67</f>
        <v>GNU120809KX1</v>
      </c>
      <c r="N118" s="11">
        <f t="shared" si="3"/>
        <v>7806734.9199999999</v>
      </c>
      <c r="O118" s="7" t="s">
        <v>40</v>
      </c>
      <c r="P118" s="7" t="s">
        <v>674</v>
      </c>
      <c r="Q118" s="11">
        <f>N118/5067</f>
        <v>1540.7015827906059</v>
      </c>
      <c r="R118" s="7" t="s">
        <v>42</v>
      </c>
      <c r="S118" s="15">
        <v>7873</v>
      </c>
      <c r="T118" s="7" t="s">
        <v>43</v>
      </c>
      <c r="U118" s="7" t="s">
        <v>44</v>
      </c>
      <c r="V118" s="13">
        <f>'[1]V, inciso p) (OP)'!AM67</f>
        <v>42657</v>
      </c>
      <c r="W118" s="13">
        <f>'[1]V, inciso p) (OP)'!AN67</f>
        <v>42776</v>
      </c>
      <c r="X118" s="7" t="s">
        <v>671</v>
      </c>
      <c r="Y118" s="7" t="s">
        <v>334</v>
      </c>
      <c r="Z118" s="7" t="s">
        <v>133</v>
      </c>
      <c r="AA118" s="9" t="s">
        <v>1284</v>
      </c>
      <c r="AB118" s="7" t="s">
        <v>40</v>
      </c>
    </row>
    <row r="119" spans="1:28" ht="69.95" customHeight="1">
      <c r="A119" s="7">
        <v>2016</v>
      </c>
      <c r="B119" s="7" t="s">
        <v>30</v>
      </c>
      <c r="C119" s="7" t="str">
        <f>'[1]V, inciso p) (OP)'!D68</f>
        <v>DOPI-EST-CR-PAV-LP-106-2016</v>
      </c>
      <c r="D119" s="13">
        <f>'[1]V, inciso p) (OP)'!AD68</f>
        <v>42656</v>
      </c>
      <c r="E119" s="7" t="str">
        <f>'[1]V, inciso p) (OP)'!I68</f>
        <v>Reencarpetamiento de la Av. Santa Margarita de Periférico a Av. Tesistán, en la colonia Santa Margarita incluye: guarniciones, banquetas, renivelación de pozos y cajas, señalamiento vertical y horizontal, Municipio de Zapopan, Jalisco.</v>
      </c>
      <c r="F119" s="7" t="s">
        <v>669</v>
      </c>
      <c r="G119" s="11">
        <f>'[1]V, inciso p) (OP)'!AG68</f>
        <v>9033319.6300000008</v>
      </c>
      <c r="H119" s="7" t="str">
        <f>'[1]V, inciso p) (OP)'!AS68</f>
        <v>Colonia Santa Margarita</v>
      </c>
      <c r="I119" s="7" t="str">
        <f>'[1]V, inciso p) (OP)'!T68</f>
        <v>Ángel Salomón</v>
      </c>
      <c r="J119" s="7" t="str">
        <f>'[1]V, inciso p) (OP)'!U68</f>
        <v>Rincón</v>
      </c>
      <c r="K119" s="7" t="str">
        <f>'[1]V, inciso p) (OP)'!V68</f>
        <v>De la Rosa</v>
      </c>
      <c r="L119" s="7" t="str">
        <f>'[1]V, inciso p) (OP)'!W68</f>
        <v>Aro Asfaltos y Riegos de Occidente, S.A. de C.V.</v>
      </c>
      <c r="M119" s="7" t="str">
        <f>'[1]V, inciso p) (OP)'!X68</f>
        <v>AAR120507VA9</v>
      </c>
      <c r="N119" s="11">
        <f t="shared" si="3"/>
        <v>9033319.6300000008</v>
      </c>
      <c r="O119" s="7" t="s">
        <v>40</v>
      </c>
      <c r="P119" s="7" t="s">
        <v>675</v>
      </c>
      <c r="Q119" s="11">
        <f>N119/16200</f>
        <v>557.61232283950619</v>
      </c>
      <c r="R119" s="7" t="s">
        <v>42</v>
      </c>
      <c r="S119" s="15">
        <v>14561</v>
      </c>
      <c r="T119" s="7" t="s">
        <v>43</v>
      </c>
      <c r="U119" s="7" t="s">
        <v>44</v>
      </c>
      <c r="V119" s="13">
        <f>'[1]V, inciso p) (OP)'!AM68</f>
        <v>42657</v>
      </c>
      <c r="W119" s="13">
        <f>'[1]V, inciso p) (OP)'!AN68</f>
        <v>42746</v>
      </c>
      <c r="X119" s="7" t="s">
        <v>676</v>
      </c>
      <c r="Y119" s="7" t="s">
        <v>677</v>
      </c>
      <c r="Z119" s="7" t="s">
        <v>573</v>
      </c>
      <c r="AA119" s="7" t="s">
        <v>40</v>
      </c>
      <c r="AB119" s="7" t="s">
        <v>40</v>
      </c>
    </row>
    <row r="120" spans="1:28" ht="69.95" customHeight="1">
      <c r="A120" s="7">
        <v>2016</v>
      </c>
      <c r="B120" s="7" t="s">
        <v>30</v>
      </c>
      <c r="C120" s="7" t="str">
        <f>'[1]V, inciso p) (OP)'!D69</f>
        <v>DOPI-EST-CR-PAV-LP-107-2016</v>
      </c>
      <c r="D120" s="13">
        <f>'[1]V, inciso p) (OP)'!AD69</f>
        <v>42656</v>
      </c>
      <c r="E120" s="7" t="str">
        <f>'[1]V, inciso p) (OP)'!I69</f>
        <v>Reencarpetamiento de la calle Santa Esther de Av. Acueducto a Periférico, primera etapa, en la colonia Santa Margarita, incluye: guarniciones, banquetas, renivelación de pozos y cajas, señalamiento vertical y horizontal, Municipio de Zapopan, Jalisco.</v>
      </c>
      <c r="F120" s="7" t="s">
        <v>669</v>
      </c>
      <c r="G120" s="11">
        <f>'[1]V, inciso p) (OP)'!AG69</f>
        <v>1679620.18</v>
      </c>
      <c r="H120" s="7" t="str">
        <f>'[1]V, inciso p) (OP)'!AS69</f>
        <v>Colonia Santa Margarita</v>
      </c>
      <c r="I120" s="7" t="str">
        <f>'[1]V, inciso p) (OP)'!T69</f>
        <v>Ángel Salomón</v>
      </c>
      <c r="J120" s="7" t="str">
        <f>'[1]V, inciso p) (OP)'!U69</f>
        <v>Rincón</v>
      </c>
      <c r="K120" s="7" t="str">
        <f>'[1]V, inciso p) (OP)'!V69</f>
        <v>De la Rosa</v>
      </c>
      <c r="L120" s="7" t="str">
        <f>'[1]V, inciso p) (OP)'!W69</f>
        <v>Aro Asfaltos y Riegos de Occidente, S.A. de C.V.</v>
      </c>
      <c r="M120" s="7" t="str">
        <f>'[1]V, inciso p) (OP)'!X69</f>
        <v>AAR120507VA9</v>
      </c>
      <c r="N120" s="11">
        <f t="shared" si="3"/>
        <v>1679620.18</v>
      </c>
      <c r="O120" s="7" t="s">
        <v>40</v>
      </c>
      <c r="P120" s="7" t="s">
        <v>678</v>
      </c>
      <c r="Q120" s="11">
        <f>N120/1894</f>
        <v>886.81107708553327</v>
      </c>
      <c r="R120" s="7" t="s">
        <v>42</v>
      </c>
      <c r="S120" s="15">
        <v>20613</v>
      </c>
      <c r="T120" s="7" t="s">
        <v>43</v>
      </c>
      <c r="U120" s="7" t="s">
        <v>44</v>
      </c>
      <c r="V120" s="13">
        <f>'[1]V, inciso p) (OP)'!AM69</f>
        <v>42657</v>
      </c>
      <c r="W120" s="13">
        <f>'[1]V, inciso p) (OP)'!AN69</f>
        <v>42746</v>
      </c>
      <c r="X120" s="7" t="s">
        <v>676</v>
      </c>
      <c r="Y120" s="7" t="s">
        <v>677</v>
      </c>
      <c r="Z120" s="7" t="s">
        <v>573</v>
      </c>
      <c r="AA120" s="9" t="s">
        <v>1285</v>
      </c>
      <c r="AB120" s="7" t="s">
        <v>40</v>
      </c>
    </row>
    <row r="121" spans="1:28" ht="69.95" customHeight="1">
      <c r="A121" s="7">
        <v>2016</v>
      </c>
      <c r="B121" s="7" t="s">
        <v>30</v>
      </c>
      <c r="C121" s="7" t="str">
        <f>'[1]V, inciso p) (OP)'!D70</f>
        <v>DOPI-EST-CR-PAV-LP-108-2016</v>
      </c>
      <c r="D121" s="13">
        <f>'[1]V, inciso p) (OP)'!AD70</f>
        <v>42656</v>
      </c>
      <c r="E121" s="7" t="str">
        <f>'[1]V, inciso p) (OP)'!I70</f>
        <v>Reencarpetamiento de la calle Santa Esther de Periférico a Av. Santa Ana, primera etapa, en la colonia Santa Margarita, incluye: guarniciones, banquetas, renivelación de pozos y cajas, señalamiento vertical y horizontal, Municipio de Zapopan, Jalisco.</v>
      </c>
      <c r="F121" s="7" t="s">
        <v>669</v>
      </c>
      <c r="G121" s="11">
        <f>'[1]V, inciso p) (OP)'!AG70</f>
        <v>1797538.26</v>
      </c>
      <c r="H121" s="7" t="str">
        <f>'[1]V, inciso p) (OP)'!AS70</f>
        <v>Colonia Santa Margarita</v>
      </c>
      <c r="I121" s="7" t="str">
        <f>'[1]V, inciso p) (OP)'!T70</f>
        <v>Mario</v>
      </c>
      <c r="J121" s="7" t="str">
        <f>'[1]V, inciso p) (OP)'!U70</f>
        <v>Beltrán</v>
      </c>
      <c r="K121" s="7" t="str">
        <f>'[1]V, inciso p) (OP)'!V70</f>
        <v>Rodríguez</v>
      </c>
      <c r="L121" s="7" t="str">
        <f>'[1]V, inciso p) (OP)'!W70</f>
        <v xml:space="preserve">Constructora y Desarrolladora Barba y Asociados, S. A. de C. V. </v>
      </c>
      <c r="M121" s="7" t="str">
        <f>'[1]V, inciso p) (OP)'!X70</f>
        <v>CDB0506068Z4</v>
      </c>
      <c r="N121" s="11">
        <f t="shared" si="3"/>
        <v>1797538.26</v>
      </c>
      <c r="O121" s="7" t="s">
        <v>40</v>
      </c>
      <c r="P121" s="7" t="s">
        <v>679</v>
      </c>
      <c r="Q121" s="11">
        <f>N121/2001</f>
        <v>898.31997001499246</v>
      </c>
      <c r="R121" s="7" t="s">
        <v>42</v>
      </c>
      <c r="S121" s="15">
        <v>20613</v>
      </c>
      <c r="T121" s="7" t="s">
        <v>43</v>
      </c>
      <c r="U121" s="7" t="s">
        <v>44</v>
      </c>
      <c r="V121" s="13">
        <f>'[1]V, inciso p) (OP)'!AM70</f>
        <v>42657</v>
      </c>
      <c r="W121" s="13">
        <f>'[1]V, inciso p) (OP)'!AN70</f>
        <v>42746</v>
      </c>
      <c r="X121" s="7" t="s">
        <v>676</v>
      </c>
      <c r="Y121" s="7" t="s">
        <v>677</v>
      </c>
      <c r="Z121" s="7" t="s">
        <v>573</v>
      </c>
      <c r="AA121" s="9" t="s">
        <v>1286</v>
      </c>
      <c r="AB121" s="7" t="s">
        <v>40</v>
      </c>
    </row>
    <row r="122" spans="1:28" ht="69.95" customHeight="1">
      <c r="A122" s="7">
        <v>2016</v>
      </c>
      <c r="B122" s="7" t="s">
        <v>30</v>
      </c>
      <c r="C122" s="7" t="str">
        <f>'[1]V, inciso p) (OP)'!D71</f>
        <v>DOPI-EST-CR-PAV-LP-109-2016</v>
      </c>
      <c r="D122" s="13">
        <f>'[1]V, inciso p) (OP)'!AD71</f>
        <v>42656</v>
      </c>
      <c r="E122" s="7"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22" s="7" t="s">
        <v>669</v>
      </c>
      <c r="G122" s="11">
        <f>'[1]V, inciso p) (OP)'!AG71</f>
        <v>9062555.0800000001</v>
      </c>
      <c r="H122" s="7" t="str">
        <f>'[1]V, inciso p) (OP)'!AS71</f>
        <v>Colonia La Martinica</v>
      </c>
      <c r="I122" s="7" t="str">
        <f>'[1]V, inciso p) (OP)'!T71</f>
        <v>Sergio Cesar</v>
      </c>
      <c r="J122" s="7" t="str">
        <f>'[1]V, inciso p) (OP)'!U71</f>
        <v>Diaz</v>
      </c>
      <c r="K122" s="7" t="str">
        <f>'[1]V, inciso p) (OP)'!V71</f>
        <v>Quiroz</v>
      </c>
      <c r="L122" s="7" t="str">
        <f>'[1]V, inciso p) (OP)'!W71</f>
        <v>Grupo Unicreto de México S.A. de C.V.</v>
      </c>
      <c r="M122" s="7" t="str">
        <f>'[1]V, inciso p) (OP)'!X71</f>
        <v>GUM111201IA5</v>
      </c>
      <c r="N122" s="11">
        <f t="shared" si="3"/>
        <v>9062555.0800000001</v>
      </c>
      <c r="O122" s="7" t="s">
        <v>40</v>
      </c>
      <c r="P122" s="7" t="s">
        <v>680</v>
      </c>
      <c r="Q122" s="11">
        <f>N122/7601</f>
        <v>1192.2845783449545</v>
      </c>
      <c r="R122" s="7" t="s">
        <v>42</v>
      </c>
      <c r="S122" s="15">
        <v>7133</v>
      </c>
      <c r="T122" s="7" t="s">
        <v>43</v>
      </c>
      <c r="U122" s="7" t="s">
        <v>44</v>
      </c>
      <c r="V122" s="13">
        <f>'[1]V, inciso p) (OP)'!AM71</f>
        <v>42657</v>
      </c>
      <c r="W122" s="13">
        <f>'[1]V, inciso p) (OP)'!AN71</f>
        <v>42746</v>
      </c>
      <c r="X122" s="7" t="s">
        <v>681</v>
      </c>
      <c r="Y122" s="7" t="s">
        <v>682</v>
      </c>
      <c r="Z122" s="7" t="s">
        <v>683</v>
      </c>
      <c r="AA122" s="7" t="s">
        <v>40</v>
      </c>
      <c r="AB122" s="7" t="s">
        <v>40</v>
      </c>
    </row>
    <row r="123" spans="1:28" ht="69.95" customHeight="1">
      <c r="A123" s="7">
        <v>2016</v>
      </c>
      <c r="B123" s="7" t="s">
        <v>30</v>
      </c>
      <c r="C123" s="7" t="str">
        <f>'[1]V, inciso p) (OP)'!D72</f>
        <v>DOPI-EST-CR-PAV-LP-110-2016</v>
      </c>
      <c r="D123" s="13">
        <f>'[1]V, inciso p) (OP)'!AD72</f>
        <v>42656</v>
      </c>
      <c r="E123" s="7"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23" s="7" t="s">
        <v>669</v>
      </c>
      <c r="G123" s="11">
        <f>'[1]V, inciso p) (OP)'!AG72</f>
        <v>7061595.75</v>
      </c>
      <c r="H123" s="7" t="str">
        <f>'[1]V, inciso p) (OP)'!AS72</f>
        <v>Colonia Parque del Auditorio</v>
      </c>
      <c r="I123" s="7" t="str">
        <f>'[1]V, inciso p) (OP)'!T72</f>
        <v>Sergio Cesar</v>
      </c>
      <c r="J123" s="7" t="str">
        <f>'[1]V, inciso p) (OP)'!U72</f>
        <v>Díaz</v>
      </c>
      <c r="K123" s="7" t="str">
        <f>'[1]V, inciso p) (OP)'!V72</f>
        <v>Quiroz</v>
      </c>
      <c r="L123" s="7" t="str">
        <f>'[1]V, inciso p) (OP)'!W72</f>
        <v>Transcreto S.A. de C.V.</v>
      </c>
      <c r="M123" s="7" t="str">
        <f>'[1]V, inciso p) (OP)'!X72</f>
        <v>TRA750528286</v>
      </c>
      <c r="N123" s="11">
        <f t="shared" si="3"/>
        <v>7061595.75</v>
      </c>
      <c r="O123" s="7" t="s">
        <v>40</v>
      </c>
      <c r="P123" s="7" t="s">
        <v>565</v>
      </c>
      <c r="Q123" s="11">
        <f>N123/4400</f>
        <v>1604.9081249999999</v>
      </c>
      <c r="R123" s="7" t="s">
        <v>42</v>
      </c>
      <c r="S123" s="15">
        <v>7692</v>
      </c>
      <c r="T123" s="7" t="s">
        <v>43</v>
      </c>
      <c r="U123" s="7" t="s">
        <v>44</v>
      </c>
      <c r="V123" s="13">
        <f>'[1]V, inciso p) (OP)'!AM72</f>
        <v>42657</v>
      </c>
      <c r="W123" s="13">
        <f>'[1]V, inciso p) (OP)'!AN72</f>
        <v>42746</v>
      </c>
      <c r="X123" s="7" t="s">
        <v>681</v>
      </c>
      <c r="Y123" s="7" t="s">
        <v>682</v>
      </c>
      <c r="Z123" s="7" t="s">
        <v>683</v>
      </c>
      <c r="AA123" s="9" t="s">
        <v>1287</v>
      </c>
      <c r="AB123" s="7" t="s">
        <v>40</v>
      </c>
    </row>
    <row r="124" spans="1:28" ht="69.95" customHeight="1">
      <c r="A124" s="7">
        <v>2016</v>
      </c>
      <c r="B124" s="7" t="s">
        <v>30</v>
      </c>
      <c r="C124" s="7" t="str">
        <f>'[1]V, inciso p) (OP)'!D73</f>
        <v>DOPI-EST-CR-PAV-LP-111-2016</v>
      </c>
      <c r="D124" s="13">
        <f>'[1]V, inciso p) (OP)'!AD73</f>
        <v>42656</v>
      </c>
      <c r="E124" s="7" t="str">
        <f>'[1]V, inciso p) (OP)'!I73</f>
        <v>Sustitución de losas en la colonia Parque del Auditorio, Municipio de Zapopan, Jalisco.</v>
      </c>
      <c r="F124" s="7" t="s">
        <v>669</v>
      </c>
      <c r="G124" s="11">
        <f>'[1]V, inciso p) (OP)'!AG73</f>
        <v>1331822.1599999999</v>
      </c>
      <c r="H124" s="7" t="str">
        <f>'[1]V, inciso p) (OP)'!AS73</f>
        <v>Colonia Parque del Auditorio</v>
      </c>
      <c r="I124" s="7" t="str">
        <f>'[1]V, inciso p) (OP)'!T73</f>
        <v>Mario</v>
      </c>
      <c r="J124" s="7" t="str">
        <f>'[1]V, inciso p) (OP)'!U73</f>
        <v>Beltrán</v>
      </c>
      <c r="K124" s="7" t="str">
        <f>'[1]V, inciso p) (OP)'!V73</f>
        <v>Rodríguez</v>
      </c>
      <c r="L124" s="7" t="str">
        <f>'[1]V, inciso p) (OP)'!W73</f>
        <v xml:space="preserve">Constructora y Desarrolladora Barba y Asociados, S. A. de C. V. </v>
      </c>
      <c r="M124" s="7" t="str">
        <f>'[1]V, inciso p) (OP)'!X73</f>
        <v>CDB0506068Z4</v>
      </c>
      <c r="N124" s="11">
        <f t="shared" si="3"/>
        <v>1331822.1599999999</v>
      </c>
      <c r="O124" s="7" t="s">
        <v>40</v>
      </c>
      <c r="P124" s="7" t="s">
        <v>684</v>
      </c>
      <c r="Q124" s="11">
        <f>N124/177</f>
        <v>7524.4189830508467</v>
      </c>
      <c r="R124" s="7" t="s">
        <v>42</v>
      </c>
      <c r="S124" s="15">
        <v>4462</v>
      </c>
      <c r="T124" s="7" t="s">
        <v>43</v>
      </c>
      <c r="U124" s="7" t="s">
        <v>44</v>
      </c>
      <c r="V124" s="13">
        <f>'[1]V, inciso p) (OP)'!AM73</f>
        <v>42657</v>
      </c>
      <c r="W124" s="13">
        <f>'[1]V, inciso p) (OP)'!AN73</f>
        <v>42746</v>
      </c>
      <c r="X124" s="7" t="s">
        <v>681</v>
      </c>
      <c r="Y124" s="7" t="s">
        <v>682</v>
      </c>
      <c r="Z124" s="7" t="s">
        <v>683</v>
      </c>
      <c r="AA124" s="9" t="s">
        <v>1288</v>
      </c>
      <c r="AB124" s="7" t="s">
        <v>40</v>
      </c>
    </row>
    <row r="125" spans="1:28" ht="69.95" customHeight="1">
      <c r="A125" s="7">
        <v>2016</v>
      </c>
      <c r="B125" s="7" t="s">
        <v>30</v>
      </c>
      <c r="C125" s="7" t="str">
        <f>'[1]V, inciso p) (OP)'!D74</f>
        <v>DOPI-EST-CR-PAV-LP-112-2016</v>
      </c>
      <c r="D125" s="13">
        <f>'[1]V, inciso p) (OP)'!AD74</f>
        <v>42656</v>
      </c>
      <c r="E125" s="7" t="str">
        <f>'[1]V, inciso p) (OP)'!I74</f>
        <v>Construcción de la primera etapa de la calle 20 de Enero de calle Juan Santibañez a Juan Diego con concreto hidráulico en San Juan de Ocotán, incluye: guarniciones, banquetas y alumbrado público, Municipio de Zapopan, Jalisco.</v>
      </c>
      <c r="F125" s="7" t="s">
        <v>669</v>
      </c>
      <c r="G125" s="11">
        <f>'[1]V, inciso p) (OP)'!AG74</f>
        <v>3129979.51</v>
      </c>
      <c r="H125" s="7" t="str">
        <f>'[1]V, inciso p) (OP)'!AS74</f>
        <v>San Juan de Ocotán</v>
      </c>
      <c r="I125" s="7" t="str">
        <f>'[1]V, inciso p) (OP)'!T74</f>
        <v>Omar</v>
      </c>
      <c r="J125" s="7" t="str">
        <f>'[1]V, inciso p) (OP)'!U74</f>
        <v>Mora</v>
      </c>
      <c r="K125" s="7" t="str">
        <f>'[1]V, inciso p) (OP)'!V74</f>
        <v>Montes de Oca</v>
      </c>
      <c r="L125" s="7" t="str">
        <f>'[1]V, inciso p) (OP)'!W74</f>
        <v>Dommont Construcciones, S.A. de C.V.</v>
      </c>
      <c r="M125" s="7" t="str">
        <f>'[1]V, inciso p) (OP)'!X74</f>
        <v>DCO130215C16</v>
      </c>
      <c r="N125" s="11">
        <f t="shared" si="3"/>
        <v>3129979.51</v>
      </c>
      <c r="O125" s="7" t="s">
        <v>40</v>
      </c>
      <c r="P125" s="7" t="s">
        <v>685</v>
      </c>
      <c r="Q125" s="11">
        <f>N125/2130</f>
        <v>1469.4739483568073</v>
      </c>
      <c r="R125" s="7" t="s">
        <v>42</v>
      </c>
      <c r="S125" s="15">
        <v>5581</v>
      </c>
      <c r="T125" s="7" t="s">
        <v>43</v>
      </c>
      <c r="U125" s="7" t="s">
        <v>44</v>
      </c>
      <c r="V125" s="13">
        <f>'[1]V, inciso p) (OP)'!AM74</f>
        <v>42657</v>
      </c>
      <c r="W125" s="13">
        <f>'[1]V, inciso p) (OP)'!AN74</f>
        <v>42776</v>
      </c>
      <c r="X125" s="7" t="s">
        <v>686</v>
      </c>
      <c r="Y125" s="7" t="s">
        <v>687</v>
      </c>
      <c r="Z125" s="7" t="s">
        <v>268</v>
      </c>
      <c r="AA125" s="7" t="s">
        <v>40</v>
      </c>
      <c r="AB125" s="7" t="s">
        <v>40</v>
      </c>
    </row>
    <row r="126" spans="1:28" ht="69.95" customHeight="1">
      <c r="A126" s="7">
        <v>2016</v>
      </c>
      <c r="B126" s="7" t="s">
        <v>30</v>
      </c>
      <c r="C126" s="7" t="str">
        <f>'[1]V, inciso p) (OP)'!D75</f>
        <v>DOPI-EST-CR-PAV-LP-113-2016</v>
      </c>
      <c r="D126" s="13">
        <f>'[1]V, inciso p) (OP)'!AD75</f>
        <v>42656</v>
      </c>
      <c r="E126" s="7" t="str">
        <f>'[1]V, inciso p) (OP)'!I75</f>
        <v>Construcción de la primera etapa de la calle Juan Diego de calle Hidalgo a calle Parral con concreto hidráulico en San Juan de Ocotán, incluye: guarniciones, banquetas y alumbrado público, Municipio de Zapopan, Jalisco.</v>
      </c>
      <c r="F126" s="7" t="s">
        <v>669</v>
      </c>
      <c r="G126" s="11">
        <f>'[1]V, inciso p) (OP)'!AG75</f>
        <v>1410912.86</v>
      </c>
      <c r="H126" s="7" t="str">
        <f>'[1]V, inciso p) (OP)'!AS75</f>
        <v>San Juan de Ocotán</v>
      </c>
      <c r="I126" s="7" t="str">
        <f>'[1]V, inciso p) (OP)'!T75</f>
        <v>Julio Eduardo</v>
      </c>
      <c r="J126" s="7" t="str">
        <f>'[1]V, inciso p) (OP)'!U75</f>
        <v>López</v>
      </c>
      <c r="K126" s="7" t="str">
        <f>'[1]V, inciso p) (OP)'!V75</f>
        <v>Pérez</v>
      </c>
      <c r="L126" s="7" t="str">
        <f>'[1]V, inciso p) (OP)'!W75</f>
        <v>Proyectos e Insumos Industriales Jelp, S.A. de C.V.</v>
      </c>
      <c r="M126" s="7" t="str">
        <f>'[1]V, inciso p) (OP)'!X75</f>
        <v>PEI020208RW0</v>
      </c>
      <c r="N126" s="11">
        <f t="shared" si="3"/>
        <v>1410912.86</v>
      </c>
      <c r="O126" s="7" t="s">
        <v>40</v>
      </c>
      <c r="P126" s="7" t="s">
        <v>688</v>
      </c>
      <c r="Q126" s="11">
        <f>N126/846</f>
        <v>1667.7456973995272</v>
      </c>
      <c r="R126" s="7" t="s">
        <v>42</v>
      </c>
      <c r="S126" s="15">
        <v>5581</v>
      </c>
      <c r="T126" s="7" t="s">
        <v>43</v>
      </c>
      <c r="U126" s="7" t="s">
        <v>44</v>
      </c>
      <c r="V126" s="13">
        <f>'[1]V, inciso p) (OP)'!AM75</f>
        <v>42657</v>
      </c>
      <c r="W126" s="13">
        <f>'[1]V, inciso p) (OP)'!AN75</f>
        <v>42776</v>
      </c>
      <c r="X126" s="7" t="s">
        <v>686</v>
      </c>
      <c r="Y126" s="7" t="s">
        <v>687</v>
      </c>
      <c r="Z126" s="7" t="s">
        <v>268</v>
      </c>
      <c r="AA126" s="7" t="s">
        <v>40</v>
      </c>
      <c r="AB126" s="7" t="s">
        <v>40</v>
      </c>
    </row>
    <row r="127" spans="1:28" ht="69.95" customHeight="1">
      <c r="A127" s="7">
        <v>2016</v>
      </c>
      <c r="B127" s="7" t="s">
        <v>30</v>
      </c>
      <c r="C127" s="7" t="str">
        <f>'[1]V, inciso p) (OP)'!D76</f>
        <v>DOPI-EST-CR-PAV-LP-114-2016</v>
      </c>
      <c r="D127" s="13">
        <f>'[1]V, inciso p) (OP)'!AD76</f>
        <v>42656</v>
      </c>
      <c r="E127" s="7" t="str">
        <f>'[1]V, inciso p) (OP)'!I76</f>
        <v>Construcción de la primera etapa de la calle Hidalgo de calle Juan Santibañez a calle Parral 3, con concreto hidráulico en San Juan de Ocotán, incluye: guarniciones, banquetas y alumbrado público, Municipio de Zapopan, Jalisco.</v>
      </c>
      <c r="F127" s="7" t="s">
        <v>669</v>
      </c>
      <c r="G127" s="11">
        <f>'[1]V, inciso p) (OP)'!AG76</f>
        <v>5333222.53</v>
      </c>
      <c r="H127" s="7" t="str">
        <f>'[1]V, inciso p) (OP)'!AS76</f>
        <v>San Juan de Ocotán</v>
      </c>
      <c r="I127" s="7" t="str">
        <f>'[1]V, inciso p) (OP)'!T76</f>
        <v>Jorge Hugo</v>
      </c>
      <c r="J127" s="7" t="str">
        <f>'[1]V, inciso p) (OP)'!U76</f>
        <v>López</v>
      </c>
      <c r="K127" s="7" t="str">
        <f>'[1]V, inciso p) (OP)'!V76</f>
        <v>Pérez</v>
      </c>
      <c r="L127" s="7" t="str">
        <f>'[1]V, inciso p) (OP)'!W76</f>
        <v>Control de Calidad de Materiales San Agustin de Hipona, S.A. de C.V.</v>
      </c>
      <c r="M127" s="7" t="str">
        <f>'[1]V, inciso p) (OP)'!X76</f>
        <v>CCM130405AY1</v>
      </c>
      <c r="N127" s="11">
        <f t="shared" si="3"/>
        <v>5333222.53</v>
      </c>
      <c r="O127" s="7" t="s">
        <v>40</v>
      </c>
      <c r="P127" s="7" t="s">
        <v>689</v>
      </c>
      <c r="Q127" s="11">
        <f>N127/3876</f>
        <v>1375.9604050567596</v>
      </c>
      <c r="R127" s="7" t="s">
        <v>42</v>
      </c>
      <c r="S127" s="15">
        <v>5581</v>
      </c>
      <c r="T127" s="7" t="s">
        <v>43</v>
      </c>
      <c r="U127" s="7" t="s">
        <v>44</v>
      </c>
      <c r="V127" s="13">
        <f>'[1]V, inciso p) (OP)'!AM76</f>
        <v>42657</v>
      </c>
      <c r="W127" s="13">
        <f>'[1]V, inciso p) (OP)'!AN76</f>
        <v>42776</v>
      </c>
      <c r="X127" s="7" t="s">
        <v>686</v>
      </c>
      <c r="Y127" s="7" t="s">
        <v>687</v>
      </c>
      <c r="Z127" s="7" t="s">
        <v>268</v>
      </c>
      <c r="AA127" s="7" t="s">
        <v>40</v>
      </c>
      <c r="AB127" s="7" t="s">
        <v>40</v>
      </c>
    </row>
    <row r="128" spans="1:28" ht="69.95" customHeight="1">
      <c r="A128" s="7">
        <v>2016</v>
      </c>
      <c r="B128" s="7" t="s">
        <v>30</v>
      </c>
      <c r="C128" s="7" t="str">
        <f>'[1]V, inciso p) (OP)'!D77</f>
        <v>DOPI-EST-CR-PAV-LP-115-2016</v>
      </c>
      <c r="D128" s="13">
        <f>'[1]V, inciso p) (OP)'!AD77</f>
        <v>42656</v>
      </c>
      <c r="E128" s="7"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28" s="7" t="s">
        <v>669</v>
      </c>
      <c r="G128" s="11">
        <f>'[1]V, inciso p) (OP)'!AG77</f>
        <v>1012796.53</v>
      </c>
      <c r="H128" s="7" t="str">
        <f>'[1]V, inciso p) (OP)'!AS77</f>
        <v>Santa Ana Tepetitlán</v>
      </c>
      <c r="I128" s="7" t="str">
        <f>'[1]V, inciso p) (OP)'!T77</f>
        <v>Luis Armando</v>
      </c>
      <c r="J128" s="7" t="str">
        <f>'[1]V, inciso p) (OP)'!U77</f>
        <v>Linares</v>
      </c>
      <c r="K128" s="7" t="str">
        <f>'[1]V, inciso p) (OP)'!V77</f>
        <v>Cacho</v>
      </c>
      <c r="L128" s="7" t="str">
        <f>'[1]V, inciso p) (OP)'!W77</f>
        <v>Urbanizadora y Constructora Roal, S.A. de C.V.</v>
      </c>
      <c r="M128" s="7" t="str">
        <f>'[1]V, inciso p) (OP)'!X77</f>
        <v>URC160310857</v>
      </c>
      <c r="N128" s="11">
        <f t="shared" si="3"/>
        <v>1012796.53</v>
      </c>
      <c r="O128" s="7" t="s">
        <v>40</v>
      </c>
      <c r="P128" s="7" t="s">
        <v>690</v>
      </c>
      <c r="Q128" s="11">
        <f>N128/420</f>
        <v>2411.4203095238095</v>
      </c>
      <c r="R128" s="7" t="s">
        <v>42</v>
      </c>
      <c r="S128" s="15">
        <v>5780</v>
      </c>
      <c r="T128" s="7" t="s">
        <v>43</v>
      </c>
      <c r="U128" s="7" t="s">
        <v>44</v>
      </c>
      <c r="V128" s="13">
        <f>'[1]V, inciso p) (OP)'!AM77</f>
        <v>42657</v>
      </c>
      <c r="W128" s="13">
        <f>'[1]V, inciso p) (OP)'!AN77</f>
        <v>42776</v>
      </c>
      <c r="X128" s="7" t="s">
        <v>536</v>
      </c>
      <c r="Y128" s="7" t="s">
        <v>383</v>
      </c>
      <c r="Z128" s="7" t="s">
        <v>300</v>
      </c>
      <c r="AA128" s="7" t="s">
        <v>40</v>
      </c>
      <c r="AB128" s="7" t="s">
        <v>40</v>
      </c>
    </row>
    <row r="129" spans="1:28" ht="69.95" customHeight="1">
      <c r="A129" s="7">
        <v>2016</v>
      </c>
      <c r="B129" s="7" t="s">
        <v>30</v>
      </c>
      <c r="C129" s="7" t="str">
        <f>'[1]V, inciso p) (OP)'!D78</f>
        <v>DOPI-EST-CR-PAV-LP-116-2016</v>
      </c>
      <c r="D129" s="13">
        <f>'[1]V, inciso p) (OP)'!AD78</f>
        <v>42656</v>
      </c>
      <c r="E129" s="7"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29" s="7" t="s">
        <v>669</v>
      </c>
      <c r="G129" s="11">
        <f>'[1]V, inciso p) (OP)'!AG78</f>
        <v>6796856.54</v>
      </c>
      <c r="H129" s="7" t="str">
        <f>'[1]V, inciso p) (OP)'!AS78</f>
        <v>Santa Ana Tepetitlán</v>
      </c>
      <c r="I129" s="7" t="str">
        <f>'[1]V, inciso p) (OP)'!T78</f>
        <v>Julio Eduardo</v>
      </c>
      <c r="J129" s="7" t="str">
        <f>'[1]V, inciso p) (OP)'!U78</f>
        <v>López</v>
      </c>
      <c r="K129" s="7" t="str">
        <f>'[1]V, inciso p) (OP)'!V78</f>
        <v>Pérez</v>
      </c>
      <c r="L129" s="7" t="str">
        <f>'[1]V, inciso p) (OP)'!W78</f>
        <v>Proyectos e Insumos Industriales Jelp, S.A. de C.V.</v>
      </c>
      <c r="M129" s="7" t="str">
        <f>'[1]V, inciso p) (OP)'!X78</f>
        <v>PEI020208RW0</v>
      </c>
      <c r="N129" s="11">
        <f t="shared" si="3"/>
        <v>6796856.54</v>
      </c>
      <c r="O129" s="7" t="s">
        <v>40</v>
      </c>
      <c r="P129" s="7" t="s">
        <v>691</v>
      </c>
      <c r="Q129" s="11">
        <f>N129/3503</f>
        <v>1940.29590065658</v>
      </c>
      <c r="R129" s="7" t="s">
        <v>42</v>
      </c>
      <c r="S129" s="15">
        <v>5780</v>
      </c>
      <c r="T129" s="7" t="s">
        <v>43</v>
      </c>
      <c r="U129" s="7" t="s">
        <v>44</v>
      </c>
      <c r="V129" s="13">
        <f>'[1]V, inciso p) (OP)'!AM78</f>
        <v>42657</v>
      </c>
      <c r="W129" s="13">
        <f>'[1]V, inciso p) (OP)'!AN78</f>
        <v>42776</v>
      </c>
      <c r="X129" s="7" t="s">
        <v>536</v>
      </c>
      <c r="Y129" s="7" t="s">
        <v>383</v>
      </c>
      <c r="Z129" s="7" t="s">
        <v>300</v>
      </c>
      <c r="AA129" s="7" t="s">
        <v>40</v>
      </c>
      <c r="AB129" s="7" t="s">
        <v>40</v>
      </c>
    </row>
    <row r="130" spans="1:28" ht="69.95" customHeight="1">
      <c r="A130" s="7">
        <v>2016</v>
      </c>
      <c r="B130" s="7" t="s">
        <v>30</v>
      </c>
      <c r="C130" s="7" t="str">
        <f>'[1]V, inciso p) (OP)'!D79</f>
        <v>DOPI-EST-CR-PAV-LP-117-2016</v>
      </c>
      <c r="D130" s="13">
        <f>'[1]V, inciso p) (OP)'!AD79</f>
        <v>42656</v>
      </c>
      <c r="E130" s="7"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30" s="7" t="s">
        <v>669</v>
      </c>
      <c r="G130" s="11">
        <f>'[1]V, inciso p) (OP)'!AG79</f>
        <v>1329275.32</v>
      </c>
      <c r="H130" s="7" t="str">
        <f>'[1]V, inciso p) (OP)'!AS79</f>
        <v>Santa Ana Tepetitlán</v>
      </c>
      <c r="I130" s="7" t="str">
        <f>'[1]V, inciso p) (OP)'!T79</f>
        <v>Bernardo</v>
      </c>
      <c r="J130" s="7" t="str">
        <f>'[1]V, inciso p) (OP)'!U79</f>
        <v>Saenz</v>
      </c>
      <c r="K130" s="7" t="str">
        <f>'[1]V, inciso p) (OP)'!V79</f>
        <v>Barba</v>
      </c>
      <c r="L130" s="7" t="str">
        <f>'[1]V, inciso p) (OP)'!W79</f>
        <v>Grupo Edificador Mayab, S.A. de C.V.</v>
      </c>
      <c r="M130" s="7" t="str">
        <f>'[1]V, inciso p) (OP)'!X79</f>
        <v>GEM070112PX8</v>
      </c>
      <c r="N130" s="11">
        <f t="shared" si="3"/>
        <v>1329275.32</v>
      </c>
      <c r="O130" s="7" t="s">
        <v>40</v>
      </c>
      <c r="P130" s="7" t="s">
        <v>692</v>
      </c>
      <c r="Q130" s="11">
        <f>N130/720</f>
        <v>1846.2157222222222</v>
      </c>
      <c r="R130" s="7" t="s">
        <v>42</v>
      </c>
      <c r="S130" s="15">
        <v>3736</v>
      </c>
      <c r="T130" s="7" t="s">
        <v>43</v>
      </c>
      <c r="U130" s="7" t="s">
        <v>44</v>
      </c>
      <c r="V130" s="13">
        <f>'[1]V, inciso p) (OP)'!AM79</f>
        <v>42657</v>
      </c>
      <c r="W130" s="13">
        <f>'[1]V, inciso p) (OP)'!AN79</f>
        <v>42776</v>
      </c>
      <c r="X130" s="7" t="s">
        <v>536</v>
      </c>
      <c r="Y130" s="7" t="s">
        <v>383</v>
      </c>
      <c r="Z130" s="7" t="s">
        <v>300</v>
      </c>
      <c r="AA130" s="7" t="s">
        <v>40</v>
      </c>
      <c r="AB130" s="7" t="s">
        <v>40</v>
      </c>
    </row>
    <row r="131" spans="1:28" ht="69.95" customHeight="1">
      <c r="A131" s="7">
        <v>2016</v>
      </c>
      <c r="B131" s="7" t="s">
        <v>30</v>
      </c>
      <c r="C131" s="7" t="str">
        <f>'[1]V, inciso p) (OP)'!D80</f>
        <v>DOPI-EST-CR-PAV-LP-118-2016</v>
      </c>
      <c r="D131" s="13">
        <f>'[1]V, inciso p) (OP)'!AD80</f>
        <v>42656</v>
      </c>
      <c r="E131" s="7"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31" s="7" t="s">
        <v>669</v>
      </c>
      <c r="G131" s="11">
        <f>'[1]V, inciso p) (OP)'!AG80</f>
        <v>670861.71</v>
      </c>
      <c r="H131" s="7" t="str">
        <f>'[1]V, inciso p) (OP)'!AS80</f>
        <v>Santa Ana Tepetitlán</v>
      </c>
      <c r="I131" s="7" t="str">
        <f>'[1]V, inciso p) (OP)'!T80</f>
        <v>Bernardo</v>
      </c>
      <c r="J131" s="7" t="str">
        <f>'[1]V, inciso p) (OP)'!U80</f>
        <v>Saenz</v>
      </c>
      <c r="K131" s="7" t="str">
        <f>'[1]V, inciso p) (OP)'!V80</f>
        <v>Barba</v>
      </c>
      <c r="L131" s="7" t="str">
        <f>'[1]V, inciso p) (OP)'!W80</f>
        <v>Grupo Edificador Mayab, S.A. de C.V.</v>
      </c>
      <c r="M131" s="7" t="str">
        <f>'[1]V, inciso p) (OP)'!X80</f>
        <v>GEM070112PX8</v>
      </c>
      <c r="N131" s="11">
        <f t="shared" si="3"/>
        <v>670861.71</v>
      </c>
      <c r="O131" s="7" t="s">
        <v>40</v>
      </c>
      <c r="P131" s="7" t="s">
        <v>693</v>
      </c>
      <c r="Q131" s="11">
        <f>N131/240</f>
        <v>2795.2571249999996</v>
      </c>
      <c r="R131" s="7" t="s">
        <v>42</v>
      </c>
      <c r="S131" s="15">
        <v>3736</v>
      </c>
      <c r="T131" s="7" t="s">
        <v>43</v>
      </c>
      <c r="U131" s="7" t="s">
        <v>44</v>
      </c>
      <c r="V131" s="13">
        <f>'[1]V, inciso p) (OP)'!AM80</f>
        <v>42657</v>
      </c>
      <c r="W131" s="13">
        <f>'[1]V, inciso p) (OP)'!AN80</f>
        <v>42776</v>
      </c>
      <c r="X131" s="7" t="s">
        <v>536</v>
      </c>
      <c r="Y131" s="7" t="s">
        <v>383</v>
      </c>
      <c r="Z131" s="7" t="s">
        <v>300</v>
      </c>
      <c r="AA131" s="7" t="s">
        <v>40</v>
      </c>
      <c r="AB131" s="7" t="s">
        <v>40</v>
      </c>
    </row>
    <row r="132" spans="1:28" ht="69.95" customHeight="1">
      <c r="A132" s="7">
        <v>2016</v>
      </c>
      <c r="B132" s="7" t="s">
        <v>30</v>
      </c>
      <c r="C132" s="7" t="str">
        <f>'[1]V, inciso p) (OP)'!D81</f>
        <v>DOPI-EST-FC-PAV-LP-119-2016</v>
      </c>
      <c r="D132" s="13">
        <f>'[1]V, inciso p) (OP)'!AD81</f>
        <v>42656</v>
      </c>
      <c r="E132" s="7" t="str">
        <f>'[1]V, inciso p) (OP)'!I81</f>
        <v>Primera etapa de reencarpetamiento de Circuito Madrigal, de Av. Patria a Circuito. Madrigal, Municipio de Zapopan, Jalisco.</v>
      </c>
      <c r="F132" s="7" t="s">
        <v>669</v>
      </c>
      <c r="G132" s="11">
        <f>'[1]V, inciso p) (OP)'!AG81</f>
        <v>8383533</v>
      </c>
      <c r="H132" s="7" t="str">
        <f>'[1]V, inciso p) (OP)'!AS81</f>
        <v>Colonia Santa Isabel</v>
      </c>
      <c r="I132" s="7" t="str">
        <f>'[1]V, inciso p) (OP)'!T81</f>
        <v>Ángel Salomón</v>
      </c>
      <c r="J132" s="7" t="str">
        <f>'[1]V, inciso p) (OP)'!U81</f>
        <v>Rincón</v>
      </c>
      <c r="K132" s="7" t="str">
        <f>'[1]V, inciso p) (OP)'!V81</f>
        <v>De la Rosa</v>
      </c>
      <c r="L132" s="7" t="str">
        <f>'[1]V, inciso p) (OP)'!W81</f>
        <v>Aro Asfaltos y Riegos de Occidente, S.A. de C.V.</v>
      </c>
      <c r="M132" s="7" t="str">
        <f>'[1]V, inciso p) (OP)'!X81</f>
        <v>AAR120507VA9</v>
      </c>
      <c r="N132" s="11">
        <f t="shared" si="3"/>
        <v>8383533</v>
      </c>
      <c r="O132" s="7" t="s">
        <v>40</v>
      </c>
      <c r="P132" s="7" t="s">
        <v>694</v>
      </c>
      <c r="Q132" s="11">
        <f>N132/16290</f>
        <v>514.6429097605893</v>
      </c>
      <c r="R132" s="7" t="s">
        <v>42</v>
      </c>
      <c r="S132" s="15">
        <v>6077</v>
      </c>
      <c r="T132" s="7" t="s">
        <v>43</v>
      </c>
      <c r="U132" s="7" t="s">
        <v>44</v>
      </c>
      <c r="V132" s="13">
        <f>'[1]V, inciso p) (OP)'!AM81</f>
        <v>42657</v>
      </c>
      <c r="W132" s="13">
        <f>'[1]V, inciso p) (OP)'!AN81</f>
        <v>42776</v>
      </c>
      <c r="X132" s="7" t="s">
        <v>586</v>
      </c>
      <c r="Y132" s="7" t="s">
        <v>404</v>
      </c>
      <c r="Z132" s="7" t="s">
        <v>405</v>
      </c>
      <c r="AA132" s="9" t="s">
        <v>1289</v>
      </c>
      <c r="AB132" s="7" t="s">
        <v>40</v>
      </c>
    </row>
    <row r="133" spans="1:28" ht="69.95" customHeight="1">
      <c r="A133" s="7">
        <v>2016</v>
      </c>
      <c r="B133" s="7" t="s">
        <v>30</v>
      </c>
      <c r="C133" s="7" t="str">
        <f>'[1]V, inciso p) (OP)'!D82</f>
        <v>DOPI-EST-FC-PAV-LP-120-2016</v>
      </c>
      <c r="D133" s="13">
        <f>'[1]V, inciso p) (OP)'!AD82</f>
        <v>42656</v>
      </c>
      <c r="E133" s="7" t="str">
        <f>'[1]V, inciso p) (OP)'!I82</f>
        <v>Primera etapa de modernización de Prolongación Av. Guadalupe, de Prolongación Mariano Otero al Arroyo El Garabato, Municipio de Zapopan, Jalisco.</v>
      </c>
      <c r="F133" s="7" t="s">
        <v>669</v>
      </c>
      <c r="G133" s="11">
        <f>'[1]V, inciso p) (OP)'!AG82</f>
        <v>6899699.6900000004</v>
      </c>
      <c r="H133" s="7" t="str">
        <f>'[1]V, inciso p) (OP)'!AS82</f>
        <v>Colonia El Fortín</v>
      </c>
      <c r="I133" s="7" t="str">
        <f>'[1]V, inciso p) (OP)'!T82</f>
        <v>Sergio Cesar</v>
      </c>
      <c r="J133" s="7" t="str">
        <f>'[1]V, inciso p) (OP)'!U82</f>
        <v>Diaz</v>
      </c>
      <c r="K133" s="7" t="str">
        <f>'[1]V, inciso p) (OP)'!V82</f>
        <v>Quiroz</v>
      </c>
      <c r="L133" s="7" t="str">
        <f>'[1]V, inciso p) (OP)'!W82</f>
        <v>Grupo Unicreto de México S.A. de C.V.</v>
      </c>
      <c r="M133" s="7" t="str">
        <f>'[1]V, inciso p) (OP)'!X82</f>
        <v>GUM111201IA5</v>
      </c>
      <c r="N133" s="11">
        <f t="shared" si="3"/>
        <v>6899699.6900000004</v>
      </c>
      <c r="O133" s="7" t="s">
        <v>40</v>
      </c>
      <c r="P133" s="7" t="s">
        <v>695</v>
      </c>
      <c r="Q133" s="11">
        <f>N133/4814</f>
        <v>1433.2571022019113</v>
      </c>
      <c r="R133" s="7" t="s">
        <v>42</v>
      </c>
      <c r="S133" s="15">
        <v>5783</v>
      </c>
      <c r="T133" s="7" t="s">
        <v>43</v>
      </c>
      <c r="U133" s="7" t="s">
        <v>44</v>
      </c>
      <c r="V133" s="13">
        <f>'[1]V, inciso p) (OP)'!AM82</f>
        <v>42657</v>
      </c>
      <c r="W133" s="13">
        <f>'[1]V, inciso p) (OP)'!AN82</f>
        <v>42776</v>
      </c>
      <c r="X133" s="7" t="s">
        <v>536</v>
      </c>
      <c r="Y133" s="7" t="s">
        <v>383</v>
      </c>
      <c r="Z133" s="7" t="s">
        <v>300</v>
      </c>
      <c r="AA133" s="7" t="s">
        <v>40</v>
      </c>
      <c r="AB133" s="7" t="s">
        <v>40</v>
      </c>
    </row>
    <row r="134" spans="1:28" ht="69.95" customHeight="1">
      <c r="A134" s="7">
        <v>2016</v>
      </c>
      <c r="B134" s="7" t="s">
        <v>30</v>
      </c>
      <c r="C134" s="7" t="str">
        <f>'[1]V, inciso p) (OP)'!D83</f>
        <v>DOPI-EST-FC-PAV-LP-121-2016</v>
      </c>
      <c r="D134" s="13">
        <f>'[1]V, inciso p) (OP)'!AD83</f>
        <v>42685</v>
      </c>
      <c r="E134" s="7" t="str">
        <f>'[1]V, inciso p) (OP)'!I83</f>
        <v>Primera etapa de reencarpetamiento y sustitución de losas de la Av. Nicolás Copérnico- Av. Ladrón de Guevara, de Av. Moctezuma a Av. Mariano Otero, Municipio de Zapopan, Jalisco.</v>
      </c>
      <c r="F134" s="7" t="s">
        <v>669</v>
      </c>
      <c r="G134" s="11">
        <f>'[1]V, inciso p) (OP)'!AG83</f>
        <v>4854770.4400000004</v>
      </c>
      <c r="H134" s="7" t="str">
        <f>'[1]V, inciso p) (OP)'!AS83</f>
        <v>Colonia Paseos del Sol</v>
      </c>
      <c r="I134" s="7" t="str">
        <f>'[1]V, inciso p) (OP)'!T83</f>
        <v>Mario</v>
      </c>
      <c r="J134" s="7" t="str">
        <f>'[1]V, inciso p) (OP)'!U83</f>
        <v>Beltrán</v>
      </c>
      <c r="K134" s="7" t="str">
        <f>'[1]V, inciso p) (OP)'!V83</f>
        <v>Rodríguez</v>
      </c>
      <c r="L134" s="7" t="str">
        <f>'[1]V, inciso p) (OP)'!W83</f>
        <v xml:space="preserve">Constructora y Desarrolladora Barba y Asociados, S. A. de C. V. </v>
      </c>
      <c r="M134" s="7" t="str">
        <f>'[1]V, inciso p) (OP)'!X83</f>
        <v>CDB0506068Z4</v>
      </c>
      <c r="N134" s="11">
        <f t="shared" si="3"/>
        <v>4854770.4400000004</v>
      </c>
      <c r="O134" s="7" t="s">
        <v>40</v>
      </c>
      <c r="P134" s="7" t="s">
        <v>696</v>
      </c>
      <c r="Q134" s="11">
        <f>N134/3015</f>
        <v>1610.2057844112771</v>
      </c>
      <c r="R134" s="7" t="s">
        <v>42</v>
      </c>
      <c r="S134" s="15">
        <v>22852</v>
      </c>
      <c r="T134" s="7" t="s">
        <v>43</v>
      </c>
      <c r="U134" s="7" t="s">
        <v>584</v>
      </c>
      <c r="V134" s="13">
        <f>'[1]V, inciso p) (OP)'!AM83</f>
        <v>42688</v>
      </c>
      <c r="W134" s="13">
        <f>'[1]V, inciso p) (OP)'!AN83</f>
        <v>42807</v>
      </c>
      <c r="X134" s="7" t="s">
        <v>671</v>
      </c>
      <c r="Y134" s="7" t="s">
        <v>334</v>
      </c>
      <c r="Z134" s="7" t="s">
        <v>133</v>
      </c>
      <c r="AA134" s="7" t="s">
        <v>40</v>
      </c>
      <c r="AB134" s="7" t="s">
        <v>40</v>
      </c>
    </row>
    <row r="135" spans="1:28" ht="69.95" customHeight="1">
      <c r="A135" s="7">
        <v>2016</v>
      </c>
      <c r="B135" s="7" t="s">
        <v>30</v>
      </c>
      <c r="C135" s="7" t="str">
        <f>'[1]V, inciso p) (OP)'!D84</f>
        <v>DOPI-EST-FC-PAV-LP-122-2016</v>
      </c>
      <c r="D135" s="13">
        <f>'[1]V, inciso p) (OP)'!AD84</f>
        <v>42685</v>
      </c>
      <c r="E135" s="7" t="str">
        <f>'[1]V, inciso p) (OP)'!I84</f>
        <v>Primera etapa de reencarpetamiento y sustitución de losas de Av. Valle de Atemajac, de Av. López Mateos a Sierra de Tapalpa, Municipio de Zapopan, Jalisco.</v>
      </c>
      <c r="F135" s="7" t="s">
        <v>669</v>
      </c>
      <c r="G135" s="11">
        <f>'[1]V, inciso p) (OP)'!AG84</f>
        <v>4741926.8099999996</v>
      </c>
      <c r="H135" s="7" t="str">
        <f>'[1]V, inciso p) (OP)'!AS84</f>
        <v>Colonia Las Aguilas</v>
      </c>
      <c r="I135" s="7" t="str">
        <f>'[1]V, inciso p) (OP)'!T84</f>
        <v>Mario</v>
      </c>
      <c r="J135" s="7" t="str">
        <f>'[1]V, inciso p) (OP)'!U84</f>
        <v>Beltrán</v>
      </c>
      <c r="K135" s="7" t="str">
        <f>'[1]V, inciso p) (OP)'!V84</f>
        <v>Rodríguez</v>
      </c>
      <c r="L135" s="7" t="str">
        <f>'[1]V, inciso p) (OP)'!W84</f>
        <v xml:space="preserve">Constructora y Desarrolladora Barba y Asociados, S. A. de C. V. </v>
      </c>
      <c r="M135" s="7" t="str">
        <f>'[1]V, inciso p) (OP)'!X84</f>
        <v>CDB0506068Z4</v>
      </c>
      <c r="N135" s="11">
        <f t="shared" si="3"/>
        <v>4741926.8099999996</v>
      </c>
      <c r="O135" s="7" t="s">
        <v>40</v>
      </c>
      <c r="P135" s="7" t="s">
        <v>697</v>
      </c>
      <c r="Q135" s="11">
        <f>N135/6069</f>
        <v>781.33577360355901</v>
      </c>
      <c r="R135" s="7" t="s">
        <v>42</v>
      </c>
      <c r="S135" s="15">
        <v>16486</v>
      </c>
      <c r="T135" s="7" t="s">
        <v>43</v>
      </c>
      <c r="U135" s="7" t="s">
        <v>584</v>
      </c>
      <c r="V135" s="13">
        <f>'[1]V, inciso p) (OP)'!AM84</f>
        <v>42688</v>
      </c>
      <c r="W135" s="13">
        <f>'[1]V, inciso p) (OP)'!AN84</f>
        <v>42807</v>
      </c>
      <c r="X135" s="7" t="s">
        <v>671</v>
      </c>
      <c r="Y135" s="7" t="s">
        <v>334</v>
      </c>
      <c r="Z135" s="7" t="s">
        <v>133</v>
      </c>
      <c r="AA135" s="7" t="s">
        <v>40</v>
      </c>
      <c r="AB135" s="7" t="s">
        <v>40</v>
      </c>
    </row>
    <row r="136" spans="1:28" ht="69.95" customHeight="1">
      <c r="A136" s="7">
        <v>2016</v>
      </c>
      <c r="B136" s="7" t="s">
        <v>30</v>
      </c>
      <c r="C136" s="7" t="str">
        <f>'[1]V, inciso p) (OP)'!D85</f>
        <v>DOPI-EST-FC-PAV-LP-123-2016</v>
      </c>
      <c r="D136" s="13">
        <f>'[1]V, inciso p) (OP)'!AD85</f>
        <v>42685</v>
      </c>
      <c r="E136" s="7" t="str">
        <f>'[1]V, inciso p) (OP)'!I85</f>
        <v>Construcción de nueva celda para la disposición de residuos, primera etapa, en el vertedero de basura Picachos, Municipio de Zapopan, Jalisco</v>
      </c>
      <c r="F136" s="7" t="s">
        <v>669</v>
      </c>
      <c r="G136" s="11">
        <f>'[1]V, inciso p) (OP)'!AG85</f>
        <v>5873571.75</v>
      </c>
      <c r="H136" s="7" t="str">
        <f>'[1]V, inciso p) (OP)'!AS85</f>
        <v>Relleno Sanitario de Picachos</v>
      </c>
      <c r="I136" s="7" t="str">
        <f>'[1]V, inciso p) (OP)'!T85</f>
        <v>Jesús David</v>
      </c>
      <c r="J136" s="7" t="str">
        <f>'[1]V, inciso p) (OP)'!U85</f>
        <v>Garza</v>
      </c>
      <c r="K136" s="7" t="str">
        <f>'[1]V, inciso p) (OP)'!V85</f>
        <v>Garcia</v>
      </c>
      <c r="L136" s="7" t="str">
        <f>'[1]V, inciso p) (OP)'!W85</f>
        <v>Construcciones  Electrificaciones y Arrendamiento de Maquinaria S.A. de C.V.</v>
      </c>
      <c r="M136" s="7" t="str">
        <f>'[1]V, inciso p) (OP)'!X85</f>
        <v>CEA010615GT0</v>
      </c>
      <c r="N136" s="11">
        <f t="shared" si="3"/>
        <v>5873571.75</v>
      </c>
      <c r="O136" s="7" t="s">
        <v>40</v>
      </c>
      <c r="P136" s="7" t="s">
        <v>698</v>
      </c>
      <c r="Q136" s="11">
        <f>N136/14859.03</f>
        <v>395.28635112789999</v>
      </c>
      <c r="R136" s="7" t="s">
        <v>42</v>
      </c>
      <c r="S136" s="15">
        <v>1243756</v>
      </c>
      <c r="T136" s="7" t="s">
        <v>43</v>
      </c>
      <c r="U136" s="7" t="s">
        <v>44</v>
      </c>
      <c r="V136" s="13">
        <f>'[1]V, inciso p) (OP)'!AM85</f>
        <v>42688</v>
      </c>
      <c r="W136" s="13">
        <f>'[1]V, inciso p) (OP)'!AN85</f>
        <v>42504</v>
      </c>
      <c r="X136" s="7" t="s">
        <v>699</v>
      </c>
      <c r="Y136" s="7" t="s">
        <v>513</v>
      </c>
      <c r="Z136" s="7" t="s">
        <v>280</v>
      </c>
      <c r="AA136" s="7" t="s">
        <v>40</v>
      </c>
      <c r="AB136" s="7" t="s">
        <v>40</v>
      </c>
    </row>
    <row r="137" spans="1:28" ht="69.95" customHeight="1">
      <c r="A137" s="7">
        <v>2016</v>
      </c>
      <c r="B137" s="7" t="s">
        <v>30</v>
      </c>
      <c r="C137" s="7" t="str">
        <f>'[1]V, inciso p) (OP)'!D86</f>
        <v>DOPI-MUN-PR-EP-LP-124-2016</v>
      </c>
      <c r="D137" s="13">
        <f>'[1]V, inciso p) (OP)'!AD86</f>
        <v>42685</v>
      </c>
      <c r="E137" s="7" t="str">
        <f>'[1]V, inciso p) (OP)'!I86</f>
        <v>Rehabilitación de instalaciones y construcción de Centro Comunitario dentro de la Unidad Deportiva del Polvorín, Municipio de Zapopan, Jalisco, frente 1.</v>
      </c>
      <c r="F137" s="7" t="s">
        <v>648</v>
      </c>
      <c r="G137" s="11">
        <f>'[1]V, inciso p) (OP)'!AG86</f>
        <v>8434117.6600000001</v>
      </c>
      <c r="H137" s="7" t="str">
        <f>'[1]V, inciso p) (OP)'!AS86</f>
        <v>Colonia Guadalajarita</v>
      </c>
      <c r="I137" s="7" t="str">
        <f>'[1]V, inciso p) (OP)'!T86</f>
        <v xml:space="preserve">Leobardo </v>
      </c>
      <c r="J137" s="7" t="str">
        <f>'[1]V, inciso p) (OP)'!U86</f>
        <v>Preciado</v>
      </c>
      <c r="K137" s="7" t="str">
        <f>'[1]V, inciso p) (OP)'!V86</f>
        <v>Zepeda</v>
      </c>
      <c r="L137" s="7" t="str">
        <f>'[1]V, inciso p) (OP)'!W86</f>
        <v>Consorcio Constructor Adobes, S. A. de C. V.</v>
      </c>
      <c r="M137" s="7" t="str">
        <f>'[1]V, inciso p) (OP)'!X86</f>
        <v>CCA971126QC9</v>
      </c>
      <c r="N137" s="11">
        <f t="shared" si="3"/>
        <v>8434117.6600000001</v>
      </c>
      <c r="O137" s="7" t="s">
        <v>40</v>
      </c>
      <c r="P137" s="7" t="s">
        <v>700</v>
      </c>
      <c r="Q137" s="11">
        <f>N137/816.76</f>
        <v>10326.310862432048</v>
      </c>
      <c r="R137" s="7" t="s">
        <v>42</v>
      </c>
      <c r="S137" s="15">
        <v>2184</v>
      </c>
      <c r="T137" s="7" t="s">
        <v>43</v>
      </c>
      <c r="U137" s="7" t="s">
        <v>584</v>
      </c>
      <c r="V137" s="13">
        <f>'[1]V, inciso p) (OP)'!AM86</f>
        <v>42688</v>
      </c>
      <c r="W137" s="13">
        <f>'[1]V, inciso p) (OP)'!AN86</f>
        <v>42763</v>
      </c>
      <c r="X137" s="7" t="s">
        <v>701</v>
      </c>
      <c r="Y137" s="7" t="s">
        <v>295</v>
      </c>
      <c r="Z137" s="7" t="s">
        <v>702</v>
      </c>
      <c r="AA137" s="7" t="s">
        <v>40</v>
      </c>
      <c r="AB137" s="7" t="s">
        <v>40</v>
      </c>
    </row>
    <row r="138" spans="1:28" ht="69.95" customHeight="1">
      <c r="A138" s="7">
        <v>2016</v>
      </c>
      <c r="B138" s="7" t="s">
        <v>30</v>
      </c>
      <c r="C138" s="7" t="str">
        <f>'[1]V, inciso p) (OP)'!D87</f>
        <v>DOPI-MUN-PR-EP-LP-125-2016</v>
      </c>
      <c r="D138" s="13">
        <f>'[1]V, inciso p) (OP)'!AD87</f>
        <v>42685</v>
      </c>
      <c r="E138" s="7" t="str">
        <f>'[1]V, inciso p) (OP)'!I87</f>
        <v>Rehabilitación de instalaciones y construcción de Centro Comunitario dentro de la Unidad Deportiva del Polvorín, Municipio de Zapopan, Jalisco, frente 2.</v>
      </c>
      <c r="F138" s="7" t="s">
        <v>648</v>
      </c>
      <c r="G138" s="11">
        <f>'[1]V, inciso p) (OP)'!AG87</f>
        <v>5098902.66</v>
      </c>
      <c r="H138" s="7" t="str">
        <f>'[1]V, inciso p) (OP)'!AS87</f>
        <v>Colonia Guadalajarita</v>
      </c>
      <c r="I138" s="7" t="str">
        <f>'[1]V, inciso p) (OP)'!T87</f>
        <v>Marco Antonio</v>
      </c>
      <c r="J138" s="7" t="str">
        <f>'[1]V, inciso p) (OP)'!U87</f>
        <v>Cortés</v>
      </c>
      <c r="K138" s="7" t="str">
        <f>'[1]V, inciso p) (OP)'!V87</f>
        <v>González</v>
      </c>
      <c r="L138" s="7" t="str">
        <f>'[1]V, inciso p) (OP)'!W87</f>
        <v>Grupo Taube de México, S.A. de C.V.</v>
      </c>
      <c r="M138" s="7" t="str">
        <f>'[1]V, inciso p) (OP)'!X87</f>
        <v>GTM050418384</v>
      </c>
      <c r="N138" s="11">
        <f t="shared" si="3"/>
        <v>5098902.66</v>
      </c>
      <c r="O138" s="7" t="s">
        <v>40</v>
      </c>
      <c r="P138" s="7" t="s">
        <v>703</v>
      </c>
      <c r="Q138" s="11">
        <f>N138/4876.75</f>
        <v>1045.5534238991131</v>
      </c>
      <c r="R138" s="7" t="s">
        <v>42</v>
      </c>
      <c r="S138" s="15">
        <v>2184</v>
      </c>
      <c r="T138" s="7" t="s">
        <v>43</v>
      </c>
      <c r="U138" s="7" t="s">
        <v>584</v>
      </c>
      <c r="V138" s="13">
        <f>'[1]V, inciso p) (OP)'!AM87</f>
        <v>42688</v>
      </c>
      <c r="W138" s="13">
        <f>'[1]V, inciso p) (OP)'!AN87</f>
        <v>42763</v>
      </c>
      <c r="X138" s="7" t="s">
        <v>701</v>
      </c>
      <c r="Y138" s="7" t="s">
        <v>295</v>
      </c>
      <c r="Z138" s="7" t="s">
        <v>702</v>
      </c>
      <c r="AA138" s="7" t="s">
        <v>40</v>
      </c>
      <c r="AB138" s="7" t="s">
        <v>40</v>
      </c>
    </row>
    <row r="139" spans="1:28" ht="69.95" customHeight="1">
      <c r="A139" s="7">
        <v>2016</v>
      </c>
      <c r="B139" s="7" t="s">
        <v>64</v>
      </c>
      <c r="C139" s="7" t="str">
        <f>'[1]V, inciso o) (OP)'!C58</f>
        <v>DOPI-MUN-RM-BAN-AD-126-2016</v>
      </c>
      <c r="D139" s="13">
        <f>'[1]V, inciso o) (OP)'!V58</f>
        <v>42559</v>
      </c>
      <c r="E139" s="7" t="str">
        <f>'[1]V, inciso o) (OP)'!AA58</f>
        <v>Peatonalización, construcción de banquetas, sustitución de guarniciones, bolardos, complemento de reencarpetado y sello tramo 1 de la Av. Pablo Neruda, municipio de Zapopan, Jalisco</v>
      </c>
      <c r="F139" s="7" t="s">
        <v>184</v>
      </c>
      <c r="G139" s="11">
        <f>'[1]V, inciso o) (OP)'!Y58</f>
        <v>1497870.11</v>
      </c>
      <c r="H139" s="7" t="s">
        <v>704</v>
      </c>
      <c r="I139" s="7" t="str">
        <f>'[1]V, inciso o) (OP)'!M58</f>
        <v>Guillermo</v>
      </c>
      <c r="J139" s="7" t="str">
        <f>'[1]V, inciso o) (OP)'!N58</f>
        <v>Lara</v>
      </c>
      <c r="K139" s="7" t="str">
        <f>'[1]V, inciso o) (OP)'!O58</f>
        <v>Vargas</v>
      </c>
      <c r="L139" s="7" t="str">
        <f>'[1]V, inciso o) (OP)'!P58</f>
        <v>Desarrolladora Glar, S.A. de C.V.</v>
      </c>
      <c r="M139" s="7" t="str">
        <f>'[1]V, inciso o) (OP)'!Q58</f>
        <v>DGL060620SUA</v>
      </c>
      <c r="N139" s="11">
        <f t="shared" si="2"/>
        <v>1497870.11</v>
      </c>
      <c r="O139" s="11">
        <v>1170755.7</v>
      </c>
      <c r="P139" s="7" t="s">
        <v>705</v>
      </c>
      <c r="Q139" s="11">
        <f>N139/1236</f>
        <v>1211.8690210355987</v>
      </c>
      <c r="R139" s="7" t="s">
        <v>42</v>
      </c>
      <c r="S139" s="15">
        <v>5427</v>
      </c>
      <c r="T139" s="7" t="s">
        <v>43</v>
      </c>
      <c r="U139" s="7" t="s">
        <v>44</v>
      </c>
      <c r="V139" s="13">
        <f>'[1]V, inciso o) (OP)'!AD58</f>
        <v>42562</v>
      </c>
      <c r="W139" s="13">
        <f>'[1]V, inciso o) (OP)'!AE58</f>
        <v>42598</v>
      </c>
      <c r="X139" s="7" t="s">
        <v>556</v>
      </c>
      <c r="Y139" s="7" t="s">
        <v>557</v>
      </c>
      <c r="Z139" s="7" t="s">
        <v>558</v>
      </c>
      <c r="AA139" s="7" t="s">
        <v>40</v>
      </c>
      <c r="AB139" s="7" t="s">
        <v>40</v>
      </c>
    </row>
    <row r="140" spans="1:28" ht="69.95" customHeight="1">
      <c r="A140" s="7">
        <v>2016</v>
      </c>
      <c r="B140" s="7" t="s">
        <v>64</v>
      </c>
      <c r="C140" s="7" t="str">
        <f>'[1]V, inciso o) (OP)'!C59</f>
        <v>DOPI-MUN-RM-PAV-AD-127-2016</v>
      </c>
      <c r="D140" s="13">
        <f>'[1]V, inciso o) (OP)'!V59</f>
        <v>42559</v>
      </c>
      <c r="E140" s="7" t="str">
        <f>'[1]V, inciso o) (OP)'!AA59</f>
        <v>Peatonalización, construcción de banquetas, sustitución de guarniciones, bolardos, complemento de reencarpetado y sello tramo 2 de la Av. Pablo Neruda, municipio de Zapopan, Jalisco</v>
      </c>
      <c r="F140" s="7" t="s">
        <v>184</v>
      </c>
      <c r="G140" s="11">
        <f>'[1]V, inciso o) (OP)'!Y59</f>
        <v>1439130.15</v>
      </c>
      <c r="H140" s="7" t="s">
        <v>704</v>
      </c>
      <c r="I140" s="7" t="str">
        <f>'[1]V, inciso o) (OP)'!M59</f>
        <v>David Eduardo</v>
      </c>
      <c r="J140" s="7" t="str">
        <f>'[1]V, inciso o) (OP)'!N59</f>
        <v>Lara</v>
      </c>
      <c r="K140" s="7" t="str">
        <f>'[1]V, inciso o) (OP)'!O59</f>
        <v>Ochoa</v>
      </c>
      <c r="L140" s="7" t="str">
        <f>'[1]V, inciso o) (OP)'!P59</f>
        <v xml:space="preserve">Construcciones ICU, S.A. de C.V. </v>
      </c>
      <c r="M140" s="7" t="str">
        <f>'[1]V, inciso o) (OP)'!Q59</f>
        <v>CIC080626ER2</v>
      </c>
      <c r="N140" s="11">
        <f t="shared" si="2"/>
        <v>1439130.15</v>
      </c>
      <c r="O140" s="7" t="s">
        <v>40</v>
      </c>
      <c r="P140" s="7" t="s">
        <v>706</v>
      </c>
      <c r="Q140" s="11">
        <f>N140/1224</f>
        <v>1175.7599264705882</v>
      </c>
      <c r="R140" s="7" t="s">
        <v>42</v>
      </c>
      <c r="S140" s="15">
        <v>5427</v>
      </c>
      <c r="T140" s="7" t="s">
        <v>43</v>
      </c>
      <c r="U140" s="7" t="s">
        <v>44</v>
      </c>
      <c r="V140" s="13">
        <f>'[1]V, inciso o) (OP)'!AD59</f>
        <v>42562</v>
      </c>
      <c r="W140" s="13">
        <f>'[1]V, inciso o) (OP)'!AE59</f>
        <v>42598</v>
      </c>
      <c r="X140" s="7" t="s">
        <v>556</v>
      </c>
      <c r="Y140" s="7" t="s">
        <v>557</v>
      </c>
      <c r="Z140" s="7" t="s">
        <v>558</v>
      </c>
      <c r="AA140" s="7" t="s">
        <v>40</v>
      </c>
      <c r="AB140" s="7" t="s">
        <v>40</v>
      </c>
    </row>
    <row r="141" spans="1:28" ht="69.95" customHeight="1">
      <c r="A141" s="7">
        <v>2016</v>
      </c>
      <c r="B141" s="7" t="s">
        <v>64</v>
      </c>
      <c r="C141" s="7" t="str">
        <f>'[1]V, inciso o) (OP)'!C60</f>
        <v>DOPI-MUN-RM-PAV-AD-128-2016</v>
      </c>
      <c r="D141" s="13">
        <f>'[1]V, inciso o) (OP)'!V60</f>
        <v>42566</v>
      </c>
      <c r="E141" s="7" t="str">
        <f>'[1]V, inciso o) (OP)'!AA60</f>
        <v>Construcción de banquetas, bolardos, sustitución de rejillas pluviales, rehabilitación de bocas de tormenta, aproches y arbolado en el tramo poniente de la Glorieta Venustiano Carranza en la colonia Constitución, municipio de Zapopan, Jalisco</v>
      </c>
      <c r="F141" s="7" t="s">
        <v>184</v>
      </c>
      <c r="G141" s="11">
        <f>'[1]V, inciso o) (OP)'!Y60</f>
        <v>1497520.4400000002</v>
      </c>
      <c r="H141" s="7" t="s">
        <v>707</v>
      </c>
      <c r="I141" s="7" t="str">
        <f>'[1]V, inciso o) (OP)'!M60</f>
        <v>Adalberto</v>
      </c>
      <c r="J141" s="7" t="str">
        <f>'[1]V, inciso o) (OP)'!N60</f>
        <v>Medina</v>
      </c>
      <c r="K141" s="7" t="str">
        <f>'[1]V, inciso o) (OP)'!O60</f>
        <v>Morales</v>
      </c>
      <c r="L141" s="7" t="str">
        <f>'[1]V, inciso o) (OP)'!P60</f>
        <v>Urdem, S.A. de C.V.</v>
      </c>
      <c r="M141" s="7" t="str">
        <f>'[1]V, inciso o) (OP)'!Q60</f>
        <v>URD130830U21</v>
      </c>
      <c r="N141" s="11">
        <f t="shared" si="2"/>
        <v>1497520.4400000002</v>
      </c>
      <c r="O141" s="7" t="s">
        <v>40</v>
      </c>
      <c r="P141" s="7" t="s">
        <v>708</v>
      </c>
      <c r="Q141" s="11">
        <f>N141/621</f>
        <v>2411.4660869565218</v>
      </c>
      <c r="R141" s="7" t="s">
        <v>42</v>
      </c>
      <c r="S141" s="15">
        <v>27515</v>
      </c>
      <c r="T141" s="7" t="s">
        <v>43</v>
      </c>
      <c r="U141" s="7" t="s">
        <v>44</v>
      </c>
      <c r="V141" s="13">
        <f>'[1]V, inciso o) (OP)'!AD60</f>
        <v>42569</v>
      </c>
      <c r="W141" s="13">
        <f>'[1]V, inciso o) (OP)'!AE60</f>
        <v>42613</v>
      </c>
      <c r="X141" s="7" t="s">
        <v>709</v>
      </c>
      <c r="Y141" s="7" t="s">
        <v>651</v>
      </c>
      <c r="Z141" s="7" t="s">
        <v>652</v>
      </c>
      <c r="AA141" s="7" t="s">
        <v>40</v>
      </c>
      <c r="AB141" s="7" t="s">
        <v>40</v>
      </c>
    </row>
    <row r="142" spans="1:28" ht="69.95" customHeight="1">
      <c r="A142" s="7">
        <v>2016</v>
      </c>
      <c r="B142" s="7" t="s">
        <v>64</v>
      </c>
      <c r="C142" s="7" t="str">
        <f>'[1]V, inciso o) (OP)'!C61</f>
        <v>DOPI-MUN-RM-PAV-AD-129-2016</v>
      </c>
      <c r="D142" s="13">
        <f>'[1]V, inciso o) (OP)'!V61</f>
        <v>42566</v>
      </c>
      <c r="E142" s="7" t="str">
        <f>'[1]V, inciso o) (OP)'!AA61</f>
        <v>Construcción de banquetas, bolardos, sustitución de rejillas pluviales, rehabilitación de bocas de tormenta, aproches y arbolado en el tramo oriente de la Glorieta Venustiano Carranza en la colonia Constitución, municipio de Zapopan, Jalisco</v>
      </c>
      <c r="F142" s="7" t="s">
        <v>184</v>
      </c>
      <c r="G142" s="11">
        <f>'[1]V, inciso o) (OP)'!Y61</f>
        <v>1499415.54</v>
      </c>
      <c r="H142" s="7" t="s">
        <v>707</v>
      </c>
      <c r="I142" s="7" t="str">
        <f>'[1]V, inciso o) (OP)'!M61</f>
        <v>Arturo Rafael</v>
      </c>
      <c r="J142" s="7" t="str">
        <f>'[1]V, inciso o) (OP)'!N61</f>
        <v>Salazar</v>
      </c>
      <c r="K142" s="7" t="str">
        <f>'[1]V, inciso o) (OP)'!O61</f>
        <v>Martín del Campo</v>
      </c>
      <c r="L142" s="7" t="str">
        <f>'[1]V, inciso o) (OP)'!P61</f>
        <v>Kalmani Constructora, S.A. de C.V.</v>
      </c>
      <c r="M142" s="7" t="str">
        <f>'[1]V, inciso o) (OP)'!Q61</f>
        <v>KCO030922UM6</v>
      </c>
      <c r="N142" s="11">
        <f t="shared" si="2"/>
        <v>1499415.54</v>
      </c>
      <c r="O142" s="7" t="s">
        <v>40</v>
      </c>
      <c r="P142" s="7" t="s">
        <v>710</v>
      </c>
      <c r="Q142" s="11">
        <f>N142/653</f>
        <v>2296.1953139356815</v>
      </c>
      <c r="R142" s="7" t="s">
        <v>42</v>
      </c>
      <c r="S142" s="15">
        <v>27515</v>
      </c>
      <c r="T142" s="7" t="s">
        <v>43</v>
      </c>
      <c r="U142" s="7" t="s">
        <v>44</v>
      </c>
      <c r="V142" s="13">
        <f>'[1]V, inciso o) (OP)'!AD61</f>
        <v>42569</v>
      </c>
      <c r="W142" s="13">
        <f>'[1]V, inciso o) (OP)'!AE61</f>
        <v>42613</v>
      </c>
      <c r="X142" s="7" t="s">
        <v>709</v>
      </c>
      <c r="Y142" s="7" t="s">
        <v>651</v>
      </c>
      <c r="Z142" s="7" t="s">
        <v>652</v>
      </c>
      <c r="AA142" s="7" t="s">
        <v>40</v>
      </c>
      <c r="AB142" s="7" t="s">
        <v>40</v>
      </c>
    </row>
    <row r="143" spans="1:28" ht="69.95" customHeight="1">
      <c r="A143" s="7">
        <v>2016</v>
      </c>
      <c r="B143" s="7" t="s">
        <v>64</v>
      </c>
      <c r="C143" s="7" t="str">
        <f>'[1]V, inciso o) (OP)'!C62</f>
        <v>DOPI-MUN-RM-PAV-AD-130-2016</v>
      </c>
      <c r="D143" s="13">
        <f>'[1]V, inciso o) (OP)'!V62</f>
        <v>42566</v>
      </c>
      <c r="E143" s="7" t="str">
        <f>'[1]V, inciso o) (OP)'!AA62</f>
        <v>Construcción de Motor Lobby con concreto hidráulico en la plazoleta, plazoleta de acceso, acceso a estacionamiento y colocación de arbolado en la Glorieta Venustiano Carranza colonia Constitución, municipio de Zapopan, Jalisco</v>
      </c>
      <c r="F143" s="7" t="s">
        <v>184</v>
      </c>
      <c r="G143" s="11">
        <f>'[1]V, inciso o) (OP)'!Y62</f>
        <v>1373625.4800000002</v>
      </c>
      <c r="H143" s="7" t="s">
        <v>707</v>
      </c>
      <c r="I143" s="7" t="str">
        <f>'[1]V, inciso o) (OP)'!M62</f>
        <v>Sergio Cesar</v>
      </c>
      <c r="J143" s="7" t="str">
        <f>'[1]V, inciso o) (OP)'!N62</f>
        <v>Díaz</v>
      </c>
      <c r="K143" s="7" t="str">
        <f>'[1]V, inciso o) (OP)'!O62</f>
        <v>Quiroz</v>
      </c>
      <c r="L143" s="7" t="str">
        <f>'[1]V, inciso o) (OP)'!P62</f>
        <v>Transcreto S.A. de C.V.</v>
      </c>
      <c r="M143" s="7" t="str">
        <f>'[1]V, inciso o) (OP)'!Q62</f>
        <v>TRA750528286</v>
      </c>
      <c r="N143" s="11">
        <f t="shared" si="2"/>
        <v>1373625.4800000002</v>
      </c>
      <c r="O143" s="7" t="s">
        <v>40</v>
      </c>
      <c r="P143" s="7" t="s">
        <v>711</v>
      </c>
      <c r="Q143" s="11">
        <f>N143/558</f>
        <v>2461.6944086021508</v>
      </c>
      <c r="R143" s="7" t="s">
        <v>42</v>
      </c>
      <c r="S143" s="15">
        <v>27515</v>
      </c>
      <c r="T143" s="7" t="s">
        <v>43</v>
      </c>
      <c r="U143" s="7" t="s">
        <v>44</v>
      </c>
      <c r="V143" s="13">
        <f>'[1]V, inciso o) (OP)'!AD62</f>
        <v>42569</v>
      </c>
      <c r="W143" s="13">
        <f>'[1]V, inciso o) (OP)'!AE62</f>
        <v>42613</v>
      </c>
      <c r="X143" s="7" t="s">
        <v>709</v>
      </c>
      <c r="Y143" s="7" t="s">
        <v>651</v>
      </c>
      <c r="Z143" s="7" t="s">
        <v>652</v>
      </c>
      <c r="AA143" s="7" t="s">
        <v>40</v>
      </c>
      <c r="AB143" s="7" t="s">
        <v>40</v>
      </c>
    </row>
    <row r="144" spans="1:28" ht="69.95" customHeight="1">
      <c r="A144" s="7">
        <v>2016</v>
      </c>
      <c r="B144" s="7" t="s">
        <v>64</v>
      </c>
      <c r="C144" s="7" t="str">
        <f>'[1]V, inciso o) (OP)'!C63</f>
        <v>DOPI-MUN-RM-PAV-AD-131-2016</v>
      </c>
      <c r="D144" s="13">
        <f>'[1]V, inciso o) (OP)'!V63</f>
        <v>42566</v>
      </c>
      <c r="E144" s="7"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44" s="7" t="s">
        <v>184</v>
      </c>
      <c r="G144" s="11">
        <f>'[1]V, inciso o) (OP)'!Y63</f>
        <v>1498232.17</v>
      </c>
      <c r="H144" s="7" t="s">
        <v>712</v>
      </c>
      <c r="I144" s="7" t="str">
        <f>'[1]V, inciso o) (OP)'!M63</f>
        <v>Aurora Lucia</v>
      </c>
      <c r="J144" s="7" t="str">
        <f>'[1]V, inciso o) (OP)'!N63</f>
        <v xml:space="preserve">Brenez </v>
      </c>
      <c r="K144" s="7" t="str">
        <f>'[1]V, inciso o) (OP)'!O63</f>
        <v>Garnica</v>
      </c>
      <c r="L144" s="7" t="str">
        <f>'[1]V, inciso o) (OP)'!P63</f>
        <v>Karol Urbanizaciones y Construcciones, S.A. de C.V.</v>
      </c>
      <c r="M144" s="7" t="str">
        <f>'[1]V, inciso o) (OP)'!Q63</f>
        <v>KUC070424344</v>
      </c>
      <c r="N144" s="11">
        <f t="shared" si="2"/>
        <v>1498232.17</v>
      </c>
      <c r="O144" s="7" t="s">
        <v>40</v>
      </c>
      <c r="P144" s="7" t="s">
        <v>713</v>
      </c>
      <c r="Q144" s="11">
        <f>N144/1844</f>
        <v>812.49033080260301</v>
      </c>
      <c r="R144" s="7" t="s">
        <v>42</v>
      </c>
      <c r="S144" s="15">
        <v>3426</v>
      </c>
      <c r="T144" s="7" t="s">
        <v>43</v>
      </c>
      <c r="U144" s="7" t="s">
        <v>44</v>
      </c>
      <c r="V144" s="13">
        <f>'[1]V, inciso o) (OP)'!AD63</f>
        <v>42569</v>
      </c>
      <c r="W144" s="13">
        <f>'[1]V, inciso o) (OP)'!AE63</f>
        <v>42628</v>
      </c>
      <c r="X144" s="7" t="s">
        <v>530</v>
      </c>
      <c r="Y144" s="7" t="s">
        <v>343</v>
      </c>
      <c r="Z144" s="7" t="s">
        <v>344</v>
      </c>
      <c r="AA144" s="9" t="s">
        <v>1290</v>
      </c>
      <c r="AB144" s="7" t="s">
        <v>40</v>
      </c>
    </row>
    <row r="145" spans="1:28" ht="69.95" customHeight="1">
      <c r="A145" s="7">
        <v>2016</v>
      </c>
      <c r="B145" s="7" t="s">
        <v>64</v>
      </c>
      <c r="C145" s="7" t="str">
        <f>'[1]V, inciso o) (OP)'!C64</f>
        <v>DOPI-MUN-RM-OC-AD-132-2016</v>
      </c>
      <c r="D145" s="13">
        <f>'[1]V, inciso o) (OP)'!V64</f>
        <v>42566</v>
      </c>
      <c r="E145" s="7" t="str">
        <f>'[1]V, inciso o) (OP)'!AA64</f>
        <v>Demolición de viviendas abandonadas, reforzamiento de taludes y adecuaciones sanitarias en la zona de inundación y canal de la Martinica, municipio de Zapopan Jalisco.</v>
      </c>
      <c r="F145" s="7" t="s">
        <v>184</v>
      </c>
      <c r="G145" s="11">
        <f>'[1]V, inciso o) (OP)'!Y64</f>
        <v>940138.27</v>
      </c>
      <c r="H145" s="7" t="s">
        <v>714</v>
      </c>
      <c r="I145" s="7" t="str">
        <f>'[1]V, inciso o) (OP)'!M64</f>
        <v>Alberto</v>
      </c>
      <c r="J145" s="7" t="str">
        <f>'[1]V, inciso o) (OP)'!N64</f>
        <v>Bañuelos</v>
      </c>
      <c r="K145" s="7" t="str">
        <f>'[1]V, inciso o) (OP)'!O64</f>
        <v>García</v>
      </c>
      <c r="L145" s="7" t="str">
        <f>'[1]V, inciso o) (OP)'!P64</f>
        <v>Grial Construcciones, S.A. de C.V.</v>
      </c>
      <c r="M145" s="7" t="str">
        <f>'[1]V, inciso o) (OP)'!Q64</f>
        <v>GCO100226SU6</v>
      </c>
      <c r="N145" s="11">
        <f t="shared" si="2"/>
        <v>940138.27</v>
      </c>
      <c r="O145" s="11">
        <v>882079.19</v>
      </c>
      <c r="P145" s="7" t="s">
        <v>715</v>
      </c>
      <c r="Q145" s="11">
        <f>N145/513</f>
        <v>1832.6282066276804</v>
      </c>
      <c r="R145" s="7" t="s">
        <v>42</v>
      </c>
      <c r="S145" s="15">
        <v>3459</v>
      </c>
      <c r="T145" s="7" t="s">
        <v>43</v>
      </c>
      <c r="U145" s="7" t="s">
        <v>44</v>
      </c>
      <c r="V145" s="13">
        <f>'[1]V, inciso o) (OP)'!AD64</f>
        <v>42569</v>
      </c>
      <c r="W145" s="13">
        <f>'[1]V, inciso o) (OP)'!AE64</f>
        <v>42598</v>
      </c>
      <c r="X145" s="7" t="s">
        <v>571</v>
      </c>
      <c r="Y145" s="7" t="s">
        <v>572</v>
      </c>
      <c r="Z145" s="7" t="s">
        <v>573</v>
      </c>
      <c r="AA145" s="7" t="s">
        <v>40</v>
      </c>
      <c r="AB145" s="7" t="s">
        <v>40</v>
      </c>
    </row>
    <row r="146" spans="1:28" ht="69.95" customHeight="1">
      <c r="A146" s="7">
        <v>2016</v>
      </c>
      <c r="B146" s="7" t="s">
        <v>64</v>
      </c>
      <c r="C146" s="7" t="str">
        <f>'[1]V, inciso o) (OP)'!C65</f>
        <v>DOPI-MUN-RM-OC-AD-133-2016</v>
      </c>
      <c r="D146" s="13">
        <f>'[1]V, inciso o) (OP)'!V65</f>
        <v>42566</v>
      </c>
      <c r="E146" s="7" t="str">
        <f>'[1]V, inciso o) (OP)'!AA65</f>
        <v>Rectificación, rehabilitación y desazolve del arroyo La Campana; Adecuaciones hidráulicas y pluviales en las colindancias del nodo vial Santa Esther y Periférico; y reconstrucción de banquetas en Avenida Central, municipio de Zapopan, Jalisco</v>
      </c>
      <c r="F146" s="7" t="s">
        <v>184</v>
      </c>
      <c r="G146" s="11">
        <f>'[1]V, inciso o) (OP)'!Y65</f>
        <v>1450005.23</v>
      </c>
      <c r="H146" s="7" t="s">
        <v>716</v>
      </c>
      <c r="I146" s="7" t="str">
        <f>'[1]V, inciso o) (OP)'!M65</f>
        <v>Hector Eugenio</v>
      </c>
      <c r="J146" s="7" t="str">
        <f>'[1]V, inciso o) (OP)'!N65</f>
        <v>De la Torre</v>
      </c>
      <c r="K146" s="7" t="str">
        <f>'[1]V, inciso o) (OP)'!O65</f>
        <v>Menchaca</v>
      </c>
      <c r="L146" s="7" t="str">
        <f>'[1]V, inciso o) (OP)'!P65</f>
        <v>Ingenieros De la Torre, S.A. de C.V.</v>
      </c>
      <c r="M146" s="7" t="str">
        <f>'[1]V, inciso o) (OP)'!Q65</f>
        <v>ITO951005HY5</v>
      </c>
      <c r="N146" s="11">
        <f t="shared" si="2"/>
        <v>1450005.23</v>
      </c>
      <c r="O146" s="7" t="s">
        <v>40</v>
      </c>
      <c r="P146" s="7" t="s">
        <v>717</v>
      </c>
      <c r="Q146" s="11">
        <f>N146/1302</f>
        <v>1113.675291858679</v>
      </c>
      <c r="R146" s="7" t="s">
        <v>42</v>
      </c>
      <c r="S146" s="15">
        <v>16342</v>
      </c>
      <c r="T146" s="7" t="s">
        <v>43</v>
      </c>
      <c r="U146" s="7" t="s">
        <v>44</v>
      </c>
      <c r="V146" s="13">
        <f>'[1]V, inciso o) (OP)'!AD65</f>
        <v>42569</v>
      </c>
      <c r="W146" s="13">
        <f>'[1]V, inciso o) (OP)'!AE65</f>
        <v>42614</v>
      </c>
      <c r="X146" s="7" t="s">
        <v>530</v>
      </c>
      <c r="Y146" s="7" t="s">
        <v>343</v>
      </c>
      <c r="Z146" s="7" t="s">
        <v>344</v>
      </c>
      <c r="AA146" s="7" t="s">
        <v>40</v>
      </c>
      <c r="AB146" s="7" t="s">
        <v>40</v>
      </c>
    </row>
    <row r="147" spans="1:28" ht="69.95" customHeight="1">
      <c r="A147" s="7">
        <v>2016</v>
      </c>
      <c r="B147" s="7" t="s">
        <v>64</v>
      </c>
      <c r="C147" s="7" t="str">
        <f>'[1]V, inciso o) (OP)'!C66</f>
        <v>DOPI-MUN-RM-OC-AD-134-2016</v>
      </c>
      <c r="D147" s="13">
        <f>'[1]V, inciso o) (OP)'!V66</f>
        <v>42578</v>
      </c>
      <c r="E147" s="7" t="str">
        <f>'[1]V, inciso o) (OP)'!AA66</f>
        <v>Construcción y reforzamiento de bordos primera etapa en el ejido de Santa Lucia, municipio de Zapopan, Jalisco.</v>
      </c>
      <c r="F147" s="7" t="s">
        <v>184</v>
      </c>
      <c r="G147" s="11">
        <f>'[1]V, inciso o) (OP)'!Y66</f>
        <v>1501235.7800000003</v>
      </c>
      <c r="H147" s="7" t="s">
        <v>718</v>
      </c>
      <c r="I147" s="7" t="str">
        <f>'[1]V, inciso o) (OP)'!M66</f>
        <v>Heliodoro Nicolás</v>
      </c>
      <c r="J147" s="7" t="str">
        <f>'[1]V, inciso o) (OP)'!N66</f>
        <v>Aceves</v>
      </c>
      <c r="K147" s="7" t="str">
        <f>'[1]V, inciso o) (OP)'!O66</f>
        <v>Orozco</v>
      </c>
      <c r="L147" s="7" t="str">
        <f>'[1]V, inciso o) (OP)'!P66</f>
        <v>Imaqsa, S.A. de C.V.</v>
      </c>
      <c r="M147" s="7" t="str">
        <f>'[1]V, inciso o) (OP)'!Q66</f>
        <v>IMA050204LA9</v>
      </c>
      <c r="N147" s="11">
        <f t="shared" si="2"/>
        <v>1501235.7800000003</v>
      </c>
      <c r="O147" s="7" t="s">
        <v>40</v>
      </c>
      <c r="P147" s="7" t="s">
        <v>719</v>
      </c>
      <c r="Q147" s="11">
        <f>N147/4468</f>
        <v>335.99726499552378</v>
      </c>
      <c r="R147" s="7" t="s">
        <v>42</v>
      </c>
      <c r="S147" s="15">
        <v>24253</v>
      </c>
      <c r="T147" s="7" t="s">
        <v>43</v>
      </c>
      <c r="U147" s="7" t="s">
        <v>44</v>
      </c>
      <c r="V147" s="13">
        <f>'[1]V, inciso o) (OP)'!AD66</f>
        <v>42579</v>
      </c>
      <c r="W147" s="13">
        <f>'[1]V, inciso o) (OP)'!AE66</f>
        <v>42698</v>
      </c>
      <c r="X147" s="7" t="s">
        <v>544</v>
      </c>
      <c r="Y147" s="7" t="s">
        <v>545</v>
      </c>
      <c r="Z147" s="7" t="s">
        <v>212</v>
      </c>
      <c r="AA147" s="7" t="s">
        <v>40</v>
      </c>
      <c r="AB147" s="7" t="s">
        <v>40</v>
      </c>
    </row>
    <row r="148" spans="1:28" ht="69.95" customHeight="1">
      <c r="A148" s="7">
        <v>2016</v>
      </c>
      <c r="B148" s="7" t="s">
        <v>64</v>
      </c>
      <c r="C148" s="7" t="str">
        <f>'[1]V, inciso o) (OP)'!C67</f>
        <v>DOPI-MUN-RM-EP-AD-135-2016</v>
      </c>
      <c r="D148" s="13">
        <f>'[1]V, inciso o) (OP)'!V67</f>
        <v>42587</v>
      </c>
      <c r="E148" s="7" t="str">
        <f>'[1]V, inciso o) (OP)'!AA67</f>
        <v>Obra complementaria en el parque El Polvorin II, municipio de Zapopan, Jalisco.</v>
      </c>
      <c r="F148" s="7" t="s">
        <v>184</v>
      </c>
      <c r="G148" s="11">
        <f>'[1]V, inciso o) (OP)'!Y67</f>
        <v>1494650.15</v>
      </c>
      <c r="H148" s="7" t="s">
        <v>289</v>
      </c>
      <c r="I148" s="7" t="str">
        <f>'[1]V, inciso o) (OP)'!M67</f>
        <v>Maria Eugenia</v>
      </c>
      <c r="J148" s="7" t="str">
        <f>'[1]V, inciso o) (OP)'!N67</f>
        <v>Cortés</v>
      </c>
      <c r="K148" s="7" t="str">
        <f>'[1]V, inciso o) (OP)'!O67</f>
        <v>González</v>
      </c>
      <c r="L148" s="7" t="str">
        <f>'[1]V, inciso o) (OP)'!P67</f>
        <v>Aspavi, S.A. de C.V.</v>
      </c>
      <c r="M148" s="7" t="str">
        <f>'[1]V, inciso o) (OP)'!Q67</f>
        <v>ASP100215RH9</v>
      </c>
      <c r="N148" s="11">
        <f>'[1]V, inciso o) (OP)'!Y67</f>
        <v>1494650.15</v>
      </c>
      <c r="O148" s="11">
        <v>1494649.1600000001</v>
      </c>
      <c r="P148" s="7" t="s">
        <v>294</v>
      </c>
      <c r="Q148" s="11">
        <f>N148/2546.52</f>
        <v>586.93831189230787</v>
      </c>
      <c r="R148" s="7" t="s">
        <v>42</v>
      </c>
      <c r="S148" s="15">
        <v>2614</v>
      </c>
      <c r="T148" s="7" t="s">
        <v>43</v>
      </c>
      <c r="U148" s="7" t="s">
        <v>44</v>
      </c>
      <c r="V148" s="13">
        <f>'[1]V, inciso o) (OP)'!AD67</f>
        <v>42591</v>
      </c>
      <c r="W148" s="13">
        <f>'[1]V, inciso o) (OP)'!AE67</f>
        <v>42613</v>
      </c>
      <c r="X148" s="7" t="s">
        <v>544</v>
      </c>
      <c r="Y148" s="7" t="s">
        <v>524</v>
      </c>
      <c r="Z148" s="7" t="s">
        <v>254</v>
      </c>
      <c r="AA148" s="7" t="s">
        <v>40</v>
      </c>
      <c r="AB148" s="7" t="s">
        <v>40</v>
      </c>
    </row>
    <row r="149" spans="1:28" ht="69.95" customHeight="1">
      <c r="A149" s="7">
        <v>2016</v>
      </c>
      <c r="B149" s="7" t="s">
        <v>64</v>
      </c>
      <c r="C149" s="7" t="str">
        <f>'[1]V, inciso o) (OP)'!C68</f>
        <v>DOPI-MUN-RM-PROY-AD-136-2016</v>
      </c>
      <c r="D149" s="13">
        <f>'[1]V, inciso o) (OP)'!V68</f>
        <v>42586</v>
      </c>
      <c r="E149" s="7" t="str">
        <f>'[1]V, inciso o) (OP)'!AA68</f>
        <v>Estudios de mecánica de suelos y diseño de pavimentos de diferentes obras 2016, segunda etapa, del municipio de Zapopan, Jalisco.</v>
      </c>
      <c r="F149" s="7" t="s">
        <v>184</v>
      </c>
      <c r="G149" s="11">
        <f>'[1]V, inciso o) (OP)'!Y68</f>
        <v>602435.48</v>
      </c>
      <c r="H149" s="7" t="s">
        <v>225</v>
      </c>
      <c r="I149" s="7" t="str">
        <f>'[1]V, inciso o) (OP)'!M68</f>
        <v>José Alejandro</v>
      </c>
      <c r="J149" s="7" t="str">
        <f>'[1]V, inciso o) (OP)'!N68</f>
        <v>Alva</v>
      </c>
      <c r="K149" s="7" t="str">
        <f>'[1]V, inciso o) (OP)'!O68</f>
        <v>Delgado</v>
      </c>
      <c r="L149" s="7" t="str">
        <f>'[1]V, inciso o) (OP)'!P68</f>
        <v>Servicios de Obras Civiles Serco, S.A. de C.V.</v>
      </c>
      <c r="M149" s="7" t="str">
        <f>'[1]V, inciso o) (OP)'!Q68</f>
        <v>SOC150806E69</v>
      </c>
      <c r="N149" s="11">
        <f>'[1]V, inciso o) (OP)'!Y68</f>
        <v>602435.48</v>
      </c>
      <c r="O149" s="7" t="s">
        <v>40</v>
      </c>
      <c r="P149" s="7" t="s">
        <v>231</v>
      </c>
      <c r="Q149" s="11" t="s">
        <v>231</v>
      </c>
      <c r="R149" s="7" t="s">
        <v>232</v>
      </c>
      <c r="S149" s="15" t="s">
        <v>232</v>
      </c>
      <c r="T149" s="7" t="s">
        <v>43</v>
      </c>
      <c r="U149" s="7" t="s">
        <v>44</v>
      </c>
      <c r="V149" s="13">
        <f>'[1]V, inciso o) (OP)'!AD68</f>
        <v>42591</v>
      </c>
      <c r="W149" s="13">
        <f>'[1]V, inciso o) (OP)'!AE68</f>
        <v>42735</v>
      </c>
      <c r="X149" s="7" t="s">
        <v>640</v>
      </c>
      <c r="Y149" s="7" t="s">
        <v>720</v>
      </c>
      <c r="Z149" s="7" t="s">
        <v>167</v>
      </c>
      <c r="AA149" s="9" t="s">
        <v>1291</v>
      </c>
      <c r="AB149" s="7" t="s">
        <v>40</v>
      </c>
    </row>
    <row r="150" spans="1:28" ht="69.95" customHeight="1">
      <c r="A150" s="7">
        <v>2016</v>
      </c>
      <c r="B150" s="7" t="s">
        <v>64</v>
      </c>
      <c r="C150" s="7" t="str">
        <f>'[1]V, inciso o) (OP)'!C69</f>
        <v>DOPI-MUN-RM-AP-AD-137-2016</v>
      </c>
      <c r="D150" s="13">
        <f>'[1]V, inciso o) (OP)'!V69</f>
        <v>42594</v>
      </c>
      <c r="E150" s="7" t="str">
        <f>'[1]V, inciso o) (OP)'!AA69</f>
        <v>Complemento de red de agua potable y tomas domiciliarias en la localidad de Milpillas, municipio de Zapopan, Jalisco</v>
      </c>
      <c r="F150" s="7" t="s">
        <v>184</v>
      </c>
      <c r="G150" s="11">
        <f>'[1]V, inciso o) (OP)'!Y69</f>
        <v>1435250.48</v>
      </c>
      <c r="H150" s="7" t="s">
        <v>721</v>
      </c>
      <c r="I150" s="7" t="str">
        <f>'[1]V, inciso o) (OP)'!M69</f>
        <v>Javier</v>
      </c>
      <c r="J150" s="7" t="str">
        <f>'[1]V, inciso o) (OP)'!N69</f>
        <v xml:space="preserve">Ávila </v>
      </c>
      <c r="K150" s="7" t="str">
        <f>'[1]V, inciso o) (OP)'!O69</f>
        <v>Flores</v>
      </c>
      <c r="L150" s="7" t="str">
        <f>'[1]V, inciso o) (OP)'!P69</f>
        <v>Savho Consultoría y Construcción, S.A. de C.V.</v>
      </c>
      <c r="M150" s="7" t="str">
        <f>'[1]V, inciso o) (OP)'!Q69</f>
        <v>SCC060622HZ3</v>
      </c>
      <c r="N150" s="11">
        <f>'[1]V, inciso o) (OP)'!Y69</f>
        <v>1435250.48</v>
      </c>
      <c r="O150" s="7" t="s">
        <v>40</v>
      </c>
      <c r="P150" s="7" t="s">
        <v>722</v>
      </c>
      <c r="Q150" s="11">
        <f>N150/1280</f>
        <v>1121.2894375000001</v>
      </c>
      <c r="R150" s="7" t="s">
        <v>42</v>
      </c>
      <c r="S150" s="15">
        <v>86</v>
      </c>
      <c r="T150" s="7" t="s">
        <v>43</v>
      </c>
      <c r="U150" s="7" t="s">
        <v>44</v>
      </c>
      <c r="V150" s="13">
        <f>'[1]V, inciso o) (OP)'!AD69</f>
        <v>42597</v>
      </c>
      <c r="W150" s="13">
        <f>'[1]V, inciso o) (OP)'!AE69</f>
        <v>42643</v>
      </c>
      <c r="X150" s="7" t="s">
        <v>723</v>
      </c>
      <c r="Y150" s="7" t="s">
        <v>724</v>
      </c>
      <c r="Z150" s="7" t="s">
        <v>145</v>
      </c>
      <c r="AA150" s="7" t="s">
        <v>40</v>
      </c>
      <c r="AB150" s="7" t="s">
        <v>40</v>
      </c>
    </row>
    <row r="151" spans="1:28" ht="69.95" customHeight="1">
      <c r="A151" s="7">
        <v>2016</v>
      </c>
      <c r="B151" s="7" t="s">
        <v>64</v>
      </c>
      <c r="C151" s="7" t="str">
        <f>'[1]V, inciso o) (OP)'!C70</f>
        <v>DOPI-MUN-RM-IM-AD-138-2016</v>
      </c>
      <c r="D151" s="13">
        <f>'[1]V, inciso o) (OP)'!V70</f>
        <v>42607</v>
      </c>
      <c r="E151" s="7" t="str">
        <f>'[1]V, inciso o) (OP)'!AA70</f>
        <v>Complemento de la construcción de muro oriente, rehabilitación de banquetas e instalación de malla ciclón en el Panteón Municipal ubicado en la localidad de Santa Ana Tepetitlán, municipio de Zapopan, Jalisco.</v>
      </c>
      <c r="F151" s="7" t="s">
        <v>184</v>
      </c>
      <c r="G151" s="11">
        <f>'[1]V, inciso o) (OP)'!Y70</f>
        <v>1308547.98</v>
      </c>
      <c r="H151" s="7" t="s">
        <v>436</v>
      </c>
      <c r="I151" s="7" t="str">
        <f>'[1]V, inciso o) (OP)'!M70</f>
        <v>Oscar Luis</v>
      </c>
      <c r="J151" s="7" t="str">
        <f>'[1]V, inciso o) (OP)'!N70</f>
        <v xml:space="preserve"> Chávez</v>
      </c>
      <c r="K151" s="7" t="str">
        <f>'[1]V, inciso o) (OP)'!O70</f>
        <v>González</v>
      </c>
      <c r="L151" s="7" t="str">
        <f>'[1]V, inciso o) (OP)'!P70</f>
        <v>Euro Trade, S.A. de C.V.</v>
      </c>
      <c r="M151" s="7" t="str">
        <f>'[1]V, inciso o) (OP)'!Q70</f>
        <v>ETR070417NS8</v>
      </c>
      <c r="N151" s="11">
        <f>'[1]V, inciso o) (OP)'!Y70</f>
        <v>1308547.98</v>
      </c>
      <c r="O151" s="7" t="s">
        <v>40</v>
      </c>
      <c r="P151" s="7" t="s">
        <v>725</v>
      </c>
      <c r="Q151" s="11">
        <f>N151/735</f>
        <v>1780.3373877551021</v>
      </c>
      <c r="R151" s="7" t="s">
        <v>42</v>
      </c>
      <c r="S151" s="15">
        <v>171759</v>
      </c>
      <c r="T151" s="7" t="s">
        <v>43</v>
      </c>
      <c r="U151" s="7" t="s">
        <v>44</v>
      </c>
      <c r="V151" s="13">
        <f>'[1]V, inciso o) (OP)'!AD70</f>
        <v>42611</v>
      </c>
      <c r="W151" s="13">
        <f>'[1]V, inciso o) (OP)'!AE70</f>
        <v>42655</v>
      </c>
      <c r="X151" s="7" t="s">
        <v>726</v>
      </c>
      <c r="Y151" s="7" t="s">
        <v>727</v>
      </c>
      <c r="Z151" s="7" t="s">
        <v>101</v>
      </c>
      <c r="AA151" s="7" t="s">
        <v>40</v>
      </c>
      <c r="AB151" s="7" t="s">
        <v>40</v>
      </c>
    </row>
    <row r="152" spans="1:28" ht="69.95" customHeight="1">
      <c r="A152" s="7">
        <v>2016</v>
      </c>
      <c r="B152" s="7" t="s">
        <v>64</v>
      </c>
      <c r="C152" s="7" t="str">
        <f>'[1]V, inciso o) (OP)'!C71</f>
        <v>DOPI-MUN-RM-IM-AD-139-2016</v>
      </c>
      <c r="D152" s="13">
        <f>'[1]V, inciso o) (OP)'!V71</f>
        <v>42607</v>
      </c>
      <c r="E152" s="7" t="str">
        <f>'[1]V, inciso o) (OP)'!AA71</f>
        <v>Construcción de muro, banquetas, instalación de malla ciclón en el Panteón municipal ubicado en Atemajac, municipio de Zapopan, Jalisco</v>
      </c>
      <c r="F152" s="7" t="s">
        <v>184</v>
      </c>
      <c r="G152" s="11">
        <f>'[1]V, inciso o) (OP)'!Y71</f>
        <v>1485649.36</v>
      </c>
      <c r="H152" s="7" t="s">
        <v>728</v>
      </c>
      <c r="I152" s="7" t="str">
        <f>'[1]V, inciso o) (OP)'!M71</f>
        <v>Víctor Eduardo</v>
      </c>
      <c r="J152" s="7" t="str">
        <f>'[1]V, inciso o) (OP)'!N71</f>
        <v>López</v>
      </c>
      <c r="K152" s="7" t="str">
        <f>'[1]V, inciso o) (OP)'!O71</f>
        <v>Carpio</v>
      </c>
      <c r="L152" s="7" t="str">
        <f>'[1]V, inciso o) (OP)'!P71</f>
        <v>CCR Ingenieros, S.A. de C.V.</v>
      </c>
      <c r="M152" s="7" t="str">
        <f>'[1]V, inciso o) (OP)'!Q71</f>
        <v>CIN101029PR5</v>
      </c>
      <c r="N152" s="11">
        <f>'[1]V, inciso o) (OP)'!Y71</f>
        <v>1485649.36</v>
      </c>
      <c r="O152" s="7" t="s">
        <v>40</v>
      </c>
      <c r="P152" s="7" t="s">
        <v>729</v>
      </c>
      <c r="Q152" s="11">
        <f>N152/244</f>
        <v>6088.7268852459019</v>
      </c>
      <c r="R152" s="7" t="s">
        <v>42</v>
      </c>
      <c r="S152" s="15">
        <v>194745</v>
      </c>
      <c r="T152" s="7" t="s">
        <v>43</v>
      </c>
      <c r="U152" s="7" t="s">
        <v>44</v>
      </c>
      <c r="V152" s="13">
        <f>'[1]V, inciso o) (OP)'!AD71</f>
        <v>42611</v>
      </c>
      <c r="W152" s="13">
        <f>'[1]V, inciso o) (OP)'!AE71</f>
        <v>42670</v>
      </c>
      <c r="X152" s="7" t="s">
        <v>544</v>
      </c>
      <c r="Y152" s="7" t="s">
        <v>524</v>
      </c>
      <c r="Z152" s="7" t="s">
        <v>254</v>
      </c>
      <c r="AA152" s="9" t="s">
        <v>1292</v>
      </c>
      <c r="AB152" s="7" t="s">
        <v>40</v>
      </c>
    </row>
    <row r="153" spans="1:28" ht="69.95" customHeight="1">
      <c r="A153" s="7">
        <v>2017</v>
      </c>
      <c r="B153" s="7" t="s">
        <v>30</v>
      </c>
      <c r="C153" s="7" t="str">
        <f>'[1]V, inciso p) (OP)'!D88</f>
        <v>DOPI-MUN-CISZ-RM-LP-140-2016</v>
      </c>
      <c r="D153" s="13">
        <f>'[1]V, inciso p) (OP)'!AD88</f>
        <v>42956</v>
      </c>
      <c r="E153" s="7" t="str">
        <f>'[1]V, inciso p) (OP)'!I88</f>
        <v>Estudios, proyecto ejecutivo, construcción, equipamiento del Centro Integral de Servicios del Municipio de Zapopan.</v>
      </c>
      <c r="F153" s="7" t="s">
        <v>730</v>
      </c>
      <c r="G153" s="11">
        <f>'[1]V, inciso p) (OP)'!AG88</f>
        <v>531279657.50999999</v>
      </c>
      <c r="H153" s="7" t="str">
        <f>'[1]V, inciso p) (OP)'!AS88</f>
        <v>Colonia Tepeyac</v>
      </c>
      <c r="I153" s="7" t="s">
        <v>731</v>
      </c>
      <c r="J153" s="7" t="s">
        <v>732</v>
      </c>
      <c r="K153" s="7" t="s">
        <v>733</v>
      </c>
      <c r="L153" s="7" t="str">
        <f>'[1]V, inciso p) (OP)'!W88</f>
        <v>Constructora San Sebastián, S.A. de C.V. en asociación en participación  con Desarrolladores Verde Vallarta, S.A. de C.V.</v>
      </c>
      <c r="M153" s="7" t="s">
        <v>734</v>
      </c>
      <c r="N153" s="11">
        <f>G153</f>
        <v>531279657.50999999</v>
      </c>
      <c r="O153" s="7" t="s">
        <v>40</v>
      </c>
      <c r="P153" s="7" t="s">
        <v>735</v>
      </c>
      <c r="Q153" s="11">
        <f>N153/19257</f>
        <v>27588.910916030534</v>
      </c>
      <c r="R153" s="7" t="s">
        <v>42</v>
      </c>
      <c r="S153" s="15">
        <v>1332272</v>
      </c>
      <c r="T153" s="7" t="s">
        <v>43</v>
      </c>
      <c r="U153" s="7" t="s">
        <v>584</v>
      </c>
      <c r="V153" s="13">
        <f>'[1]V, inciso p) (OP)'!AM88</f>
        <v>42957</v>
      </c>
      <c r="W153" s="13">
        <f>'[1]V, inciso p) (OP)'!AN88</f>
        <v>43326</v>
      </c>
      <c r="X153" s="7" t="s">
        <v>736</v>
      </c>
      <c r="Y153" s="7" t="s">
        <v>737</v>
      </c>
      <c r="Z153" s="7" t="s">
        <v>581</v>
      </c>
      <c r="AA153" s="7" t="s">
        <v>40</v>
      </c>
      <c r="AB153" s="7" t="s">
        <v>40</v>
      </c>
    </row>
    <row r="154" spans="1:28" ht="69.95" customHeight="1">
      <c r="A154" s="7">
        <v>2016</v>
      </c>
      <c r="B154" s="7" t="str">
        <f>'[1]V, inciso p) (OP)'!B89</f>
        <v>Licitación por Invitación Restringida</v>
      </c>
      <c r="C154" s="7" t="str">
        <f>'[1]V, inciso p) (OP)'!D89</f>
        <v>DOPI-MUN-CRM-AP-CI-141-2016</v>
      </c>
      <c r="D154" s="13">
        <f>'[1]V, inciso p) (OP)'!AD89</f>
        <v>42685</v>
      </c>
      <c r="E154" s="7" t="str">
        <f>'[1]V, inciso p) (OP)'!I89</f>
        <v>Construcción de linea de conducción de agua potable desde el pozo de La Soledad de Nextipac a la Colonia Fuentesillas, en la localidad de Nextipac; Construccuón de red de drenaje y descargas sanitarias en la Colonia Vinatera, municipio de Zapopan, Jalisco.</v>
      </c>
      <c r="F154" s="7" t="s">
        <v>184</v>
      </c>
      <c r="G154" s="11">
        <f>'[1]V, inciso p) (OP)'!AG89</f>
        <v>5289583.63</v>
      </c>
      <c r="H154" s="7" t="str">
        <f>'[1]V, inciso p) (OP)'!AS89</f>
        <v>Localidad de Nextipac</v>
      </c>
      <c r="I154" s="7" t="str">
        <f>'[1]V, inciso p) (OP)'!T89</f>
        <v>Claudio Felipe</v>
      </c>
      <c r="J154" s="7" t="str">
        <f>'[1]V, inciso p) (OP)'!U89</f>
        <v>Trujillo</v>
      </c>
      <c r="K154" s="7" t="str">
        <f>'[1]V, inciso p) (OP)'!V89</f>
        <v>Gracián</v>
      </c>
      <c r="L154" s="7" t="str">
        <f>'[1]V, inciso p) (OP)'!W89</f>
        <v>Desarrolladora Lumadi, S.A. de C.V.</v>
      </c>
      <c r="M154" s="7" t="str">
        <f>'[1]V, inciso p) (OP)'!X89</f>
        <v>DLU100818F46</v>
      </c>
      <c r="N154" s="11">
        <f>G154</f>
        <v>5289583.63</v>
      </c>
      <c r="O154" s="7" t="s">
        <v>40</v>
      </c>
      <c r="P154" s="7" t="s">
        <v>738</v>
      </c>
      <c r="Q154" s="11">
        <f>N154/3891</f>
        <v>1359.4406656386532</v>
      </c>
      <c r="R154" s="7" t="s">
        <v>42</v>
      </c>
      <c r="S154" s="15">
        <v>1482</v>
      </c>
      <c r="T154" s="7" t="s">
        <v>43</v>
      </c>
      <c r="U154" s="7" t="s">
        <v>44</v>
      </c>
      <c r="V154" s="13">
        <f>'[1]V, inciso p) (OP)'!AM89</f>
        <v>42688</v>
      </c>
      <c r="W154" s="13">
        <f>'[1]V, inciso p) (OP)'!AN89</f>
        <v>42728</v>
      </c>
      <c r="X154" s="7" t="s">
        <v>544</v>
      </c>
      <c r="Y154" s="7" t="s">
        <v>545</v>
      </c>
      <c r="Z154" s="7" t="s">
        <v>212</v>
      </c>
      <c r="AA154" s="7" t="s">
        <v>40</v>
      </c>
      <c r="AB154" s="7" t="s">
        <v>40</v>
      </c>
    </row>
    <row r="155" spans="1:28" ht="69.95" customHeight="1">
      <c r="A155" s="7">
        <v>2016</v>
      </c>
      <c r="B155" s="7" t="str">
        <f>'[1]V, inciso p) (OP)'!B90</f>
        <v>Licitación por Invitación Restringida</v>
      </c>
      <c r="C155" s="7" t="str">
        <f>'[1]V, inciso p) (OP)'!D90</f>
        <v>DOPI-MUN-CRM-AP-CI-142-2016</v>
      </c>
      <c r="D155" s="13">
        <f>'[1]V, inciso p) (OP)'!AD90</f>
        <v>42685</v>
      </c>
      <c r="E155" s="7" t="str">
        <f>'[1]V, inciso p) (OP)'!I90</f>
        <v>Perforación y Equipamiento de pozo profundo en la localidad de Milpillas Mesa de San Juan, municipio de Zapopan, Jalisco</v>
      </c>
      <c r="F155" s="7" t="s">
        <v>184</v>
      </c>
      <c r="G155" s="11">
        <f>'[1]V, inciso p) (OP)'!AG90</f>
        <v>5113699.54</v>
      </c>
      <c r="H155" s="7" t="str">
        <f>'[1]V, inciso p) (OP)'!AS90</f>
        <v>Localidad Milpillas</v>
      </c>
      <c r="I155" s="7" t="str">
        <f>'[1]V, inciso p) (OP)'!T90</f>
        <v>Víctor Saul</v>
      </c>
      <c r="J155" s="7" t="str">
        <f>'[1]V, inciso p) (OP)'!U90</f>
        <v>Ramos</v>
      </c>
      <c r="K155" s="7" t="str">
        <f>'[1]V, inciso p) (OP)'!V90</f>
        <v>Morales</v>
      </c>
      <c r="L155" s="7" t="str">
        <f>'[1]V, inciso p) (OP)'!W90</f>
        <v>Ramper Drilling, S.A. de C.V.</v>
      </c>
      <c r="M155" s="7" t="str">
        <f>'[1]V, inciso p) (OP)'!X90</f>
        <v>RDR100922131</v>
      </c>
      <c r="N155" s="11">
        <f t="shared" ref="N155:N171" si="4">G155</f>
        <v>5113699.54</v>
      </c>
      <c r="O155" s="7" t="s">
        <v>40</v>
      </c>
      <c r="P155" s="7" t="s">
        <v>739</v>
      </c>
      <c r="Q155" s="11">
        <f>N155/1</f>
        <v>5113699.54</v>
      </c>
      <c r="R155" s="7" t="s">
        <v>42</v>
      </c>
      <c r="S155" s="15">
        <v>105</v>
      </c>
      <c r="T155" s="7" t="s">
        <v>43</v>
      </c>
      <c r="U155" s="7" t="s">
        <v>584</v>
      </c>
      <c r="V155" s="13">
        <f>'[1]V, inciso p) (OP)'!AM90</f>
        <v>42688</v>
      </c>
      <c r="W155" s="13">
        <f>'[1]V, inciso p) (OP)'!AN90</f>
        <v>42759</v>
      </c>
      <c r="X155" s="7" t="s">
        <v>723</v>
      </c>
      <c r="Y155" s="7" t="s">
        <v>724</v>
      </c>
      <c r="Z155" s="7" t="s">
        <v>145</v>
      </c>
      <c r="AA155" s="7" t="s">
        <v>40</v>
      </c>
      <c r="AB155" s="7" t="s">
        <v>40</v>
      </c>
    </row>
    <row r="156" spans="1:28" ht="69.95" customHeight="1">
      <c r="A156" s="7">
        <v>2016</v>
      </c>
      <c r="B156" s="7" t="str">
        <f>'[1]V, inciso p) (OP)'!B91</f>
        <v>Licitación por Invitación Restringida</v>
      </c>
      <c r="C156" s="7" t="str">
        <f>'[1]V, inciso p) (OP)'!D91</f>
        <v>DOPI-MUN-CRM-AP-CI-143-2016</v>
      </c>
      <c r="D156" s="13">
        <f>'[1]V, inciso p) (OP)'!AD91</f>
        <v>42685</v>
      </c>
      <c r="E156" s="7" t="str">
        <f>'[1]V, inciso p) (OP)'!I91</f>
        <v>Perforación y equipamiento de pozo profundo en la localidad de Cerca Morada, municipio de Zapopan, Jalisco.</v>
      </c>
      <c r="F156" s="7" t="s">
        <v>184</v>
      </c>
      <c r="G156" s="11">
        <f>'[1]V, inciso p) (OP)'!AG91</f>
        <v>4937334.7300000004</v>
      </c>
      <c r="H156" s="7" t="str">
        <f>'[1]V, inciso p) (OP)'!AS91</f>
        <v>Localidad Cerca Morada</v>
      </c>
      <c r="I156" s="7" t="str">
        <f>'[1]V, inciso p) (OP)'!T91</f>
        <v>Antonio José Rodolfo</v>
      </c>
      <c r="J156" s="7" t="str">
        <f>'[1]V, inciso p) (OP)'!U91</f>
        <v>Corcuera</v>
      </c>
      <c r="K156" s="7" t="str">
        <f>'[1]V, inciso p) (OP)'!V91</f>
        <v>Garza Madero</v>
      </c>
      <c r="L156" s="7" t="str">
        <f>'[1]V, inciso p) (OP)'!W91</f>
        <v>Alcor de Occidente, S.A. de C.V.</v>
      </c>
      <c r="M156" s="7" t="str">
        <f>'[1]V, inciso p) (OP)'!X91</f>
        <v>AOC830810TG9</v>
      </c>
      <c r="N156" s="11">
        <f t="shared" si="4"/>
        <v>4937334.7300000004</v>
      </c>
      <c r="O156" s="7" t="s">
        <v>40</v>
      </c>
      <c r="P156" s="7" t="s">
        <v>739</v>
      </c>
      <c r="Q156" s="11">
        <f>N156</f>
        <v>4937334.7300000004</v>
      </c>
      <c r="R156" s="7" t="s">
        <v>42</v>
      </c>
      <c r="S156" s="15">
        <v>96</v>
      </c>
      <c r="T156" s="7" t="s">
        <v>43</v>
      </c>
      <c r="U156" s="7" t="s">
        <v>584</v>
      </c>
      <c r="V156" s="13">
        <f>'[1]V, inciso p) (OP)'!AM91</f>
        <v>42688</v>
      </c>
      <c r="W156" s="13">
        <f>'[1]V, inciso p) (OP)'!AN91</f>
        <v>42759</v>
      </c>
      <c r="X156" s="7" t="s">
        <v>544</v>
      </c>
      <c r="Y156" s="7" t="s">
        <v>545</v>
      </c>
      <c r="Z156" s="7" t="s">
        <v>212</v>
      </c>
      <c r="AA156" s="7" t="s">
        <v>40</v>
      </c>
      <c r="AB156" s="7" t="s">
        <v>40</v>
      </c>
    </row>
    <row r="157" spans="1:28" ht="69.95" customHeight="1">
      <c r="A157" s="7">
        <v>2016</v>
      </c>
      <c r="B157" s="7" t="str">
        <f>'[1]V, inciso p) (OP)'!B92</f>
        <v>Licitación por Invitación Restringida</v>
      </c>
      <c r="C157" s="7" t="str">
        <f>'[1]V, inciso p) (OP)'!D92</f>
        <v>DOPI-MUN-RM-IS-CI-144-2016</v>
      </c>
      <c r="D157" s="13">
        <f>'[1]V, inciso p) (OP)'!AD92</f>
        <v>42685</v>
      </c>
      <c r="E157" s="7" t="str">
        <f>'[1]V, inciso p) (OP)'!I92</f>
        <v>Rehabilitación del área de consultorios, urgencias,mortuario y acabados en general en la Cruz Verde Sur Las Aguilas, ubicada en Av. López Mateos y calle Cruz del Sur en la Colonia Las Aguilas, municipio de Zapopan, Jalisco.</v>
      </c>
      <c r="F157" s="7" t="s">
        <v>184</v>
      </c>
      <c r="G157" s="11">
        <f>'[1]V, inciso p) (OP)'!AG92</f>
        <v>3504992.46</v>
      </c>
      <c r="H157" s="7" t="str">
        <f>'[1]V, inciso p) (OP)'!AS92</f>
        <v>Colonia Las Aguilas</v>
      </c>
      <c r="I157" s="7" t="str">
        <f>'[1]V, inciso p) (OP)'!T92</f>
        <v>Marco Antonio</v>
      </c>
      <c r="J157" s="7" t="str">
        <f>'[1]V, inciso p) (OP)'!U92</f>
        <v>Cortés</v>
      </c>
      <c r="K157" s="7" t="str">
        <f>'[1]V, inciso p) (OP)'!V92</f>
        <v>González</v>
      </c>
      <c r="L157" s="7" t="str">
        <f>'[1]V, inciso p) (OP)'!W92</f>
        <v>Grupo Taube de México, S.A. de C.V.</v>
      </c>
      <c r="M157" s="7" t="str">
        <f>'[1]V, inciso p) (OP)'!X92</f>
        <v>GTM050418384</v>
      </c>
      <c r="N157" s="11">
        <f t="shared" si="4"/>
        <v>3504992.46</v>
      </c>
      <c r="O157" s="7" t="s">
        <v>40</v>
      </c>
      <c r="P157" s="7" t="s">
        <v>740</v>
      </c>
      <c r="Q157" s="11">
        <f>N157/382</f>
        <v>9175.3729319371723</v>
      </c>
      <c r="R157" s="7" t="s">
        <v>42</v>
      </c>
      <c r="S157" s="15">
        <v>280500</v>
      </c>
      <c r="T157" s="7" t="s">
        <v>43</v>
      </c>
      <c r="U157" s="7" t="s">
        <v>44</v>
      </c>
      <c r="V157" s="13">
        <f>'[1]V, inciso p) (OP)'!AM92</f>
        <v>42688</v>
      </c>
      <c r="W157" s="13">
        <f>'[1]V, inciso p) (OP)'!AN92</f>
        <v>42728</v>
      </c>
      <c r="X157" s="7" t="s">
        <v>741</v>
      </c>
      <c r="Y157" s="7" t="s">
        <v>742</v>
      </c>
      <c r="Z157" s="7" t="s">
        <v>743</v>
      </c>
      <c r="AA157" s="7" t="s">
        <v>40</v>
      </c>
      <c r="AB157" s="7" t="s">
        <v>40</v>
      </c>
    </row>
    <row r="158" spans="1:28" ht="69.95" customHeight="1">
      <c r="A158" s="7">
        <v>2016</v>
      </c>
      <c r="B158" s="7" t="str">
        <f>'[1]V, inciso p) (OP)'!B93</f>
        <v>Licitación por Invitación Restringida</v>
      </c>
      <c r="C158" s="7" t="str">
        <f>'[1]V, inciso p) (OP)'!D93</f>
        <v>DOPI-MUN-RM-AP-CI-145-2016</v>
      </c>
      <c r="D158" s="13">
        <f>'[1]V, inciso p) (OP)'!AD93</f>
        <v>42685</v>
      </c>
      <c r="E158" s="7" t="str">
        <f>'[1]V, inciso p) (OP)'!I93</f>
        <v>Sustitución de red de agua potable, drenaje sanitario y adecuaciones pluviales en la Avenida Juan Manuel Ruvalcaba en el tramo de la calle Río Amazonas y Pedro Moreno, localidad de Santa Lucia, municipio de Zapopan, Jalisco.</v>
      </c>
      <c r="F158" s="7" t="s">
        <v>184</v>
      </c>
      <c r="G158" s="11">
        <f>'[1]V, inciso p) (OP)'!AG93</f>
        <v>5120884.03</v>
      </c>
      <c r="H158" s="7" t="str">
        <f>'[1]V, inciso p) (OP)'!AS93</f>
        <v>Localidad de Santa Lucia</v>
      </c>
      <c r="I158" s="7" t="str">
        <f>'[1]V, inciso p) (OP)'!T93</f>
        <v>Mario</v>
      </c>
      <c r="J158" s="7" t="str">
        <f>'[1]V, inciso p) (OP)'!U93</f>
        <v>Beltrán</v>
      </c>
      <c r="K158" s="7" t="str">
        <f>'[1]V, inciso p) (OP)'!V93</f>
        <v>Rodríguez</v>
      </c>
      <c r="L158" s="7" t="str">
        <f>'[1]V, inciso p) (OP)'!W93</f>
        <v xml:space="preserve">Constructora y Desarrolladora Barba y Asociados, S. A. de C. V. </v>
      </c>
      <c r="M158" s="7" t="str">
        <f>'[1]V, inciso p) (OP)'!X93</f>
        <v>CDB0506068Z4</v>
      </c>
      <c r="N158" s="11">
        <f t="shared" si="4"/>
        <v>5120884.03</v>
      </c>
      <c r="O158" s="7" t="s">
        <v>40</v>
      </c>
      <c r="P158" s="7" t="s">
        <v>744</v>
      </c>
      <c r="Q158" s="11">
        <f>N158/1988</f>
        <v>2575.8973993963782</v>
      </c>
      <c r="R158" s="7" t="s">
        <v>42</v>
      </c>
      <c r="S158" s="15">
        <v>320</v>
      </c>
      <c r="T158" s="7" t="s">
        <v>43</v>
      </c>
      <c r="U158" s="7" t="s">
        <v>44</v>
      </c>
      <c r="V158" s="13">
        <f>'[1]V, inciso p) (OP)'!AM93</f>
        <v>42688</v>
      </c>
      <c r="W158" s="13">
        <f>'[1]V, inciso p) (OP)'!AN93</f>
        <v>42728</v>
      </c>
      <c r="X158" s="7" t="s">
        <v>544</v>
      </c>
      <c r="Y158" s="7" t="s">
        <v>545</v>
      </c>
      <c r="Z158" s="7" t="s">
        <v>212</v>
      </c>
      <c r="AA158" s="7" t="s">
        <v>40</v>
      </c>
      <c r="AB158" s="7" t="s">
        <v>40</v>
      </c>
    </row>
    <row r="159" spans="1:28" ht="69.95" customHeight="1">
      <c r="A159" s="7">
        <v>2016</v>
      </c>
      <c r="B159" s="7" t="str">
        <f>'[1]V, inciso p) (OP)'!B94</f>
        <v>Licitación por Invitación Restringida</v>
      </c>
      <c r="C159" s="7" t="str">
        <f>'[1]V, inciso p) (OP)'!D94</f>
        <v>DOPI-MUN-RM-IE-CI-146-2016</v>
      </c>
      <c r="D159" s="13">
        <f>'[1]V, inciso p) (OP)'!AD94</f>
        <v>42685</v>
      </c>
      <c r="E159" s="7" t="str">
        <f>'[1]V, inciso p) (OP)'!I94</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159" s="7" t="s">
        <v>184</v>
      </c>
      <c r="G159" s="11">
        <f>'[1]V, inciso p) (OP)'!AG94</f>
        <v>4839304.3099999996</v>
      </c>
      <c r="H159" s="7" t="str">
        <f>'[1]V, inciso p) (OP)'!AS94</f>
        <v>Colonia Centro, El Vigia, Santa Ana Tepetitlán, Jardines del Valle, Lomas de Tabachines, Paraisos del Colli y Vicente Guerrero</v>
      </c>
      <c r="I159" s="7" t="str">
        <f>'[1]V, inciso p) (OP)'!T94</f>
        <v>Gustavo</v>
      </c>
      <c r="J159" s="7" t="str">
        <f>'[1]V, inciso p) (OP)'!U94</f>
        <v>Durán</v>
      </c>
      <c r="K159" s="7" t="str">
        <f>'[1]V, inciso p) (OP)'!V94</f>
        <v>Jiménez</v>
      </c>
      <c r="L159" s="7" t="str">
        <f>'[1]V, inciso p) (OP)'!W94</f>
        <v>Durán Jiménez Arquitectos y Asociados, S.A. de C.V.</v>
      </c>
      <c r="M159" s="7" t="str">
        <f>'[1]V, inciso p) (OP)'!X94</f>
        <v>DJA9405184G7</v>
      </c>
      <c r="N159" s="11">
        <f t="shared" si="4"/>
        <v>4839304.3099999996</v>
      </c>
      <c r="O159" s="7" t="s">
        <v>40</v>
      </c>
      <c r="P159" s="7" t="s">
        <v>745</v>
      </c>
      <c r="Q159" s="11">
        <f>N159/3597</f>
        <v>1345.3723408395883</v>
      </c>
      <c r="R159" s="7" t="s">
        <v>42</v>
      </c>
      <c r="S159" s="15">
        <v>965</v>
      </c>
      <c r="T159" s="7" t="s">
        <v>43</v>
      </c>
      <c r="U159" s="7" t="s">
        <v>44</v>
      </c>
      <c r="V159" s="13">
        <f>'[1]V, inciso p) (OP)'!AM94</f>
        <v>42688</v>
      </c>
      <c r="W159" s="13">
        <f>'[1]V, inciso p) (OP)'!AN94</f>
        <v>42728</v>
      </c>
      <c r="X159" s="7" t="s">
        <v>668</v>
      </c>
      <c r="Y159" s="7" t="s">
        <v>476</v>
      </c>
      <c r="Z159" s="7" t="s">
        <v>89</v>
      </c>
      <c r="AA159" s="7" t="s">
        <v>40</v>
      </c>
      <c r="AB159" s="7" t="s">
        <v>40</v>
      </c>
    </row>
    <row r="160" spans="1:28" ht="69.95" customHeight="1">
      <c r="A160" s="7">
        <v>2016</v>
      </c>
      <c r="B160" s="7" t="str">
        <f>'[1]V, inciso p) (OP)'!B95</f>
        <v>Licitación por Invitación Restringida</v>
      </c>
      <c r="C160" s="7" t="str">
        <f>'[1]V, inciso p) (OP)'!D95</f>
        <v>DOPI-MUN-RM-AP-CI-147-2016</v>
      </c>
      <c r="D160" s="13">
        <f>'[1]V, inciso p) (OP)'!AD95</f>
        <v>42685</v>
      </c>
      <c r="E160" s="7" t="str">
        <f>'[1]V, inciso p) (OP)'!I95</f>
        <v>Perforación y equipamiento de pozo en el ejido de Copalita.</v>
      </c>
      <c r="F160" s="7" t="s">
        <v>184</v>
      </c>
      <c r="G160" s="11">
        <f>'[1]V, inciso p) (OP)'!AG95</f>
        <v>5204600.13</v>
      </c>
      <c r="H160" s="7" t="str">
        <f>'[1]V, inciso p) (OP)'!AS95</f>
        <v>Ejido Copalita</v>
      </c>
      <c r="I160" s="7" t="str">
        <f>'[1]V, inciso p) (OP)'!T95</f>
        <v>Karla Mariana</v>
      </c>
      <c r="J160" s="7" t="str">
        <f>'[1]V, inciso p) (OP)'!U95</f>
        <v>Méndez</v>
      </c>
      <c r="K160" s="7" t="str">
        <f>'[1]V, inciso p) (OP)'!V95</f>
        <v>Rodríguez</v>
      </c>
      <c r="L160" s="7" t="str">
        <f>'[1]V, inciso p) (OP)'!W95</f>
        <v>Grupo la Fuente, S.A. de C.V.</v>
      </c>
      <c r="M160" s="7" t="str">
        <f>'[1]V, inciso p) (OP)'!X95</f>
        <v>GFU021009BC1</v>
      </c>
      <c r="N160" s="11">
        <f t="shared" si="4"/>
        <v>5204600.13</v>
      </c>
      <c r="O160" s="7" t="s">
        <v>40</v>
      </c>
      <c r="P160" s="7" t="s">
        <v>746</v>
      </c>
      <c r="Q160" s="11">
        <f>N160/300</f>
        <v>17348.667099999999</v>
      </c>
      <c r="R160" s="7" t="s">
        <v>42</v>
      </c>
      <c r="S160" s="15">
        <v>88</v>
      </c>
      <c r="T160" s="7" t="s">
        <v>43</v>
      </c>
      <c r="U160" s="7" t="s">
        <v>584</v>
      </c>
      <c r="V160" s="13">
        <f>'[1]V, inciso p) (OP)'!AM95</f>
        <v>42688</v>
      </c>
      <c r="W160" s="13">
        <f>'[1]V, inciso p) (OP)'!AN95</f>
        <v>42759</v>
      </c>
      <c r="X160" s="7" t="s">
        <v>723</v>
      </c>
      <c r="Y160" s="7" t="s">
        <v>724</v>
      </c>
      <c r="Z160" s="7" t="s">
        <v>145</v>
      </c>
      <c r="AA160" s="7" t="s">
        <v>40</v>
      </c>
      <c r="AB160" s="7" t="s">
        <v>40</v>
      </c>
    </row>
    <row r="161" spans="1:28" ht="69.95" customHeight="1">
      <c r="A161" s="7">
        <v>2016</v>
      </c>
      <c r="B161" s="7" t="str">
        <f>'[1]V, inciso p) (OP)'!B96</f>
        <v>Licitación por Invitación Restringida</v>
      </c>
      <c r="C161" s="7" t="str">
        <f>'[1]V, inciso p) (OP)'!D96</f>
        <v>DOPI-MUN-R33-ELE-CI-148-2016</v>
      </c>
      <c r="D161" s="13">
        <f>'[1]V, inciso p) (OP)'!AD96</f>
        <v>42685</v>
      </c>
      <c r="E161" s="7" t="str">
        <f>'[1]V, inciso p) (OP)'!I96</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161" s="7" t="s">
        <v>747</v>
      </c>
      <c r="G161" s="11">
        <f>'[1]V, inciso p) (OP)'!AG96</f>
        <v>4251366.43</v>
      </c>
      <c r="H161" s="7" t="str">
        <f>'[1]V, inciso p) (OP)'!AS96</f>
        <v>Varias colonias del Municipio</v>
      </c>
      <c r="I161" s="7" t="str">
        <f>'[1]V, inciso p) (OP)'!T96</f>
        <v>Héctor Alejandro</v>
      </c>
      <c r="J161" s="7" t="str">
        <f>'[1]V, inciso p) (OP)'!U96</f>
        <v>Ortega</v>
      </c>
      <c r="K161" s="7" t="str">
        <f>'[1]V, inciso p) (OP)'!V96</f>
        <v>Rosales</v>
      </c>
      <c r="L161" s="7" t="str">
        <f>'[1]V, inciso p) (OP)'!W96</f>
        <v xml:space="preserve">IME Servicios y Suministros, S. A. de C. V. </v>
      </c>
      <c r="M161" s="7" t="str">
        <f>'[1]V, inciso p) (OP)'!X96</f>
        <v>ISS920330811</v>
      </c>
      <c r="N161" s="11">
        <f t="shared" si="4"/>
        <v>4251366.43</v>
      </c>
      <c r="O161" s="7" t="s">
        <v>40</v>
      </c>
      <c r="P161" s="7" t="s">
        <v>748</v>
      </c>
      <c r="Q161" s="11">
        <f>N161/1150</f>
        <v>3696.8403739130431</v>
      </c>
      <c r="R161" s="7" t="s">
        <v>42</v>
      </c>
      <c r="S161" s="15">
        <v>906</v>
      </c>
      <c r="T161" s="7" t="s">
        <v>43</v>
      </c>
      <c r="U161" s="7" t="s">
        <v>584</v>
      </c>
      <c r="V161" s="13">
        <f>'[1]V, inciso p) (OP)'!AM96</f>
        <v>42688</v>
      </c>
      <c r="W161" s="13">
        <f>'[1]V, inciso p) (OP)'!AN96</f>
        <v>42728</v>
      </c>
      <c r="X161" s="7" t="s">
        <v>640</v>
      </c>
      <c r="Y161" s="7" t="s">
        <v>496</v>
      </c>
      <c r="Z161" s="7" t="s">
        <v>749</v>
      </c>
      <c r="AA161" s="7" t="s">
        <v>40</v>
      </c>
      <c r="AB161" s="7" t="s">
        <v>40</v>
      </c>
    </row>
    <row r="162" spans="1:28" ht="69.95" customHeight="1">
      <c r="A162" s="7">
        <v>2016</v>
      </c>
      <c r="B162" s="7" t="str">
        <f>'[1]V, inciso p) (OP)'!B97</f>
        <v>Licitación por Invitación Restringida</v>
      </c>
      <c r="C162" s="7" t="str">
        <f>'[1]V, inciso p) (OP)'!D97</f>
        <v>DOPI-MUN-R33-AP-CI-149-2016</v>
      </c>
      <c r="D162" s="13">
        <f>'[1]V, inciso p) (OP)'!AD97</f>
        <v>42727</v>
      </c>
      <c r="E162" s="7" t="str">
        <f>'[1]V, inciso p) (OP)'!I97</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162" s="7" t="s">
        <v>747</v>
      </c>
      <c r="G162" s="11">
        <f>'[1]V, inciso p) (OP)'!AG97</f>
        <v>4456704.66</v>
      </c>
      <c r="H162" s="7" t="str">
        <f>'[1]V, inciso p) (OP)'!AS97</f>
        <v>Colonia Mesa Colorada Oriente y colonia Mesa de los Ocotes</v>
      </c>
      <c r="I162" s="7" t="str">
        <f>'[1]V, inciso p) (OP)'!T97</f>
        <v>Eduardo</v>
      </c>
      <c r="J162" s="7" t="str">
        <f>'[1]V, inciso p) (OP)'!U97</f>
        <v>Romero</v>
      </c>
      <c r="K162" s="7" t="str">
        <f>'[1]V, inciso p) (OP)'!V97</f>
        <v>Lugo</v>
      </c>
      <c r="L162" s="7" t="str">
        <f>'[1]V, inciso p) (OP)'!W97</f>
        <v>RS Obras y Servicios, S.A. de C.V.</v>
      </c>
      <c r="M162" s="7" t="str">
        <f>'[1]V, inciso p) (OP)'!X97</f>
        <v>ROS120904PV9</v>
      </c>
      <c r="N162" s="11">
        <f t="shared" si="4"/>
        <v>4456704.66</v>
      </c>
      <c r="O162" s="7" t="s">
        <v>40</v>
      </c>
      <c r="P162" s="7" t="s">
        <v>750</v>
      </c>
      <c r="Q162" s="11">
        <f>N162/1349.88</f>
        <v>3301.5561827718016</v>
      </c>
      <c r="R162" s="7" t="s">
        <v>42</v>
      </c>
      <c r="S162" s="15">
        <v>302</v>
      </c>
      <c r="T162" s="7" t="s">
        <v>43</v>
      </c>
      <c r="U162" s="7" t="s">
        <v>584</v>
      </c>
      <c r="V162" s="13">
        <f>'[1]V, inciso p) (OP)'!AM97</f>
        <v>42730</v>
      </c>
      <c r="W162" s="13">
        <f>'[1]V, inciso p) (OP)'!AN97</f>
        <v>42831</v>
      </c>
      <c r="X162" s="7" t="s">
        <v>681</v>
      </c>
      <c r="Y162" s="7" t="s">
        <v>682</v>
      </c>
      <c r="Z162" s="7" t="s">
        <v>683</v>
      </c>
      <c r="AA162" s="7" t="s">
        <v>40</v>
      </c>
      <c r="AB162" s="7" t="s">
        <v>40</v>
      </c>
    </row>
    <row r="163" spans="1:28" ht="69.95" customHeight="1">
      <c r="A163" s="7">
        <v>2016</v>
      </c>
      <c r="B163" s="7" t="str">
        <f>'[1]V, inciso p) (OP)'!B98</f>
        <v>Licitación por Invitación Restringida</v>
      </c>
      <c r="C163" s="7" t="str">
        <f>'[1]V, inciso p) (OP)'!D98</f>
        <v>DOPI-MUN-RM-PAV-CI-150-2016</v>
      </c>
      <c r="D163" s="13">
        <f>'[1]V, inciso p) (OP)'!AD98</f>
        <v>42685</v>
      </c>
      <c r="E163" s="7"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163" s="7" t="s">
        <v>184</v>
      </c>
      <c r="G163" s="11">
        <f>'[1]V, inciso p) (OP)'!AG98</f>
        <v>4960902.49</v>
      </c>
      <c r="H163" s="7" t="str">
        <f>'[1]V, inciso p) (OP)'!AS98</f>
        <v>San Juan de Ocotán</v>
      </c>
      <c r="I163" s="7" t="str">
        <f>'[1]V, inciso p) (OP)'!T98</f>
        <v>David Eduardo</v>
      </c>
      <c r="J163" s="7" t="str">
        <f>'[1]V, inciso p) (OP)'!U98</f>
        <v>Lara</v>
      </c>
      <c r="K163" s="7" t="str">
        <f>'[1]V, inciso p) (OP)'!V98</f>
        <v>Ochoa</v>
      </c>
      <c r="L163" s="7" t="str">
        <f>'[1]V, inciso p) (OP)'!W98</f>
        <v xml:space="preserve">Construcciones ICU, S.A. de C.V. </v>
      </c>
      <c r="M163" s="7" t="str">
        <f>'[1]V, inciso p) (OP)'!X98</f>
        <v>CIC080626ER2</v>
      </c>
      <c r="N163" s="11">
        <f t="shared" si="4"/>
        <v>4960902.49</v>
      </c>
      <c r="O163" s="11">
        <v>4480983.33</v>
      </c>
      <c r="P163" s="7" t="s">
        <v>751</v>
      </c>
      <c r="Q163" s="11">
        <f>N163/7500</f>
        <v>661.45366533333333</v>
      </c>
      <c r="R163" s="7" t="s">
        <v>42</v>
      </c>
      <c r="S163" s="15">
        <v>35640</v>
      </c>
      <c r="T163" s="7" t="s">
        <v>43</v>
      </c>
      <c r="U163" s="7" t="s">
        <v>44</v>
      </c>
      <c r="V163" s="13">
        <f>'[1]V, inciso p) (OP)'!AM98</f>
        <v>42688</v>
      </c>
      <c r="W163" s="13">
        <f>'[1]V, inciso p) (OP)'!AN98</f>
        <v>42728</v>
      </c>
      <c r="X163" s="7" t="s">
        <v>586</v>
      </c>
      <c r="Y163" s="7" t="s">
        <v>404</v>
      </c>
      <c r="Z163" s="7" t="s">
        <v>405</v>
      </c>
      <c r="AA163" s="7" t="s">
        <v>40</v>
      </c>
      <c r="AB163" s="7" t="s">
        <v>40</v>
      </c>
    </row>
    <row r="164" spans="1:28" ht="69.95" customHeight="1">
      <c r="A164" s="7">
        <v>2016</v>
      </c>
      <c r="B164" s="7" t="str">
        <f>'[1]V, inciso p) (OP)'!B99</f>
        <v>Licitación por Invitación Restringida</v>
      </c>
      <c r="C164" s="7" t="str">
        <f>'[1]V, inciso p) (OP)'!D99</f>
        <v>DOPI-MUN-RM-PAV-CI-151-2016</v>
      </c>
      <c r="D164" s="13">
        <f>'[1]V, inciso p) (OP)'!AD99</f>
        <v>42685</v>
      </c>
      <c r="E164" s="7"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164" s="7" t="s">
        <v>184</v>
      </c>
      <c r="G164" s="11">
        <f>'[1]V, inciso p) (OP)'!AG99</f>
        <v>4130342.71</v>
      </c>
      <c r="H164" s="7" t="str">
        <f>'[1]V, inciso p) (OP)'!AS99</f>
        <v>San Juan de Ocotán</v>
      </c>
      <c r="I164" s="7" t="str">
        <f>'[1]V, inciso p) (OP)'!T99</f>
        <v>Luis Armando</v>
      </c>
      <c r="J164" s="7" t="str">
        <f>'[1]V, inciso p) (OP)'!U99</f>
        <v>Linares</v>
      </c>
      <c r="K164" s="7" t="str">
        <f>'[1]V, inciso p) (OP)'!V99</f>
        <v>Cacho</v>
      </c>
      <c r="L164" s="7" t="str">
        <f>'[1]V, inciso p) (OP)'!W99</f>
        <v>Urbanizadora y Constructora Roal, S.A. de C.V.</v>
      </c>
      <c r="M164" s="7" t="str">
        <f>'[1]V, inciso p) (OP)'!X99</f>
        <v>URC160310857</v>
      </c>
      <c r="N164" s="11">
        <f t="shared" si="4"/>
        <v>4130342.71</v>
      </c>
      <c r="O164" s="11">
        <v>4130342.71</v>
      </c>
      <c r="P164" s="7" t="s">
        <v>752</v>
      </c>
      <c r="Q164" s="11">
        <f>N164/3201</f>
        <v>1290.3288691034052</v>
      </c>
      <c r="R164" s="7" t="s">
        <v>42</v>
      </c>
      <c r="S164" s="15">
        <v>35640</v>
      </c>
      <c r="T164" s="7" t="s">
        <v>43</v>
      </c>
      <c r="U164" s="7" t="s">
        <v>44</v>
      </c>
      <c r="V164" s="13">
        <f>'[1]V, inciso p) (OP)'!AM99</f>
        <v>42688</v>
      </c>
      <c r="W164" s="13">
        <f>'[1]V, inciso p) (OP)'!AN99</f>
        <v>42728</v>
      </c>
      <c r="X164" s="7" t="s">
        <v>586</v>
      </c>
      <c r="Y164" s="7" t="s">
        <v>404</v>
      </c>
      <c r="Z164" s="7" t="s">
        <v>405</v>
      </c>
      <c r="AA164" s="9" t="s">
        <v>1293</v>
      </c>
      <c r="AB164" s="7" t="s">
        <v>40</v>
      </c>
    </row>
    <row r="165" spans="1:28" ht="69.95" customHeight="1">
      <c r="A165" s="7">
        <v>2016</v>
      </c>
      <c r="B165" s="7" t="str">
        <f>'[1]V, inciso p) (OP)'!B100</f>
        <v>Licitación por Invitación Restringida</v>
      </c>
      <c r="C165" s="7" t="str">
        <f>'[1]V, inciso p) (OP)'!D100</f>
        <v>DOPI-MUN-RM-PAV-CI-152-2016</v>
      </c>
      <c r="D165" s="13">
        <f>'[1]V, inciso p) (OP)'!AD100</f>
        <v>42685</v>
      </c>
      <c r="E165" s="7" t="str">
        <f>'[1]V, inciso p) (OP)'!I100</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165" s="7" t="s">
        <v>184</v>
      </c>
      <c r="G165" s="11">
        <f>'[1]V, inciso p) (OP)'!AG100</f>
        <v>5069996.18</v>
      </c>
      <c r="H165" s="7" t="str">
        <f>'[1]V, inciso p) (OP)'!AS100</f>
        <v>San Juan de Ocotán</v>
      </c>
      <c r="I165" s="7" t="str">
        <f>'[1]V, inciso p) (OP)'!T100</f>
        <v>Carlos Ignacio</v>
      </c>
      <c r="J165" s="7" t="str">
        <f>'[1]V, inciso p) (OP)'!U100</f>
        <v>Curiel</v>
      </c>
      <c r="K165" s="7" t="str">
        <f>'[1]V, inciso p) (OP)'!V100</f>
        <v>Dueñas</v>
      </c>
      <c r="L165" s="7" t="str">
        <f>'[1]V, inciso p) (OP)'!W100</f>
        <v>Constructora Cecuchi, S.A. de C.V.</v>
      </c>
      <c r="M165" s="7" t="str">
        <f>'[1]V, inciso p) (OP)'!X100</f>
        <v>CCE130723IR7</v>
      </c>
      <c r="N165" s="11">
        <f t="shared" si="4"/>
        <v>5069996.18</v>
      </c>
      <c r="O165" s="7" t="s">
        <v>40</v>
      </c>
      <c r="P165" s="7" t="s">
        <v>753</v>
      </c>
      <c r="Q165" s="11">
        <f>N165/16033</f>
        <v>316.2225522360132</v>
      </c>
      <c r="R165" s="7" t="s">
        <v>42</v>
      </c>
      <c r="S165" s="15">
        <v>4226</v>
      </c>
      <c r="T165" s="7" t="s">
        <v>43</v>
      </c>
      <c r="U165" s="7" t="s">
        <v>44</v>
      </c>
      <c r="V165" s="13">
        <f>'[1]V, inciso p) (OP)'!AM100</f>
        <v>42688</v>
      </c>
      <c r="W165" s="13">
        <f>'[1]V, inciso p) (OP)'!AN100</f>
        <v>42728</v>
      </c>
      <c r="X165" s="7" t="s">
        <v>586</v>
      </c>
      <c r="Y165" s="7" t="s">
        <v>404</v>
      </c>
      <c r="Z165" s="7" t="s">
        <v>405</v>
      </c>
      <c r="AA165" s="9" t="s">
        <v>1294</v>
      </c>
      <c r="AB165" s="7" t="s">
        <v>40</v>
      </c>
    </row>
    <row r="166" spans="1:28" ht="69.95" customHeight="1">
      <c r="A166" s="7">
        <v>2016</v>
      </c>
      <c r="B166" s="7" t="str">
        <f>'[1]V, inciso p) (OP)'!B101</f>
        <v>Licitación por Invitación Restringida</v>
      </c>
      <c r="C166" s="7" t="str">
        <f>'[1]V, inciso p) (OP)'!D101</f>
        <v>DOPI-MUN-RM-PAV-CI-153-2016</v>
      </c>
      <c r="D166" s="13">
        <f>'[1]V, inciso p) (OP)'!AD101</f>
        <v>42685</v>
      </c>
      <c r="E166" s="7" t="str">
        <f>'[1]V, inciso p) (OP)'!I101</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166" s="7" t="s">
        <v>184</v>
      </c>
      <c r="G166" s="11">
        <f>'[1]V, inciso p) (OP)'!AG101</f>
        <v>7253719.3200000003</v>
      </c>
      <c r="H166" s="7" t="str">
        <f>'[1]V, inciso p) (OP)'!AS101</f>
        <v>Localidad de Tesistán</v>
      </c>
      <c r="I166" s="7" t="str">
        <f>'[1]V, inciso p) (OP)'!T101</f>
        <v xml:space="preserve"> Martha </v>
      </c>
      <c r="J166" s="7" t="str">
        <f>'[1]V, inciso p) (OP)'!U101</f>
        <v>Jiménez</v>
      </c>
      <c r="K166" s="7" t="str">
        <f>'[1]V, inciso p) (OP)'!V101</f>
        <v>López</v>
      </c>
      <c r="L166" s="7" t="str">
        <f>'[1]V, inciso p) (OP)'!W101</f>
        <v>Inmobiliaria Bochum S. de R.L. de C.V.</v>
      </c>
      <c r="M166" s="7" t="str">
        <f>'[1]V, inciso p) (OP)'!X101</f>
        <v>IBO090918ET9</v>
      </c>
      <c r="N166" s="11">
        <f t="shared" si="4"/>
        <v>7253719.3200000003</v>
      </c>
      <c r="O166" s="7" t="s">
        <v>40</v>
      </c>
      <c r="P166" s="7" t="s">
        <v>754</v>
      </c>
      <c r="Q166" s="11">
        <f>N166/3682</f>
        <v>1970.0487017925041</v>
      </c>
      <c r="R166" s="7" t="s">
        <v>42</v>
      </c>
      <c r="S166" s="15">
        <v>125</v>
      </c>
      <c r="T166" s="7" t="s">
        <v>43</v>
      </c>
      <c r="U166" s="7" t="s">
        <v>44</v>
      </c>
      <c r="V166" s="13">
        <f>'[1]V, inciso p) (OP)'!AM101</f>
        <v>42688</v>
      </c>
      <c r="W166" s="13">
        <f>'[1]V, inciso p) (OP)'!AN101</f>
        <v>42728</v>
      </c>
      <c r="X166" s="7" t="s">
        <v>544</v>
      </c>
      <c r="Y166" s="7" t="s">
        <v>545</v>
      </c>
      <c r="Z166" s="7" t="s">
        <v>212</v>
      </c>
      <c r="AA166" s="7" t="s">
        <v>40</v>
      </c>
      <c r="AB166" s="7" t="s">
        <v>40</v>
      </c>
    </row>
    <row r="167" spans="1:28" ht="69.95" customHeight="1">
      <c r="A167" s="7">
        <v>2016</v>
      </c>
      <c r="B167" s="7" t="str">
        <f>'[1]V, inciso p) (OP)'!B102</f>
        <v>Licitación por Invitación Restringida</v>
      </c>
      <c r="C167" s="7" t="str">
        <f>'[1]V, inciso p) (OP)'!D102</f>
        <v>DOPI-MUN-RM-PAV-CI-154-2016</v>
      </c>
      <c r="D167" s="13">
        <f>'[1]V, inciso p) (OP)'!AD102</f>
        <v>42685</v>
      </c>
      <c r="E167" s="7" t="str">
        <f>'[1]V, inciso p) (OP)'!I102</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167" s="7" t="s">
        <v>184</v>
      </c>
      <c r="G167" s="11">
        <f>'[1]V, inciso p) (OP)'!AG102</f>
        <v>3382310.92</v>
      </c>
      <c r="H167" s="7" t="str">
        <f>'[1]V, inciso p) (OP)'!AS102</f>
        <v>Colonia La Calma</v>
      </c>
      <c r="I167" s="7" t="str">
        <f>'[1]V, inciso p) (OP)'!T102</f>
        <v>Carlos</v>
      </c>
      <c r="J167" s="7" t="str">
        <f>'[1]V, inciso p) (OP)'!U102</f>
        <v>Pérez</v>
      </c>
      <c r="K167" s="7" t="str">
        <f>'[1]V, inciso p) (OP)'!V102</f>
        <v>Cruz</v>
      </c>
      <c r="L167" s="7" t="str">
        <f>'[1]V, inciso p) (OP)'!W102</f>
        <v>Constructora Pecru, S.A. de C.V.</v>
      </c>
      <c r="M167" s="7" t="str">
        <f>'[1]V, inciso p) (OP)'!X102</f>
        <v>CPE070123PD4</v>
      </c>
      <c r="N167" s="11">
        <f t="shared" si="4"/>
        <v>3382310.92</v>
      </c>
      <c r="O167" s="7" t="s">
        <v>40</v>
      </c>
      <c r="P167" s="7" t="s">
        <v>755</v>
      </c>
      <c r="Q167" s="11">
        <f>N167/1598</f>
        <v>2116.5900625782228</v>
      </c>
      <c r="R167" s="7" t="s">
        <v>42</v>
      </c>
      <c r="S167" s="15">
        <v>266</v>
      </c>
      <c r="T167" s="7" t="s">
        <v>43</v>
      </c>
      <c r="U167" s="7" t="s">
        <v>44</v>
      </c>
      <c r="V167" s="13">
        <f>'[1]V, inciso p) (OP)'!AM102</f>
        <v>42688</v>
      </c>
      <c r="W167" s="13">
        <f>'[1]V, inciso p) (OP)'!AN102</f>
        <v>42728</v>
      </c>
      <c r="X167" s="7" t="s">
        <v>671</v>
      </c>
      <c r="Y167" s="7" t="s">
        <v>334</v>
      </c>
      <c r="Z167" s="7" t="s">
        <v>133</v>
      </c>
      <c r="AA167" s="9" t="s">
        <v>1295</v>
      </c>
      <c r="AB167" s="7" t="s">
        <v>40</v>
      </c>
    </row>
    <row r="168" spans="1:28" ht="69.95" customHeight="1">
      <c r="A168" s="7">
        <v>2016</v>
      </c>
      <c r="B168" s="7" t="str">
        <f>'[1]V, inciso p) (OP)'!B103</f>
        <v>Licitación por Invitación Restringida</v>
      </c>
      <c r="C168" s="7" t="str">
        <f>'[1]V, inciso p) (OP)'!D103</f>
        <v>DOPI-MUN-RM-PAV-CI-155-2016</v>
      </c>
      <c r="D168" s="13">
        <f>'[1]V, inciso p) (OP)'!AD103</f>
        <v>42685</v>
      </c>
      <c r="E168" s="7" t="str">
        <f>'[1]V, inciso p) (OP)'!I103</f>
        <v>Construcción de empedrado tradicional y huellas de rodamiento de concreto hidráulico MR-42, cunetas, guarniciones, banquetas, señalamiento vertical y horizontal en el camino al Arenero, municipio de Zapopan, Jalisco.</v>
      </c>
      <c r="F168" s="7" t="s">
        <v>184</v>
      </c>
      <c r="G168" s="11">
        <f>'[1]V, inciso p) (OP)'!AG103</f>
        <v>7468157.6799999997</v>
      </c>
      <c r="H168" s="7" t="str">
        <f>'[1]V, inciso p) (OP)'!AS103</f>
        <v>Colonia Bajío</v>
      </c>
      <c r="I168" s="7" t="str">
        <f>'[1]V, inciso p) (OP)'!T103</f>
        <v>Arturo</v>
      </c>
      <c r="J168" s="7" t="str">
        <f>'[1]V, inciso p) (OP)'!U103</f>
        <v>Rangel</v>
      </c>
      <c r="K168" s="7" t="str">
        <f>'[1]V, inciso p) (OP)'!V103</f>
        <v>Paez</v>
      </c>
      <c r="L168" s="7" t="str">
        <f>'[1]V, inciso p) (OP)'!W103</f>
        <v>Constructora Lasa, S.A. de C.V.</v>
      </c>
      <c r="M168" s="7" t="str">
        <f>'[1]V, inciso p) (OP)'!X103</f>
        <v>CLA890925ER5</v>
      </c>
      <c r="N168" s="11">
        <f t="shared" si="4"/>
        <v>7468157.6799999997</v>
      </c>
      <c r="O168" s="7" t="s">
        <v>40</v>
      </c>
      <c r="P168" s="7" t="s">
        <v>756</v>
      </c>
      <c r="Q168" s="11">
        <f>N168/6512</f>
        <v>1146.8301105651105</v>
      </c>
      <c r="R168" s="7" t="s">
        <v>42</v>
      </c>
      <c r="S168" s="15">
        <v>1224</v>
      </c>
      <c r="T168" s="7" t="s">
        <v>43</v>
      </c>
      <c r="U168" s="7" t="s">
        <v>44</v>
      </c>
      <c r="V168" s="13">
        <f>'[1]V, inciso p) (OP)'!AM103</f>
        <v>42688</v>
      </c>
      <c r="W168" s="13">
        <f>'[1]V, inciso p) (OP)'!AN103</f>
        <v>42728</v>
      </c>
      <c r="X168" s="7" t="s">
        <v>530</v>
      </c>
      <c r="Y168" s="7" t="s">
        <v>343</v>
      </c>
      <c r="Z168" s="7" t="s">
        <v>344</v>
      </c>
      <c r="AA168" s="7" t="s">
        <v>40</v>
      </c>
      <c r="AB168" s="7" t="s">
        <v>40</v>
      </c>
    </row>
    <row r="169" spans="1:28" ht="69.95" customHeight="1">
      <c r="A169" s="7">
        <v>2016</v>
      </c>
      <c r="B169" s="7" t="str">
        <f>'[1]V, inciso p) (OP)'!B104</f>
        <v>Licitación por Invitación Restringida</v>
      </c>
      <c r="C169" s="7" t="str">
        <f>'[1]V, inciso p) (OP)'!D104</f>
        <v>DOPI-MUN-RM-IE-CI-156-2016</v>
      </c>
      <c r="D169" s="13">
        <f>'[1]V, inciso p) (OP)'!AD104</f>
        <v>42685</v>
      </c>
      <c r="E169" s="7" t="str">
        <f>'[1]V, inciso p) (OP)'!I104</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169" s="7" t="s">
        <v>184</v>
      </c>
      <c r="G169" s="11">
        <f>'[1]V, inciso p) (OP)'!AG104</f>
        <v>4189228.4</v>
      </c>
      <c r="H169" s="7" t="str">
        <f>'[1]V, inciso p) (OP)'!AS104</f>
        <v>Varias colonias del Municipio</v>
      </c>
      <c r="I169" s="7" t="str">
        <f>'[1]V, inciso p) (OP)'!T104</f>
        <v>Eduardo</v>
      </c>
      <c r="J169" s="7" t="str">
        <f>'[1]V, inciso p) (OP)'!U104</f>
        <v>Cruz</v>
      </c>
      <c r="K169" s="7" t="str">
        <f>'[1]V, inciso p) (OP)'!V104</f>
        <v>Moguel</v>
      </c>
      <c r="L169" s="7" t="str">
        <f>'[1]V, inciso p) (OP)'!W104</f>
        <v>Balken, S.A. de C.V.</v>
      </c>
      <c r="M169" s="7" t="str">
        <f>'[1]V, inciso p) (OP)'!X104</f>
        <v>BAL990803661</v>
      </c>
      <c r="N169" s="11">
        <f t="shared" si="4"/>
        <v>4189228.4</v>
      </c>
      <c r="O169" s="7" t="s">
        <v>40</v>
      </c>
      <c r="P169" s="7" t="s">
        <v>757</v>
      </c>
      <c r="Q169" s="11">
        <f>N169/3208</f>
        <v>1305.8692019950124</v>
      </c>
      <c r="R169" s="7" t="s">
        <v>42</v>
      </c>
      <c r="S169" s="15">
        <v>2831</v>
      </c>
      <c r="T169" s="7" t="s">
        <v>43</v>
      </c>
      <c r="U169" s="7" t="s">
        <v>44</v>
      </c>
      <c r="V169" s="13">
        <f>'[1]V, inciso p) (OP)'!AM104</f>
        <v>42688</v>
      </c>
      <c r="W169" s="13">
        <f>'[1]V, inciso p) (OP)'!AN104</f>
        <v>42728</v>
      </c>
      <c r="X169" s="7" t="s">
        <v>701</v>
      </c>
      <c r="Y169" s="7" t="s">
        <v>295</v>
      </c>
      <c r="Z169" s="7" t="s">
        <v>702</v>
      </c>
      <c r="AA169" s="7" t="s">
        <v>40</v>
      </c>
      <c r="AB169" s="7" t="s">
        <v>40</v>
      </c>
    </row>
    <row r="170" spans="1:28" ht="69.95" customHeight="1">
      <c r="A170" s="7">
        <v>2016</v>
      </c>
      <c r="B170" s="7" t="str">
        <f>'[1]V, inciso p) (OP)'!B105</f>
        <v>Licitación por Invitación Restringida</v>
      </c>
      <c r="C170" s="7" t="str">
        <f>'[1]V, inciso p) (OP)'!D105</f>
        <v>DOPI-MUN-RM-IE-CI-157-2016</v>
      </c>
      <c r="D170" s="13">
        <f>'[1]V, inciso p) (OP)'!AD105</f>
        <v>42685</v>
      </c>
      <c r="E170" s="7" t="str">
        <f>'[1]V, inciso p) (OP)'!I105</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170" s="7" t="s">
        <v>184</v>
      </c>
      <c r="G170" s="11">
        <f>'[1]V, inciso p) (OP)'!AG105</f>
        <v>3269771.91</v>
      </c>
      <c r="H170" s="7" t="str">
        <f>'[1]V, inciso p) (OP)'!AS105</f>
        <v>Varias colonias del Municipio</v>
      </c>
      <c r="I170" s="7" t="str">
        <f>'[1]V, inciso p) (OP)'!T105</f>
        <v>Vicente</v>
      </c>
      <c r="J170" s="7" t="str">
        <f>'[1]V, inciso p) (OP)'!U105</f>
        <v>Mendoza</v>
      </c>
      <c r="K170" s="7" t="str">
        <f>'[1]V, inciso p) (OP)'!V105</f>
        <v>Lamas</v>
      </c>
      <c r="L170" s="7" t="str">
        <f>'[1]V, inciso p) (OP)'!W105</f>
        <v>Constructora y Urbanizadora Arista, S.A. de C.V.</v>
      </c>
      <c r="M170" s="7" t="str">
        <f>'[1]V, inciso p) (OP)'!X105</f>
        <v>CUA130425I70</v>
      </c>
      <c r="N170" s="11">
        <f t="shared" si="4"/>
        <v>3269771.91</v>
      </c>
      <c r="O170" s="7" t="s">
        <v>40</v>
      </c>
      <c r="P170" s="7" t="s">
        <v>758</v>
      </c>
      <c r="Q170" s="11">
        <f>N170/2548</f>
        <v>1283.2699803767662</v>
      </c>
      <c r="R170" s="7" t="s">
        <v>42</v>
      </c>
      <c r="S170" s="15">
        <v>1402</v>
      </c>
      <c r="T170" s="7" t="s">
        <v>43</v>
      </c>
      <c r="U170" s="7" t="s">
        <v>44</v>
      </c>
      <c r="V170" s="13">
        <f>'[1]V, inciso p) (OP)'!AM105</f>
        <v>42688</v>
      </c>
      <c r="W170" s="13">
        <f>'[1]V, inciso p) (OP)'!AN105</f>
        <v>42728</v>
      </c>
      <c r="X170" s="7" t="s">
        <v>741</v>
      </c>
      <c r="Y170" s="7" t="s">
        <v>742</v>
      </c>
      <c r="Z170" s="7" t="s">
        <v>743</v>
      </c>
      <c r="AA170" s="7" t="s">
        <v>40</v>
      </c>
      <c r="AB170" s="7" t="s">
        <v>40</v>
      </c>
    </row>
    <row r="171" spans="1:28" ht="69.95" customHeight="1">
      <c r="A171" s="7">
        <v>2016</v>
      </c>
      <c r="B171" s="7" t="str">
        <f>'[1]V, inciso p) (OP)'!B106</f>
        <v>Licitación por Invitación Restringida</v>
      </c>
      <c r="C171" s="7" t="str">
        <f>'[1]V, inciso p) (OP)'!D106</f>
        <v>DOPI-MUN-RM-IE-CI-158-2016</v>
      </c>
      <c r="D171" s="13">
        <f>'[1]V, inciso p) (OP)'!AD106</f>
        <v>42685</v>
      </c>
      <c r="E171" s="7" t="str">
        <f>'[1]V, inciso p) (OP)'!I106</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171" s="7" t="s">
        <v>184</v>
      </c>
      <c r="G171" s="11">
        <f>'[1]V, inciso p) (OP)'!AG106</f>
        <v>3328458.75</v>
      </c>
      <c r="H171" s="7" t="str">
        <f>'[1]V, inciso p) (OP)'!AS106</f>
        <v>Varias colonias del Municipio</v>
      </c>
      <c r="I171" s="7" t="str">
        <f>'[1]V, inciso p) (OP)'!T106</f>
        <v>J. Gerardo</v>
      </c>
      <c r="J171" s="7" t="str">
        <f>'[1]V, inciso p) (OP)'!U106</f>
        <v>Nicanor</v>
      </c>
      <c r="K171" s="7" t="str">
        <f>'[1]V, inciso p) (OP)'!V106</f>
        <v>Mejia Mariscal</v>
      </c>
      <c r="L171" s="7" t="str">
        <f>'[1]V, inciso p) (OP)'!W106</f>
        <v>Ineco Construye, S.A. de C.V.</v>
      </c>
      <c r="M171" s="7" t="str">
        <f>'[1]V, inciso p) (OP)'!X106</f>
        <v>ICO980722M04</v>
      </c>
      <c r="N171" s="11">
        <f t="shared" si="4"/>
        <v>3328458.75</v>
      </c>
      <c r="O171" s="7" t="s">
        <v>40</v>
      </c>
      <c r="P171" s="7" t="s">
        <v>759</v>
      </c>
      <c r="Q171" s="11">
        <f>N171/2378</f>
        <v>1399.6882884777124</v>
      </c>
      <c r="R171" s="7" t="s">
        <v>42</v>
      </c>
      <c r="S171" s="15">
        <v>1020</v>
      </c>
      <c r="T171" s="7" t="s">
        <v>43</v>
      </c>
      <c r="U171" s="7" t="s">
        <v>44</v>
      </c>
      <c r="V171" s="13">
        <f>'[1]V, inciso p) (OP)'!AM106</f>
        <v>42688</v>
      </c>
      <c r="W171" s="13">
        <f>'[1]V, inciso p) (OP)'!AN106</f>
        <v>42728</v>
      </c>
      <c r="X171" s="7" t="s">
        <v>668</v>
      </c>
      <c r="Y171" s="7" t="s">
        <v>476</v>
      </c>
      <c r="Z171" s="7" t="s">
        <v>89</v>
      </c>
      <c r="AA171" s="9" t="s">
        <v>1296</v>
      </c>
      <c r="AB171" s="7" t="s">
        <v>40</v>
      </c>
    </row>
    <row r="172" spans="1:28" ht="69.95" customHeight="1">
      <c r="A172" s="7">
        <v>2016</v>
      </c>
      <c r="B172" s="7" t="s">
        <v>64</v>
      </c>
      <c r="C172" s="7" t="str">
        <f>'[1]V, inciso o) (OP)'!C72</f>
        <v>DOPI-MUN-RM-PAV-AD-159-2016</v>
      </c>
      <c r="D172" s="13">
        <f>'[1]V, inciso o) (OP)'!V72</f>
        <v>42613</v>
      </c>
      <c r="E172" s="7" t="str">
        <f>'[1]V, inciso o) (OP)'!AA72</f>
        <v>Sustitución de rejillas en bocas de tormenta en Avenida Patria ente Avila Camacho y Real Acueducto, en Avenida Tepeyac entre Manuel J. Clouthier y limite municipal, lateral Periférico en su cruce con Mariano Otero, municipio de Zapopan, Jalisco</v>
      </c>
      <c r="F172" s="7" t="s">
        <v>184</v>
      </c>
      <c r="G172" s="11">
        <f>'[1]V, inciso o) (OP)'!Y72</f>
        <v>1439734.18</v>
      </c>
      <c r="H172" s="7" t="s">
        <v>225</v>
      </c>
      <c r="I172" s="7" t="str">
        <f>'[1]V, inciso o) (OP)'!M72</f>
        <v>José Jaime</v>
      </c>
      <c r="J172" s="7" t="str">
        <f>'[1]V, inciso o) (OP)'!N72</f>
        <v>Camarena</v>
      </c>
      <c r="K172" s="7" t="str">
        <f>'[1]V, inciso o) (OP)'!O72</f>
        <v>Correa</v>
      </c>
      <c r="L172" s="7" t="str">
        <f>'[1]V, inciso o) (OP)'!P72</f>
        <v>Firmitas Constructa, S.A. de C.V.</v>
      </c>
      <c r="M172" s="7" t="str">
        <f>'[1]V, inciso o) (OP)'!Q72</f>
        <v>FCO110711N24</v>
      </c>
      <c r="N172" s="11">
        <f>'[1]V, inciso o) (OP)'!Y72</f>
        <v>1439734.18</v>
      </c>
      <c r="O172" s="7" t="s">
        <v>40</v>
      </c>
      <c r="P172" s="7" t="s">
        <v>760</v>
      </c>
      <c r="Q172" s="11">
        <f>N172/15</f>
        <v>95982.278666666665</v>
      </c>
      <c r="R172" s="7" t="s">
        <v>42</v>
      </c>
      <c r="S172" s="15">
        <v>102366</v>
      </c>
      <c r="T172" s="7" t="s">
        <v>43</v>
      </c>
      <c r="U172" s="7" t="s">
        <v>44</v>
      </c>
      <c r="V172" s="13">
        <f>'[1]V, inciso o) (OP)'!AD72</f>
        <v>42618</v>
      </c>
      <c r="W172" s="13">
        <f>'[1]V, inciso o) (OP)'!AE72</f>
        <v>42658</v>
      </c>
      <c r="X172" s="7" t="s">
        <v>605</v>
      </c>
      <c r="Y172" s="7" t="s">
        <v>442</v>
      </c>
      <c r="Z172" s="7" t="s">
        <v>101</v>
      </c>
      <c r="AA172" s="7" t="s">
        <v>40</v>
      </c>
      <c r="AB172" s="7" t="s">
        <v>40</v>
      </c>
    </row>
    <row r="173" spans="1:28" ht="69.95" customHeight="1">
      <c r="A173" s="7">
        <v>2016</v>
      </c>
      <c r="B173" s="7" t="s">
        <v>64</v>
      </c>
      <c r="C173" s="7" t="str">
        <f>'[1]V, inciso o) (OP)'!C73</f>
        <v>DOPI-MUN-RM-PAV-AD-160-2016</v>
      </c>
      <c r="D173" s="13">
        <f>'[1]V, inciso o) (OP)'!V73</f>
        <v>42615</v>
      </c>
      <c r="E173" s="7" t="str">
        <f>'[1]V, inciso o) (OP)'!AA73</f>
        <v>Programa emergente de bacheo de vialidades en Zapopan Centro tramo 1, municipio de Zapopan, Jalisco.</v>
      </c>
      <c r="F173" s="7" t="s">
        <v>184</v>
      </c>
      <c r="G173" s="11">
        <f>'[1]V, inciso o) (OP)'!Y73</f>
        <v>998750.24</v>
      </c>
      <c r="H173" s="7" t="s">
        <v>225</v>
      </c>
      <c r="I173" s="7" t="str">
        <f>'[1]V, inciso o) (OP)'!M73</f>
        <v>Luis Armando</v>
      </c>
      <c r="J173" s="7" t="str">
        <f>'[1]V, inciso o) (OP)'!N73</f>
        <v>Linares</v>
      </c>
      <c r="K173" s="7" t="str">
        <f>'[1]V, inciso o) (OP)'!O73</f>
        <v>Cacho</v>
      </c>
      <c r="L173" s="7" t="str">
        <f>'[1]V, inciso o) (OP)'!P73</f>
        <v>Urbanizadora y Constructora Roal, S.A. de C.V.</v>
      </c>
      <c r="M173" s="7" t="str">
        <f>'[1]V, inciso o) (OP)'!Q73</f>
        <v>URC160310857</v>
      </c>
      <c r="N173" s="11">
        <f>'[1]V, inciso o) (OP)'!Y73</f>
        <v>998750.24</v>
      </c>
      <c r="O173" s="11">
        <v>998750.23</v>
      </c>
      <c r="P173" s="7" t="s">
        <v>761</v>
      </c>
      <c r="Q173" s="11">
        <f>N173/5625</f>
        <v>177.55559822222222</v>
      </c>
      <c r="R173" s="7" t="s">
        <v>42</v>
      </c>
      <c r="S173" s="15">
        <v>17598</v>
      </c>
      <c r="T173" s="7" t="s">
        <v>43</v>
      </c>
      <c r="U173" s="7" t="s">
        <v>44</v>
      </c>
      <c r="V173" s="13">
        <f>'[1]V, inciso o) (OP)'!AD73</f>
        <v>42618</v>
      </c>
      <c r="W173" s="13">
        <f>'[1]V, inciso o) (OP)'!AE73</f>
        <v>42674</v>
      </c>
      <c r="X173" s="7" t="s">
        <v>762</v>
      </c>
      <c r="Y173" s="7" t="s">
        <v>763</v>
      </c>
      <c r="Z173" s="7" t="s">
        <v>764</v>
      </c>
      <c r="AA173" s="7" t="s">
        <v>40</v>
      </c>
      <c r="AB173" s="7" t="s">
        <v>40</v>
      </c>
    </row>
    <row r="174" spans="1:28" ht="69.95" customHeight="1">
      <c r="A174" s="7">
        <v>2016</v>
      </c>
      <c r="B174" s="7" t="s">
        <v>64</v>
      </c>
      <c r="C174" s="7" t="str">
        <f>'[1]V, inciso o) (OP)'!C74</f>
        <v>DOPI-MUN-RM-PAV-AD-161-2016</v>
      </c>
      <c r="D174" s="13">
        <f>'[1]V, inciso o) (OP)'!V74</f>
        <v>42615</v>
      </c>
      <c r="E174" s="7" t="str">
        <f>'[1]V, inciso o) (OP)'!AA74</f>
        <v>Programa emergente de bacheo de vialidades en Zapopan Centro tramo 2, municipio de Zapopan, Jalisco.</v>
      </c>
      <c r="F174" s="7" t="s">
        <v>184</v>
      </c>
      <c r="G174" s="11">
        <f>'[1]V, inciso o) (OP)'!Y74</f>
        <v>999587.49</v>
      </c>
      <c r="H174" s="7" t="s">
        <v>225</v>
      </c>
      <c r="I174" s="7" t="str">
        <f>'[1]V, inciso o) (OP)'!M74</f>
        <v>Orlando</v>
      </c>
      <c r="J174" s="7" t="str">
        <f>'[1]V, inciso o) (OP)'!N74</f>
        <v>Hijar</v>
      </c>
      <c r="K174" s="7" t="str">
        <f>'[1]V, inciso o) (OP)'!O74</f>
        <v>Casillas</v>
      </c>
      <c r="L174" s="7" t="str">
        <f>'[1]V, inciso o) (OP)'!P74</f>
        <v>Constructora y Urbanizadora Ceda, S.A. de C.V.</v>
      </c>
      <c r="M174" s="7" t="str">
        <f>'[1]V, inciso o) (OP)'!Q74</f>
        <v>CUC121107NV2</v>
      </c>
      <c r="N174" s="11">
        <f>'[1]V, inciso o) (OP)'!Y74</f>
        <v>999587.49</v>
      </c>
      <c r="O174" s="7" t="s">
        <v>40</v>
      </c>
      <c r="P174" s="7" t="s">
        <v>765</v>
      </c>
      <c r="Q174" s="11">
        <f>N174/5612</f>
        <v>178.11608873841769</v>
      </c>
      <c r="R174" s="7" t="s">
        <v>42</v>
      </c>
      <c r="S174" s="15">
        <v>18966</v>
      </c>
      <c r="T174" s="7" t="s">
        <v>43</v>
      </c>
      <c r="U174" s="7" t="s">
        <v>44</v>
      </c>
      <c r="V174" s="13">
        <f>'[1]V, inciso o) (OP)'!AD74</f>
        <v>42618</v>
      </c>
      <c r="W174" s="13">
        <f>'[1]V, inciso o) (OP)'!AE74</f>
        <v>42674</v>
      </c>
      <c r="X174" s="7" t="s">
        <v>762</v>
      </c>
      <c r="Y174" s="7" t="s">
        <v>763</v>
      </c>
      <c r="Z174" s="7" t="s">
        <v>764</v>
      </c>
      <c r="AA174" s="7" t="s">
        <v>40</v>
      </c>
      <c r="AB174" s="7" t="s">
        <v>40</v>
      </c>
    </row>
    <row r="175" spans="1:28" ht="69.95" customHeight="1">
      <c r="A175" s="7">
        <v>2016</v>
      </c>
      <c r="B175" s="7" t="s">
        <v>64</v>
      </c>
      <c r="C175" s="7" t="str">
        <f>'[1]V, inciso o) (OP)'!C75</f>
        <v>DOPI-MUN-RM-PAV-AD-162-2016</v>
      </c>
      <c r="D175" s="13">
        <f>'[1]V, inciso o) (OP)'!V75</f>
        <v>42615</v>
      </c>
      <c r="E175" s="7" t="str">
        <f>'[1]V, inciso o) (OP)'!AA75</f>
        <v>Programa emergente de bacheo de vialidades en Zapopan Sur tramo 1, municipio de Zapopan, Jalisco.</v>
      </c>
      <c r="F175" s="7" t="s">
        <v>184</v>
      </c>
      <c r="G175" s="11">
        <f>'[1]V, inciso o) (OP)'!Y75</f>
        <v>1000115.36</v>
      </c>
      <c r="H175" s="7" t="s">
        <v>225</v>
      </c>
      <c r="I175" s="7" t="str">
        <f>'[1]V, inciso o) (OP)'!M75</f>
        <v>Ignacio Javier</v>
      </c>
      <c r="J175" s="7" t="str">
        <f>'[1]V, inciso o) (OP)'!N75</f>
        <v>Curiel</v>
      </c>
      <c r="K175" s="7" t="str">
        <f>'[1]V, inciso o) (OP)'!O75</f>
        <v>Dueñas</v>
      </c>
      <c r="L175" s="7" t="str">
        <f>'[1]V, inciso o) (OP)'!P75</f>
        <v>TC Construcción y Mantenimiento, S.A. de C.V.</v>
      </c>
      <c r="M175" s="7" t="str">
        <f>'[1]V, inciso o) (OP)'!Q75</f>
        <v>TCM100915HA1</v>
      </c>
      <c r="N175" s="11">
        <f>'[1]V, inciso o) (OP)'!Y75</f>
        <v>1000115.36</v>
      </c>
      <c r="O175" s="7" t="s">
        <v>40</v>
      </c>
      <c r="P175" s="7" t="s">
        <v>766</v>
      </c>
      <c r="Q175" s="11">
        <f>N175/5721</f>
        <v>174.81478063275651</v>
      </c>
      <c r="R175" s="7" t="s">
        <v>42</v>
      </c>
      <c r="S175" s="15">
        <v>18521</v>
      </c>
      <c r="T175" s="7" t="s">
        <v>43</v>
      </c>
      <c r="U175" s="7" t="s">
        <v>44</v>
      </c>
      <c r="V175" s="13">
        <f>'[1]V, inciso o) (OP)'!AD75</f>
        <v>42618</v>
      </c>
      <c r="W175" s="13">
        <f>'[1]V, inciso o) (OP)'!AE75</f>
        <v>42674</v>
      </c>
      <c r="X175" s="7" t="s">
        <v>762</v>
      </c>
      <c r="Y175" s="7" t="s">
        <v>763</v>
      </c>
      <c r="Z175" s="7" t="s">
        <v>764</v>
      </c>
      <c r="AA175" s="7" t="s">
        <v>40</v>
      </c>
      <c r="AB175" s="7" t="s">
        <v>40</v>
      </c>
    </row>
    <row r="176" spans="1:28" ht="69.95" customHeight="1">
      <c r="A176" s="7">
        <v>2016</v>
      </c>
      <c r="B176" s="7" t="s">
        <v>64</v>
      </c>
      <c r="C176" s="7" t="str">
        <f>'[1]V, inciso o) (OP)'!C76</f>
        <v>DOPI-MUN-RM-PAV-AD-163-2016</v>
      </c>
      <c r="D176" s="13">
        <f>'[1]V, inciso o) (OP)'!V76</f>
        <v>42615</v>
      </c>
      <c r="E176" s="7" t="str">
        <f>'[1]V, inciso o) (OP)'!AA76</f>
        <v>Programa emergente de bacheo de vialidades en Zapopan Sur Poniente tramo 1, municipio de Zapopan, Jalisco.</v>
      </c>
      <c r="F176" s="7" t="s">
        <v>184</v>
      </c>
      <c r="G176" s="11">
        <f>'[1]V, inciso o) (OP)'!Y76</f>
        <v>1001250.87</v>
      </c>
      <c r="H176" s="7" t="s">
        <v>225</v>
      </c>
      <c r="I176" s="7" t="str">
        <f>'[1]V, inciso o) (OP)'!M76</f>
        <v>Regino</v>
      </c>
      <c r="J176" s="7" t="str">
        <f>'[1]V, inciso o) (OP)'!N76</f>
        <v>Ruiz del Campo</v>
      </c>
      <c r="K176" s="7" t="str">
        <f>'[1]V, inciso o) (OP)'!O76</f>
        <v>Medina</v>
      </c>
      <c r="L176" s="7" t="str">
        <f>'[1]V, inciso o) (OP)'!P76</f>
        <v>Regino Ruiz del Campo Medina</v>
      </c>
      <c r="M176" s="7" t="str">
        <f>'[1]V, inciso o) (OP)'!Q76</f>
        <v>RUMR771116UA8</v>
      </c>
      <c r="N176" s="11">
        <f>'[1]V, inciso o) (OP)'!Y76</f>
        <v>1001250.87</v>
      </c>
      <c r="O176" s="11">
        <v>1001250.87</v>
      </c>
      <c r="P176" s="7" t="s">
        <v>767</v>
      </c>
      <c r="Q176" s="11">
        <f>N176/5725</f>
        <v>174.89098165938864</v>
      </c>
      <c r="R176" s="7" t="s">
        <v>42</v>
      </c>
      <c r="S176" s="15">
        <v>19422</v>
      </c>
      <c r="T176" s="7" t="s">
        <v>43</v>
      </c>
      <c r="U176" s="7" t="s">
        <v>44</v>
      </c>
      <c r="V176" s="13">
        <f>'[1]V, inciso o) (OP)'!AD76</f>
        <v>42618</v>
      </c>
      <c r="W176" s="13">
        <f>'[1]V, inciso o) (OP)'!AE76</f>
        <v>42674</v>
      </c>
      <c r="X176" s="7" t="s">
        <v>762</v>
      </c>
      <c r="Y176" s="7" t="s">
        <v>763</v>
      </c>
      <c r="Z176" s="7" t="s">
        <v>764</v>
      </c>
      <c r="AA176" s="7" t="s">
        <v>40</v>
      </c>
      <c r="AB176" s="7" t="s">
        <v>40</v>
      </c>
    </row>
    <row r="177" spans="1:28" ht="69.95" customHeight="1">
      <c r="A177" s="7">
        <v>2016</v>
      </c>
      <c r="B177" s="7" t="s">
        <v>64</v>
      </c>
      <c r="C177" s="7" t="str">
        <f>'[1]V, inciso o) (OP)'!C77</f>
        <v>DOPI-MUN-RM-PAV-AD-164-2016</v>
      </c>
      <c r="D177" s="13">
        <f>'[1]V, inciso o) (OP)'!V77</f>
        <v>42615</v>
      </c>
      <c r="E177" s="7" t="str">
        <f>'[1]V, inciso o) (OP)'!AA77</f>
        <v>Programa emergente de bacheo de vialidades en Zapopan Sur Poniente tramo 2, municipio de Zapopan, Jalsico</v>
      </c>
      <c r="F177" s="7" t="s">
        <v>184</v>
      </c>
      <c r="G177" s="11">
        <f>'[1]V, inciso o) (OP)'!Y77</f>
        <v>1002128.72</v>
      </c>
      <c r="H177" s="7" t="s">
        <v>225</v>
      </c>
      <c r="I177" s="7" t="str">
        <f>'[1]V, inciso o) (OP)'!M77</f>
        <v>Carlos Ignacio</v>
      </c>
      <c r="J177" s="7" t="str">
        <f>'[1]V, inciso o) (OP)'!N77</f>
        <v>Curiel</v>
      </c>
      <c r="K177" s="7" t="str">
        <f>'[1]V, inciso o) (OP)'!O77</f>
        <v>Dueñas</v>
      </c>
      <c r="L177" s="7" t="str">
        <f>'[1]V, inciso o) (OP)'!P77</f>
        <v>Constructora Cecuchi, S.A. de C.V.</v>
      </c>
      <c r="M177" s="7" t="str">
        <f>'[1]V, inciso o) (OP)'!Q77</f>
        <v>CCE130723IR7</v>
      </c>
      <c r="N177" s="11">
        <f>'[1]V, inciso o) (OP)'!Y77</f>
        <v>1002128.72</v>
      </c>
      <c r="O177" s="11">
        <v>1002059.85</v>
      </c>
      <c r="P177" s="7" t="s">
        <v>768</v>
      </c>
      <c r="Q177" s="11">
        <f>N177/5731</f>
        <v>174.86105740708427</v>
      </c>
      <c r="R177" s="7" t="s">
        <v>42</v>
      </c>
      <c r="S177" s="15">
        <v>19523</v>
      </c>
      <c r="T177" s="7" t="s">
        <v>43</v>
      </c>
      <c r="U177" s="7" t="s">
        <v>44</v>
      </c>
      <c r="V177" s="13">
        <f>'[1]V, inciso o) (OP)'!AD77</f>
        <v>42618</v>
      </c>
      <c r="W177" s="13">
        <f>'[1]V, inciso o) (OP)'!AE77</f>
        <v>42674</v>
      </c>
      <c r="X177" s="7" t="s">
        <v>762</v>
      </c>
      <c r="Y177" s="7" t="s">
        <v>763</v>
      </c>
      <c r="Z177" s="7" t="s">
        <v>764</v>
      </c>
      <c r="AA177" s="7" t="s">
        <v>40</v>
      </c>
      <c r="AB177" s="7" t="s">
        <v>40</v>
      </c>
    </row>
    <row r="178" spans="1:28" ht="69.95" customHeight="1">
      <c r="A178" s="7">
        <v>2016</v>
      </c>
      <c r="B178" s="7" t="s">
        <v>64</v>
      </c>
      <c r="C178" s="7" t="str">
        <f>'[1]V, inciso o) (OP)'!C78</f>
        <v>DOPI-MUN-RM-PAV-AD-165-2016</v>
      </c>
      <c r="D178" s="13">
        <f>'[1]V, inciso o) (OP)'!V78</f>
        <v>42615</v>
      </c>
      <c r="E178" s="7" t="str">
        <f>'[1]V, inciso o) (OP)'!AA78</f>
        <v>Programa emergente de bacheo de vialidades en Zapopan Poniente tramo 1, municipio de Zapopan, Jalsico</v>
      </c>
      <c r="F178" s="7" t="s">
        <v>184</v>
      </c>
      <c r="G178" s="11">
        <f>'[1]V, inciso o) (OP)'!Y78</f>
        <v>997115.6</v>
      </c>
      <c r="H178" s="7" t="s">
        <v>225</v>
      </c>
      <c r="I178" s="7" t="str">
        <f>'[1]V, inciso o) (OP)'!M78</f>
        <v>Antonio</v>
      </c>
      <c r="J178" s="7" t="str">
        <f>'[1]V, inciso o) (OP)'!N78</f>
        <v>Chávez</v>
      </c>
      <c r="K178" s="7" t="str">
        <f>'[1]V, inciso o) (OP)'!O78</f>
        <v>Navarro</v>
      </c>
      <c r="L178" s="7" t="str">
        <f>'[1]V, inciso o) (OP)'!P78</f>
        <v>Constructora Industrial Chávez S.A. de C.V.</v>
      </c>
      <c r="M178" s="7" t="str">
        <f>'[1]V, inciso o) (OP)'!Q78</f>
        <v>CIC960718BW4</v>
      </c>
      <c r="N178" s="11">
        <f>'[1]V, inciso o) (OP)'!Y78</f>
        <v>997115.6</v>
      </c>
      <c r="O178" s="7" t="s">
        <v>40</v>
      </c>
      <c r="P178" s="7" t="s">
        <v>769</v>
      </c>
      <c r="Q178" s="11">
        <f>N178/5645</f>
        <v>176.6369530558016</v>
      </c>
      <c r="R178" s="7" t="s">
        <v>42</v>
      </c>
      <c r="S178" s="15">
        <v>22538</v>
      </c>
      <c r="T178" s="7" t="s">
        <v>43</v>
      </c>
      <c r="U178" s="7" t="s">
        <v>44</v>
      </c>
      <c r="V178" s="13">
        <f>'[1]V, inciso o) (OP)'!AD78</f>
        <v>42618</v>
      </c>
      <c r="W178" s="13">
        <f>'[1]V, inciso o) (OP)'!AE78</f>
        <v>42674</v>
      </c>
      <c r="X178" s="7" t="s">
        <v>762</v>
      </c>
      <c r="Y178" s="7" t="s">
        <v>763</v>
      </c>
      <c r="Z178" s="7" t="s">
        <v>764</v>
      </c>
      <c r="AA178" s="7" t="s">
        <v>40</v>
      </c>
      <c r="AB178" s="7" t="s">
        <v>40</v>
      </c>
    </row>
    <row r="179" spans="1:28" ht="69.95" customHeight="1">
      <c r="A179" s="7">
        <v>2016</v>
      </c>
      <c r="B179" s="7" t="s">
        <v>64</v>
      </c>
      <c r="C179" s="7" t="str">
        <f>'[1]V, inciso o) (OP)'!C79</f>
        <v>DOPI-MUN-RM-PAV-AD-166-2016</v>
      </c>
      <c r="D179" s="13">
        <f>'[1]V, inciso o) (OP)'!V79</f>
        <v>42615</v>
      </c>
      <c r="E179" s="7" t="str">
        <f>'[1]V, inciso o) (OP)'!AA79</f>
        <v>Programa emergente de bacheo de vialidades en Zapopan Poniente tramo 2, municipio de Zapopan, Jalsico</v>
      </c>
      <c r="F179" s="7" t="s">
        <v>184</v>
      </c>
      <c r="G179" s="11">
        <f>'[1]V, inciso o) (OP)'!Y79</f>
        <v>1003154.53</v>
      </c>
      <c r="H179" s="7" t="s">
        <v>225</v>
      </c>
      <c r="I179" s="7" t="str">
        <f>'[1]V, inciso o) (OP)'!M79</f>
        <v>Raquel</v>
      </c>
      <c r="J179" s="7" t="str">
        <f>'[1]V, inciso o) (OP)'!N79</f>
        <v>Chávez</v>
      </c>
      <c r="K179" s="7" t="str">
        <f>'[1]V, inciso o) (OP)'!O79</f>
        <v>Navarro</v>
      </c>
      <c r="L179" s="7" t="str">
        <f>'[1]V, inciso o) (OP)'!P79</f>
        <v>Asfaltos Selectos de Ocotlán, S.A. de C.V.</v>
      </c>
      <c r="M179" s="7" t="str">
        <f>'[1]V, inciso o) (OP)'!Q79</f>
        <v>ASO080408GY0</v>
      </c>
      <c r="N179" s="11">
        <f>'[1]V, inciso o) (OP)'!Y79</f>
        <v>1003154.53</v>
      </c>
      <c r="O179" s="7" t="s">
        <v>40</v>
      </c>
      <c r="P179" s="7" t="s">
        <v>770</v>
      </c>
      <c r="Q179" s="11">
        <f>N179/5733</f>
        <v>174.97898656898658</v>
      </c>
      <c r="R179" s="7" t="s">
        <v>42</v>
      </c>
      <c r="S179" s="15">
        <v>21065</v>
      </c>
      <c r="T179" s="7" t="s">
        <v>43</v>
      </c>
      <c r="U179" s="7" t="s">
        <v>44</v>
      </c>
      <c r="V179" s="13">
        <f>'[1]V, inciso o) (OP)'!AD79</f>
        <v>42618</v>
      </c>
      <c r="W179" s="13">
        <f>'[1]V, inciso o) (OP)'!AE79</f>
        <v>42674</v>
      </c>
      <c r="X179" s="7" t="s">
        <v>762</v>
      </c>
      <c r="Y179" s="7" t="s">
        <v>763</v>
      </c>
      <c r="Z179" s="7" t="s">
        <v>764</v>
      </c>
      <c r="AA179" s="7" t="s">
        <v>40</v>
      </c>
      <c r="AB179" s="7" t="s">
        <v>40</v>
      </c>
    </row>
    <row r="180" spans="1:28" ht="69.95" customHeight="1">
      <c r="A180" s="7">
        <v>2016</v>
      </c>
      <c r="B180" s="7" t="s">
        <v>64</v>
      </c>
      <c r="C180" s="7" t="str">
        <f>'[1]V, inciso o) (OP)'!C80</f>
        <v>DOPI-MUN-RM-PAV-AD-167-2016</v>
      </c>
      <c r="D180" s="13">
        <f>'[1]V, inciso o) (OP)'!V80</f>
        <v>42615</v>
      </c>
      <c r="E180" s="7" t="str">
        <f>'[1]V, inciso o) (OP)'!AA80</f>
        <v>Programa emergente de bacheo de vialidades en Zapopan Norponiente tramo 1, municipio de Zapopan, Jalisco.</v>
      </c>
      <c r="F180" s="7" t="s">
        <v>184</v>
      </c>
      <c r="G180" s="11">
        <f>'[1]V, inciso o) (OP)'!Y80</f>
        <v>990472.15</v>
      </c>
      <c r="H180" s="7" t="s">
        <v>225</v>
      </c>
      <c r="I180" s="7" t="str">
        <f>'[1]V, inciso o) (OP)'!M80</f>
        <v xml:space="preserve">Guillermo Emmanuel </v>
      </c>
      <c r="J180" s="7" t="str">
        <f>'[1]V, inciso o) (OP)'!N80</f>
        <v xml:space="preserve">Lara </v>
      </c>
      <c r="K180" s="7" t="str">
        <f>'[1]V, inciso o) (OP)'!O80</f>
        <v>Ochoa</v>
      </c>
      <c r="L180" s="7" t="str">
        <f>'[1]V, inciso o) (OP)'!P80</f>
        <v>Alquimia Grupo Constructor, S.A. de C.V.</v>
      </c>
      <c r="M180" s="7" t="str">
        <f>'[1]V, inciso o) (OP)'!Q80</f>
        <v>AGC070223J95</v>
      </c>
      <c r="N180" s="11">
        <f>'[1]V, inciso o) (OP)'!Y80</f>
        <v>990472.15</v>
      </c>
      <c r="O180" s="11">
        <v>990425.96</v>
      </c>
      <c r="P180" s="7" t="s">
        <v>771</v>
      </c>
      <c r="Q180" s="11">
        <f>N180/5614</f>
        <v>176.428954399715</v>
      </c>
      <c r="R180" s="7" t="s">
        <v>42</v>
      </c>
      <c r="S180" s="15">
        <v>23124</v>
      </c>
      <c r="T180" s="7" t="s">
        <v>43</v>
      </c>
      <c r="U180" s="7" t="s">
        <v>44</v>
      </c>
      <c r="V180" s="13">
        <f>'[1]V, inciso o) (OP)'!AD80</f>
        <v>42618</v>
      </c>
      <c r="W180" s="13">
        <f>'[1]V, inciso o) (OP)'!AE80</f>
        <v>42674</v>
      </c>
      <c r="X180" s="7" t="s">
        <v>762</v>
      </c>
      <c r="Y180" s="7" t="s">
        <v>763</v>
      </c>
      <c r="Z180" s="7" t="s">
        <v>764</v>
      </c>
      <c r="AA180" s="7" t="s">
        <v>40</v>
      </c>
      <c r="AB180" s="7" t="s">
        <v>40</v>
      </c>
    </row>
    <row r="181" spans="1:28" ht="69.95" customHeight="1">
      <c r="A181" s="7">
        <v>2016</v>
      </c>
      <c r="B181" s="7" t="s">
        <v>64</v>
      </c>
      <c r="C181" s="7" t="str">
        <f>'[1]V, inciso o) (OP)'!C81</f>
        <v>DOPI-MUN-RM-PAV-AD-168-2016</v>
      </c>
      <c r="D181" s="13">
        <f>'[1]V, inciso o) (OP)'!V81</f>
        <v>42615</v>
      </c>
      <c r="E181" s="7" t="str">
        <f>'[1]V, inciso o) (OP)'!AA81</f>
        <v>Programa emergente de bacheo de vialidades en Zapopan Norponiente tramo 2, municipio de Zapopan, Jalsico</v>
      </c>
      <c r="F181" s="7" t="s">
        <v>184</v>
      </c>
      <c r="G181" s="11">
        <f>'[1]V, inciso o) (OP)'!Y81</f>
        <v>988477.86</v>
      </c>
      <c r="H181" s="7" t="s">
        <v>225</v>
      </c>
      <c r="I181" s="7" t="str">
        <f>'[1]V, inciso o) (OP)'!M81</f>
        <v>Aurora Lucia</v>
      </c>
      <c r="J181" s="7" t="str">
        <f>'[1]V, inciso o) (OP)'!N81</f>
        <v xml:space="preserve">Brenez </v>
      </c>
      <c r="K181" s="7" t="str">
        <f>'[1]V, inciso o) (OP)'!O81</f>
        <v>Garnica</v>
      </c>
      <c r="L181" s="7" t="str">
        <f>'[1]V, inciso o) (OP)'!P81</f>
        <v>Karol Urbanizaciones y Construcciones, S.A. de C.V.</v>
      </c>
      <c r="M181" s="7" t="str">
        <f>'[1]V, inciso o) (OP)'!Q81</f>
        <v>KUC070424344</v>
      </c>
      <c r="N181" s="11">
        <f>'[1]V, inciso o) (OP)'!Y81</f>
        <v>988477.86</v>
      </c>
      <c r="O181" s="7" t="s">
        <v>40</v>
      </c>
      <c r="P181" s="7" t="s">
        <v>772</v>
      </c>
      <c r="Q181" s="11">
        <f>N181/5591</f>
        <v>176.79804328384904</v>
      </c>
      <c r="R181" s="7" t="s">
        <v>42</v>
      </c>
      <c r="S181" s="15">
        <v>22365</v>
      </c>
      <c r="T181" s="7" t="s">
        <v>43</v>
      </c>
      <c r="U181" s="7" t="s">
        <v>44</v>
      </c>
      <c r="V181" s="13">
        <f>'[1]V, inciso o) (OP)'!AD81</f>
        <v>42618</v>
      </c>
      <c r="W181" s="13">
        <f>'[1]V, inciso o) (OP)'!AE81</f>
        <v>42674</v>
      </c>
      <c r="X181" s="7" t="s">
        <v>762</v>
      </c>
      <c r="Y181" s="7" t="s">
        <v>763</v>
      </c>
      <c r="Z181" s="7" t="s">
        <v>764</v>
      </c>
      <c r="AA181" s="7" t="s">
        <v>40</v>
      </c>
      <c r="AB181" s="7" t="s">
        <v>40</v>
      </c>
    </row>
    <row r="182" spans="1:28" ht="69.95" customHeight="1">
      <c r="A182" s="7">
        <v>2016</v>
      </c>
      <c r="B182" s="7" t="s">
        <v>64</v>
      </c>
      <c r="C182" s="7" t="str">
        <f>'[1]V, inciso o) (OP)'!C82</f>
        <v>DOPI-MUN-RM-PAV-AD-169-2016</v>
      </c>
      <c r="D182" s="13">
        <f>'[1]V, inciso o) (OP)'!V82</f>
        <v>42615</v>
      </c>
      <c r="E182" s="7" t="str">
        <f>'[1]V, inciso o) (OP)'!AA82</f>
        <v>Programa emergente de bacheo de vialidades en Zapopan Norte tramo 1, municipio de Zapopan, Jalsico</v>
      </c>
      <c r="F182" s="7" t="s">
        <v>184</v>
      </c>
      <c r="G182" s="11">
        <f>'[1]V, inciso o) (OP)'!Y82</f>
        <v>996236.89</v>
      </c>
      <c r="H182" s="7" t="s">
        <v>225</v>
      </c>
      <c r="I182" s="7" t="str">
        <f>'[1]V, inciso o) (OP)'!M82</f>
        <v>Carlos Felipe</v>
      </c>
      <c r="J182" s="7" t="str">
        <f>'[1]V, inciso o) (OP)'!N82</f>
        <v>Vázquez</v>
      </c>
      <c r="K182" s="7" t="str">
        <f>'[1]V, inciso o) (OP)'!O82</f>
        <v>Guerra</v>
      </c>
      <c r="L182" s="7" t="str">
        <f>'[1]V, inciso o) (OP)'!P82</f>
        <v>Urbanizadora Vázquez Guerra, S.A. de C.V.</v>
      </c>
      <c r="M182" s="7" t="str">
        <f>'[1]V, inciso o) (OP)'!Q82</f>
        <v>UVG841211G22</v>
      </c>
      <c r="N182" s="11">
        <f>'[1]V, inciso o) (OP)'!Y82</f>
        <v>996236.89</v>
      </c>
      <c r="O182" s="7" t="s">
        <v>40</v>
      </c>
      <c r="P182" s="7" t="s">
        <v>773</v>
      </c>
      <c r="Q182" s="11">
        <f>N182/5608</f>
        <v>177.64566512125535</v>
      </c>
      <c r="R182" s="7" t="s">
        <v>42</v>
      </c>
      <c r="S182" s="15">
        <v>20165</v>
      </c>
      <c r="T182" s="7" t="s">
        <v>43</v>
      </c>
      <c r="U182" s="7" t="s">
        <v>44</v>
      </c>
      <c r="V182" s="13">
        <f>'[1]V, inciso o) (OP)'!AD82</f>
        <v>42618</v>
      </c>
      <c r="W182" s="13">
        <f>'[1]V, inciso o) (OP)'!AE82</f>
        <v>42674</v>
      </c>
      <c r="X182" s="7" t="s">
        <v>762</v>
      </c>
      <c r="Y182" s="7" t="s">
        <v>763</v>
      </c>
      <c r="Z182" s="7" t="s">
        <v>764</v>
      </c>
      <c r="AA182" s="7" t="s">
        <v>40</v>
      </c>
      <c r="AB182" s="7" t="s">
        <v>40</v>
      </c>
    </row>
    <row r="183" spans="1:28" ht="69.95" customHeight="1">
      <c r="A183" s="7">
        <v>2016</v>
      </c>
      <c r="B183" s="7" t="s">
        <v>64</v>
      </c>
      <c r="C183" s="7" t="str">
        <f>'[1]V, inciso o) (OP)'!C83</f>
        <v>DOPI-MUN-RM-ELE-AD-170-2016</v>
      </c>
      <c r="D183" s="13">
        <f>'[1]V, inciso o) (OP)'!V83</f>
        <v>42636</v>
      </c>
      <c r="E183" s="7" t="str">
        <f>'[1]V, inciso o) (OP)'!AA83</f>
        <v>Trabajos complementarios de infraestructura eléctrica y de alumbrado público, frente 1, municipio de Zapopan, Jalisco</v>
      </c>
      <c r="F183" s="7" t="s">
        <v>184</v>
      </c>
      <c r="G183" s="11">
        <f>'[1]V, inciso o) (OP)'!Y83</f>
        <v>1492750.23</v>
      </c>
      <c r="H183" s="7" t="s">
        <v>225</v>
      </c>
      <c r="I183" s="7" t="str">
        <f>'[1]V, inciso o) (OP)'!M83</f>
        <v>Pia Lorena</v>
      </c>
      <c r="J183" s="7" t="str">
        <f>'[1]V, inciso o) (OP)'!N83</f>
        <v>Buenrostro</v>
      </c>
      <c r="K183" s="7" t="str">
        <f>'[1]V, inciso o) (OP)'!O83</f>
        <v>Ahued</v>
      </c>
      <c r="L183" s="7" t="str">
        <f>'[1]V, inciso o) (OP)'!P83</f>
        <v>Birmek Construcciones, S.A. de C.V.</v>
      </c>
      <c r="M183" s="7" t="str">
        <f>'[1]V, inciso o) (OP)'!Q83</f>
        <v>BCO070129512</v>
      </c>
      <c r="N183" s="11">
        <f>'[1]V, inciso o) (OP)'!Y83</f>
        <v>1492750.23</v>
      </c>
      <c r="O183" s="7" t="s">
        <v>40</v>
      </c>
      <c r="P183" s="7" t="s">
        <v>774</v>
      </c>
      <c r="Q183" s="11">
        <f>N183/584</f>
        <v>2556.0791609589041</v>
      </c>
      <c r="R183" s="7" t="s">
        <v>42</v>
      </c>
      <c r="S183" s="15">
        <v>18652</v>
      </c>
      <c r="T183" s="7" t="s">
        <v>43</v>
      </c>
      <c r="U183" s="7" t="s">
        <v>584</v>
      </c>
      <c r="V183" s="13">
        <f>'[1]V, inciso o) (OP)'!AD83</f>
        <v>42639</v>
      </c>
      <c r="W183" s="13">
        <f>'[1]V, inciso o) (OP)'!AE83</f>
        <v>42719</v>
      </c>
      <c r="X183" s="7" t="s">
        <v>640</v>
      </c>
      <c r="Y183" s="7" t="s">
        <v>496</v>
      </c>
      <c r="Z183" s="7" t="s">
        <v>749</v>
      </c>
      <c r="AA183" s="7" t="s">
        <v>40</v>
      </c>
      <c r="AB183" s="7" t="s">
        <v>40</v>
      </c>
    </row>
    <row r="184" spans="1:28" ht="69.95" customHeight="1">
      <c r="A184" s="7">
        <v>2016</v>
      </c>
      <c r="B184" s="7" t="s">
        <v>64</v>
      </c>
      <c r="C184" s="7" t="str">
        <f>'[1]V, inciso o) (OP)'!C84</f>
        <v>DOPI-MUN-RM-PAV-AD-171-2016</v>
      </c>
      <c r="D184" s="13">
        <f>'[1]V, inciso o) (OP)'!V84</f>
        <v>42622</v>
      </c>
      <c r="E184" s="7" t="str">
        <f>'[1]V, inciso o) (OP)'!AA84</f>
        <v>Pavimentación con adoquín y empedrado tradicional con material producto de recuperación en diferentes vialidades en el Municipio de Zapopan, Jalisco</v>
      </c>
      <c r="F184" s="7" t="s">
        <v>184</v>
      </c>
      <c r="G184" s="11">
        <f>'[1]V, inciso o) (OP)'!Y84</f>
        <v>1480115.18</v>
      </c>
      <c r="H184" s="7" t="s">
        <v>225</v>
      </c>
      <c r="I184" s="7" t="str">
        <f>'[1]V, inciso o) (OP)'!M84</f>
        <v>Omar</v>
      </c>
      <c r="J184" s="7" t="str">
        <f>'[1]V, inciso o) (OP)'!N84</f>
        <v>Mora</v>
      </c>
      <c r="K184" s="7" t="str">
        <f>'[1]V, inciso o) (OP)'!O84</f>
        <v>Montes de Oca</v>
      </c>
      <c r="L184" s="7" t="str">
        <f>'[1]V, inciso o) (OP)'!P84</f>
        <v>Dommont Construcciones, S.A. de C.V.</v>
      </c>
      <c r="M184" s="7" t="str">
        <f>'[1]V, inciso o) (OP)'!Q84</f>
        <v>DCO130215C16</v>
      </c>
      <c r="N184" s="11">
        <f>'[1]V, inciso o) (OP)'!Y84</f>
        <v>1480115.18</v>
      </c>
      <c r="O184" s="7" t="s">
        <v>40</v>
      </c>
      <c r="P184" s="7" t="s">
        <v>775</v>
      </c>
      <c r="Q184" s="11">
        <f>N184/3100</f>
        <v>477.45650967741932</v>
      </c>
      <c r="R184" s="7" t="s">
        <v>42</v>
      </c>
      <c r="S184" s="15">
        <v>16845</v>
      </c>
      <c r="T184" s="7" t="s">
        <v>43</v>
      </c>
      <c r="U184" s="7" t="s">
        <v>44</v>
      </c>
      <c r="V184" s="13">
        <f>'[1]V, inciso o) (OP)'!AD84</f>
        <v>42624</v>
      </c>
      <c r="W184" s="13">
        <f>'[1]V, inciso o) (OP)'!AE84</f>
        <v>42689</v>
      </c>
      <c r="X184" s="7" t="s">
        <v>671</v>
      </c>
      <c r="Y184" s="7" t="s">
        <v>334</v>
      </c>
      <c r="Z184" s="7" t="s">
        <v>133</v>
      </c>
      <c r="AA184" s="9" t="s">
        <v>1297</v>
      </c>
      <c r="AB184" s="7" t="s">
        <v>40</v>
      </c>
    </row>
    <row r="185" spans="1:28" ht="69.95" customHeight="1">
      <c r="A185" s="7">
        <v>2016</v>
      </c>
      <c r="B185" s="7" t="s">
        <v>64</v>
      </c>
      <c r="C185" s="7" t="str">
        <f>'[1]V, inciso o) (OP)'!C85</f>
        <v>DOPI-MUN-RM-SIS-AD-172-2016</v>
      </c>
      <c r="D185" s="13">
        <f>'[1]V, inciso o) (OP)'!V85</f>
        <v>42622</v>
      </c>
      <c r="E185" s="7" t="str">
        <f>'[1]V, inciso o) (OP)'!AA85</f>
        <v>Programación e implementación de sistema informático para la programación, contratación, control y seguimiento de ejecución de obra, elaboración de estimaciones y padrón de contratistas del Municipio de Zapopan, Jalisco</v>
      </c>
      <c r="F185" s="7" t="s">
        <v>67</v>
      </c>
      <c r="G185" s="11">
        <f>'[1]V, inciso o) (OP)'!Y85</f>
        <v>435640.37</v>
      </c>
      <c r="H185" s="7" t="s">
        <v>231</v>
      </c>
      <c r="I185" s="7" t="str">
        <f>'[1]V, inciso o) (OP)'!M85</f>
        <v>Víctor Martín</v>
      </c>
      <c r="J185" s="7" t="str">
        <f>'[1]V, inciso o) (OP)'!N85</f>
        <v>López</v>
      </c>
      <c r="K185" s="7" t="str">
        <f>'[1]V, inciso o) (OP)'!O85</f>
        <v>Santos</v>
      </c>
      <c r="L185" s="7" t="str">
        <f>'[1]V, inciso o) (OP)'!P85</f>
        <v>Desarrollos Vicsa, S.A. de C.V.</v>
      </c>
      <c r="M185" s="7" t="str">
        <f>'[1]V, inciso o) (OP)'!Q85</f>
        <v>DVI0903301U3</v>
      </c>
      <c r="N185" s="11">
        <f>'[1]V, inciso o) (OP)'!Y85</f>
        <v>435640.37</v>
      </c>
      <c r="O185" s="7" t="s">
        <v>40</v>
      </c>
      <c r="P185" s="7" t="s">
        <v>776</v>
      </c>
      <c r="Q185" s="11">
        <f>N185</f>
        <v>435640.37</v>
      </c>
      <c r="R185" s="7" t="s">
        <v>42</v>
      </c>
      <c r="S185" s="15">
        <v>685</v>
      </c>
      <c r="T185" s="7" t="s">
        <v>231</v>
      </c>
      <c r="U185" s="7" t="s">
        <v>44</v>
      </c>
      <c r="V185" s="13">
        <f>'[1]V, inciso o) (OP)'!AD85</f>
        <v>42624</v>
      </c>
      <c r="W185" s="13">
        <f>'[1]V, inciso o) (OP)'!AE85</f>
        <v>42689</v>
      </c>
      <c r="X185" s="7" t="s">
        <v>777</v>
      </c>
      <c r="Y185" s="7" t="s">
        <v>778</v>
      </c>
      <c r="Z185" s="7" t="s">
        <v>779</v>
      </c>
      <c r="AA185" s="7" t="s">
        <v>40</v>
      </c>
      <c r="AB185" s="7" t="s">
        <v>40</v>
      </c>
    </row>
    <row r="186" spans="1:28" ht="69.95" customHeight="1">
      <c r="A186" s="7">
        <v>2016</v>
      </c>
      <c r="B186" s="7" t="str">
        <f>'[1]V, inciso p) (OP)'!B107</f>
        <v>Licitación Pública</v>
      </c>
      <c r="C186" s="7" t="str">
        <f>'[1]V, inciso p) (OP)'!D107</f>
        <v>DOPI-MUN-RM-IM-LP-173-2016</v>
      </c>
      <c r="D186" s="13">
        <f>'[1]V, inciso p) (OP)'!AD107</f>
        <v>42726</v>
      </c>
      <c r="E186" s="7" t="str">
        <f>'[1]V, inciso p) (OP)'!I107</f>
        <v>Rehabilitación de la instalación eléctrica, iluminación y alumbrado público en el mercado municipal de Atemajac, municipio de Zapopan, Jalisco.</v>
      </c>
      <c r="F186" s="7" t="s">
        <v>184</v>
      </c>
      <c r="G186" s="11">
        <f>'[1]V, inciso p) (OP)'!AG107</f>
        <v>8929443.7100000009</v>
      </c>
      <c r="H186" s="7" t="str">
        <f>'[1]V, inciso p) (OP)'!AS107</f>
        <v>Atemajac</v>
      </c>
      <c r="I186" s="7" t="str">
        <f>'[1]V, inciso p) (OP)'!T107</f>
        <v>Amalia</v>
      </c>
      <c r="J186" s="7" t="str">
        <f>'[1]V, inciso p) (OP)'!U107</f>
        <v>Moreno</v>
      </c>
      <c r="K186" s="7" t="str">
        <f>'[1]V, inciso p) (OP)'!V107</f>
        <v>Maldonado</v>
      </c>
      <c r="L186" s="7" t="str">
        <f>'[1]V, inciso p) (OP)'!W107</f>
        <v>Grupo Constructor los Muros, S.A. de C.V.</v>
      </c>
      <c r="M186" s="7" t="str">
        <f>'[1]V, inciso p) (OP)'!X107</f>
        <v>GCM020226F28</v>
      </c>
      <c r="N186" s="11">
        <f>'[1]V, inciso p) (OP)'!AG107</f>
        <v>8929443.7100000009</v>
      </c>
      <c r="O186" s="7" t="s">
        <v>40</v>
      </c>
      <c r="P186" s="7" t="s">
        <v>780</v>
      </c>
      <c r="Q186" s="11">
        <f>N186/9461.16</f>
        <v>943.8000953371469</v>
      </c>
      <c r="R186" s="7" t="s">
        <v>42</v>
      </c>
      <c r="S186" s="15">
        <v>12833</v>
      </c>
      <c r="T186" s="7" t="s">
        <v>43</v>
      </c>
      <c r="U186" s="7" t="s">
        <v>584</v>
      </c>
      <c r="V186" s="13">
        <f>'[1]V, inciso p) (OP)'!AM107</f>
        <v>42727</v>
      </c>
      <c r="W186" s="13">
        <f>'[1]V, inciso p) (OP)'!AN107</f>
        <v>42816</v>
      </c>
      <c r="X186" s="7" t="s">
        <v>640</v>
      </c>
      <c r="Y186" s="7" t="s">
        <v>496</v>
      </c>
      <c r="Z186" s="7" t="s">
        <v>749</v>
      </c>
      <c r="AA186" s="7" t="s">
        <v>40</v>
      </c>
      <c r="AB186" s="7" t="s">
        <v>40</v>
      </c>
    </row>
    <row r="187" spans="1:28" ht="69.95" customHeight="1">
      <c r="A187" s="7">
        <v>2016</v>
      </c>
      <c r="B187" s="7" t="str">
        <f>'[1]V, inciso p) (OP)'!B108</f>
        <v>Licitación Pública</v>
      </c>
      <c r="C187" s="7" t="str">
        <f>'[1]V, inciso p) (OP)'!D108</f>
        <v>DOPI-MUN-RM-IM-LP-174-2016</v>
      </c>
      <c r="D187" s="13">
        <f>'[1]V, inciso p) (OP)'!AD108</f>
        <v>42726</v>
      </c>
      <c r="E187" s="7" t="str">
        <f>'[1]V, inciso p) (OP)'!I108</f>
        <v>Rehabilitación de la red hidrosanitaria, instalación de la red contra incendio, obra civil, elevador y acabados en el mercado municipal de Atemajac, municipio de Zapopan , Jalisco.</v>
      </c>
      <c r="F187" s="7" t="s">
        <v>184</v>
      </c>
      <c r="G187" s="11">
        <f>'[1]V, inciso p) (OP)'!AG108</f>
        <v>10276943.060000001</v>
      </c>
      <c r="H187" s="7" t="str">
        <f>'[1]V, inciso p) (OP)'!AS108</f>
        <v>Atemajac</v>
      </c>
      <c r="I187" s="7" t="str">
        <f>'[1]V, inciso p) (OP)'!T108</f>
        <v xml:space="preserve">Leobardo </v>
      </c>
      <c r="J187" s="7" t="str">
        <f>'[1]V, inciso p) (OP)'!U108</f>
        <v>Preciado</v>
      </c>
      <c r="K187" s="7" t="str">
        <f>'[1]V, inciso p) (OP)'!V108</f>
        <v>Zepeda</v>
      </c>
      <c r="L187" s="7" t="str">
        <f>'[1]V, inciso p) (OP)'!W108</f>
        <v xml:space="preserve">Consorcio Constructor Adobes, S. A. de C. V. </v>
      </c>
      <c r="M187" s="7" t="str">
        <f>'[1]V, inciso p) (OP)'!X108</f>
        <v>CCA971126QC9</v>
      </c>
      <c r="N187" s="11">
        <f>'[1]V, inciso p) (OP)'!AG108</f>
        <v>10276943.060000001</v>
      </c>
      <c r="O187" s="7" t="s">
        <v>40</v>
      </c>
      <c r="P187" s="7" t="s">
        <v>781</v>
      </c>
      <c r="Q187" s="11">
        <f>N187/9461.16</f>
        <v>1086.2244227980502</v>
      </c>
      <c r="R187" s="7" t="s">
        <v>42</v>
      </c>
      <c r="S187" s="15">
        <v>12833</v>
      </c>
      <c r="T187" s="7" t="s">
        <v>43</v>
      </c>
      <c r="U187" s="7" t="s">
        <v>584</v>
      </c>
      <c r="V187" s="13">
        <f>'[1]V, inciso p) (OP)'!AM108</f>
        <v>42727</v>
      </c>
      <c r="W187" s="13">
        <f>'[1]V, inciso p) (OP)'!AN108</f>
        <v>42816</v>
      </c>
      <c r="X187" s="7" t="s">
        <v>723</v>
      </c>
      <c r="Y187" s="7" t="s">
        <v>724</v>
      </c>
      <c r="Z187" s="7" t="s">
        <v>145</v>
      </c>
      <c r="AA187" s="7" t="s">
        <v>40</v>
      </c>
      <c r="AB187" s="7" t="s">
        <v>40</v>
      </c>
    </row>
    <row r="188" spans="1:28" ht="69.95" customHeight="1">
      <c r="A188" s="7">
        <v>2016</v>
      </c>
      <c r="B188" s="7" t="str">
        <f>'[1]V, inciso p) (OP)'!B109</f>
        <v>Licitación Pública</v>
      </c>
      <c r="C188" s="7" t="str">
        <f>'[1]V, inciso p) (OP)'!D109</f>
        <v>DOPI-MUN-RM-DP-LP-175-2016</v>
      </c>
      <c r="D188" s="13">
        <f>'[1]V, inciso p) (OP)'!AD109</f>
        <v>42726</v>
      </c>
      <c r="E188" s="7" t="str">
        <f>'[1]V, inciso p) (OP)'!I109</f>
        <v>Sustitución de rejillas de bocas de tormenta en diferentes vialidades del municipio.</v>
      </c>
      <c r="F188" s="7" t="s">
        <v>184</v>
      </c>
      <c r="G188" s="11">
        <f>'[1]V, inciso p) (OP)'!AG109</f>
        <v>2998448.3</v>
      </c>
      <c r="H188" s="7" t="str">
        <f>'[1]V, inciso p) (OP)'!AS109</f>
        <v>Varias colonias del Municipio</v>
      </c>
      <c r="I188" s="7" t="str">
        <f>'[1]V, inciso p) (OP)'!T109</f>
        <v>José Omar</v>
      </c>
      <c r="J188" s="7" t="str">
        <f>'[1]V, inciso p) (OP)'!U109</f>
        <v>Fernández</v>
      </c>
      <c r="K188" s="7" t="str">
        <f>'[1]V, inciso p) (OP)'!V109</f>
        <v>Vázquez</v>
      </c>
      <c r="L188" s="7" t="str">
        <f>'[1]V, inciso p) (OP)'!W109</f>
        <v>José Omar Fernández Vázquez</v>
      </c>
      <c r="M188" s="7" t="str">
        <f>'[1]V, inciso p) (OP)'!X109</f>
        <v>FEVO740619686</v>
      </c>
      <c r="N188" s="11">
        <f>'[1]V, inciso p) (OP)'!AG109</f>
        <v>2998448.3</v>
      </c>
      <c r="O188" s="7" t="s">
        <v>40</v>
      </c>
      <c r="P188" s="7" t="s">
        <v>782</v>
      </c>
      <c r="Q188" s="11">
        <f>N188/254</f>
        <v>11804.914566929134</v>
      </c>
      <c r="R188" s="7" t="s">
        <v>42</v>
      </c>
      <c r="S188" s="15">
        <v>122366</v>
      </c>
      <c r="T188" s="7" t="s">
        <v>43</v>
      </c>
      <c r="U188" s="7" t="s">
        <v>584</v>
      </c>
      <c r="V188" s="13">
        <f>'[1]V, inciso p) (OP)'!AM109</f>
        <v>42727</v>
      </c>
      <c r="W188" s="13">
        <f>'[1]V, inciso p) (OP)'!AN109</f>
        <v>42846</v>
      </c>
      <c r="X188" s="7" t="s">
        <v>783</v>
      </c>
      <c r="Y188" s="7" t="s">
        <v>784</v>
      </c>
      <c r="Z188" s="7" t="s">
        <v>117</v>
      </c>
      <c r="AA188" s="7" t="s">
        <v>40</v>
      </c>
      <c r="AB188" s="7" t="s">
        <v>40</v>
      </c>
    </row>
    <row r="189" spans="1:28" ht="69.95" customHeight="1">
      <c r="A189" s="7">
        <v>2016</v>
      </c>
      <c r="B189" s="7" t="str">
        <f>'[1]V, inciso p) (OP)'!B110</f>
        <v>Licitación Pública</v>
      </c>
      <c r="C189" s="7" t="str">
        <f>'[1]V, inciso p) (OP)'!D110</f>
        <v>DOPI-MUN-RM-ID-LP-176-2016</v>
      </c>
      <c r="D189" s="13">
        <f>'[1]V, inciso p) (OP)'!AD110</f>
        <v>42726</v>
      </c>
      <c r="E189" s="7" t="str">
        <f>'[1]V, inciso p) (OP)'!I110</f>
        <v>Rehabilitación de las instalaciones y equipamiento deportivo de la Unidad Deportiva Miramar, municipio de Zapopan, Jalisco</v>
      </c>
      <c r="F189" s="7" t="s">
        <v>184</v>
      </c>
      <c r="G189" s="11">
        <f>'[1]V, inciso p) (OP)'!AG110</f>
        <v>7420078.3799999999</v>
      </c>
      <c r="H189" s="7" t="str">
        <f>'[1]V, inciso p) (OP)'!AS110</f>
        <v>Colonia Miramar</v>
      </c>
      <c r="I189" s="7" t="str">
        <f>'[1]V, inciso p) (OP)'!T110</f>
        <v>José Antonio</v>
      </c>
      <c r="J189" s="7" t="str">
        <f>'[1]V, inciso p) (OP)'!U110</f>
        <v>Álvarez</v>
      </c>
      <c r="K189" s="7" t="str">
        <f>'[1]V, inciso p) (OP)'!V110</f>
        <v>Garcia</v>
      </c>
      <c r="L189" s="7" t="str">
        <f>'[1]V, inciso p) (OP)'!W110</f>
        <v>Urcoma 1970, S.A. de C.V.</v>
      </c>
      <c r="M189" s="7" t="str">
        <f>'[1]V, inciso p) (OP)'!X110</f>
        <v>UMN160125869</v>
      </c>
      <c r="N189" s="11">
        <f>'[1]V, inciso p) (OP)'!AG110</f>
        <v>7420078.3799999999</v>
      </c>
      <c r="O189" s="7" t="s">
        <v>40</v>
      </c>
      <c r="P189" s="7" t="s">
        <v>785</v>
      </c>
      <c r="Q189" s="11">
        <f>N189/13099.16</f>
        <v>566.45451922107986</v>
      </c>
      <c r="R189" s="7" t="s">
        <v>42</v>
      </c>
      <c r="S189" s="15">
        <v>3881</v>
      </c>
      <c r="T189" s="7" t="s">
        <v>43</v>
      </c>
      <c r="U189" s="7" t="s">
        <v>584</v>
      </c>
      <c r="V189" s="13">
        <f>'[1]V, inciso p) (OP)'!AM110</f>
        <v>42727</v>
      </c>
      <c r="W189" s="13">
        <f>'[1]V, inciso p) (OP)'!AN110</f>
        <v>42816</v>
      </c>
      <c r="X189" s="7" t="s">
        <v>668</v>
      </c>
      <c r="Y189" s="7" t="s">
        <v>476</v>
      </c>
      <c r="Z189" s="7" t="s">
        <v>89</v>
      </c>
      <c r="AA189" s="7" t="s">
        <v>40</v>
      </c>
      <c r="AB189" s="7" t="s">
        <v>40</v>
      </c>
    </row>
    <row r="190" spans="1:28" ht="69.95" customHeight="1">
      <c r="A190" s="7">
        <v>2016</v>
      </c>
      <c r="B190" s="7" t="str">
        <f>'[1]V, inciso p) (OP)'!B111</f>
        <v>Licitación Pública</v>
      </c>
      <c r="C190" s="7" t="str">
        <f>'[1]V, inciso p) (OP)'!D111</f>
        <v>DOPI-MUN-RM-ID-LP-177-2016</v>
      </c>
      <c r="D190" s="13">
        <f>'[1]V, inciso p) (OP)'!AD111</f>
        <v>42726</v>
      </c>
      <c r="E190" s="7" t="str">
        <f>'[1]V, inciso p) (OP)'!I111</f>
        <v>Rehabilitación de las Instalaciones y equipamiento deportivo de la Unidad Deportiva Paseos del Briseño, municipio de Zapopan, Jalisco</v>
      </c>
      <c r="F190" s="7" t="s">
        <v>184</v>
      </c>
      <c r="G190" s="11">
        <f>'[1]V, inciso p) (OP)'!AG111</f>
        <v>8768312.9199999999</v>
      </c>
      <c r="H190" s="7" t="str">
        <f>'[1]V, inciso p) (OP)'!AS111</f>
        <v>Colonia Paseos del Briseño</v>
      </c>
      <c r="I190" s="7" t="str">
        <f>'[1]V, inciso p) (OP)'!T111</f>
        <v>Francisco Javier</v>
      </c>
      <c r="J190" s="7" t="str">
        <f>'[1]V, inciso p) (OP)'!U111</f>
        <v>Diaz</v>
      </c>
      <c r="K190" s="7" t="str">
        <f>'[1]V, inciso p) (OP)'!V111</f>
        <v>Ruiz</v>
      </c>
      <c r="L190" s="7" t="str">
        <f>'[1]V, inciso p) (OP)'!W111</f>
        <v>Constructora Diru, S.A. de C.V.</v>
      </c>
      <c r="M190" s="7" t="str">
        <f>'[1]V, inciso p) (OP)'!X111</f>
        <v>CDI950714B79</v>
      </c>
      <c r="N190" s="11">
        <f>'[1]V, inciso p) (OP)'!AG111</f>
        <v>8768312.9199999999</v>
      </c>
      <c r="O190" s="7" t="s">
        <v>40</v>
      </c>
      <c r="P190" s="10">
        <v>16194.34</v>
      </c>
      <c r="Q190" s="11">
        <f>N190/16194.34</f>
        <v>541.44305479568789</v>
      </c>
      <c r="R190" s="7" t="s">
        <v>42</v>
      </c>
      <c r="S190" s="15">
        <v>2896</v>
      </c>
      <c r="T190" s="7" t="s">
        <v>43</v>
      </c>
      <c r="U190" s="7" t="s">
        <v>584</v>
      </c>
      <c r="V190" s="13">
        <f>'[1]V, inciso p) (OP)'!AM111</f>
        <v>42727</v>
      </c>
      <c r="W190" s="13">
        <f>'[1]V, inciso p) (OP)'!AN111</f>
        <v>42816</v>
      </c>
      <c r="X190" s="7" t="s">
        <v>701</v>
      </c>
      <c r="Y190" s="7" t="s">
        <v>524</v>
      </c>
      <c r="Z190" s="7" t="s">
        <v>254</v>
      </c>
      <c r="AA190" s="7" t="s">
        <v>40</v>
      </c>
      <c r="AB190" s="7" t="s">
        <v>40</v>
      </c>
    </row>
    <row r="191" spans="1:28" ht="69.95" customHeight="1">
      <c r="A191" s="7">
        <v>2016</v>
      </c>
      <c r="B191" s="7" t="str">
        <f>'[1]V, inciso p) (OP)'!B112</f>
        <v>Licitación Pública</v>
      </c>
      <c r="C191" s="7" t="str">
        <f>'[1]V, inciso p) (OP)'!D112</f>
        <v>DOPI-MUN-RM-ID-LP-178-2016</v>
      </c>
      <c r="D191" s="13">
        <f>'[1]V, inciso p) (OP)'!AD112</f>
        <v>42726</v>
      </c>
      <c r="E191" s="7" t="str">
        <f>'[1]V, inciso p) (OP)'!I112</f>
        <v>Rehabilitación de las Instalaciones y equipamiento deportivo de la Unidad Deportiva San Juan de Ocotán, municipio de Zapopan, Jalisco</v>
      </c>
      <c r="F191" s="7" t="s">
        <v>184</v>
      </c>
      <c r="G191" s="11">
        <f>'[1]V, inciso p) (OP)'!AG112</f>
        <v>7913055.7999999998</v>
      </c>
      <c r="H191" s="7" t="str">
        <f>'[1]V, inciso p) (OP)'!AS112</f>
        <v>Colonia San Juan de Ocotán</v>
      </c>
      <c r="I191" s="7" t="str">
        <f>'[1]V, inciso p) (OP)'!T112</f>
        <v>Eduardo</v>
      </c>
      <c r="J191" s="7" t="str">
        <f>'[1]V, inciso p) (OP)'!U112</f>
        <v>Romero</v>
      </c>
      <c r="K191" s="7" t="str">
        <f>'[1]V, inciso p) (OP)'!V112</f>
        <v>Lugo</v>
      </c>
      <c r="L191" s="7" t="str">
        <f>'[1]V, inciso p) (OP)'!W112</f>
        <v>RS Obras y Servicios S.A. de C.V.</v>
      </c>
      <c r="M191" s="7" t="str">
        <f>'[1]V, inciso p) (OP)'!X112</f>
        <v>ROS120904PV9</v>
      </c>
      <c r="N191" s="11">
        <f>'[1]V, inciso p) (OP)'!AG112</f>
        <v>7913055.7999999998</v>
      </c>
      <c r="O191" s="7" t="s">
        <v>40</v>
      </c>
      <c r="P191" s="7" t="s">
        <v>786</v>
      </c>
      <c r="Q191" s="11">
        <f>N191/8180.41</f>
        <v>967.31775057729385</v>
      </c>
      <c r="R191" s="7" t="s">
        <v>42</v>
      </c>
      <c r="S191" s="15">
        <v>12652</v>
      </c>
      <c r="T191" s="7" t="s">
        <v>43</v>
      </c>
      <c r="U191" s="7" t="s">
        <v>584</v>
      </c>
      <c r="V191" s="13">
        <f>'[1]V, inciso p) (OP)'!AM112</f>
        <v>42727</v>
      </c>
      <c r="W191" s="13">
        <f>'[1]V, inciso p) (OP)'!AN112</f>
        <v>42794</v>
      </c>
      <c r="X191" s="7" t="s">
        <v>686</v>
      </c>
      <c r="Y191" s="7" t="s">
        <v>687</v>
      </c>
      <c r="Z191" s="7" t="s">
        <v>268</v>
      </c>
      <c r="AA191" s="7" t="s">
        <v>40</v>
      </c>
      <c r="AB191" s="7" t="s">
        <v>40</v>
      </c>
    </row>
    <row r="192" spans="1:28" ht="69.95" customHeight="1">
      <c r="A192" s="7">
        <v>2016</v>
      </c>
      <c r="B192" s="7" t="str">
        <f>'[1]V, inciso p) (OP)'!B113</f>
        <v>Licitación Pública</v>
      </c>
      <c r="C192" s="7" t="str">
        <f>'[1]V, inciso p) (OP)'!D113</f>
        <v>DOPI-MUN-RM-MOV-LP-179-2016</v>
      </c>
      <c r="D192" s="13">
        <f>'[1]V, inciso p) (OP)'!AD113</f>
        <v>42726</v>
      </c>
      <c r="E192" s="7" t="str">
        <f>'[1]V, inciso p) (OP)'!I113</f>
        <v>Construcción de cruceros seguros, incluye señaletica horizontal y vertical, acceso universal en esquinas,semaforización y paradas de autobús en diferentes cruceros, zona 1 del Municipio de Zapopan, Jallisco</v>
      </c>
      <c r="F192" s="7" t="s">
        <v>67</v>
      </c>
      <c r="G192" s="11">
        <f>'[1]V, inciso p) (OP)'!AG113</f>
        <v>3582511.3</v>
      </c>
      <c r="H192" s="7" t="str">
        <f>'[1]V, inciso p) (OP)'!AS113</f>
        <v>Varias colonias del Municipio</v>
      </c>
      <c r="I192" s="7" t="str">
        <f>'[1]V, inciso p) (OP)'!T113</f>
        <v>José Omar</v>
      </c>
      <c r="J192" s="7" t="str">
        <f>'[1]V, inciso p) (OP)'!U113</f>
        <v>Fernández</v>
      </c>
      <c r="K192" s="7" t="str">
        <f>'[1]V, inciso p) (OP)'!V113</f>
        <v>Vázquez</v>
      </c>
      <c r="L192" s="7" t="str">
        <f>'[1]V, inciso p) (OP)'!W113</f>
        <v>José Omar Fernández Vázquez</v>
      </c>
      <c r="M192" s="7" t="str">
        <f>'[1]V, inciso p) (OP)'!X113</f>
        <v>FEVO740619686</v>
      </c>
      <c r="N192" s="11">
        <f>'[1]V, inciso p) (OP)'!AG113</f>
        <v>3582511.3</v>
      </c>
      <c r="O192" s="7" t="s">
        <v>40</v>
      </c>
      <c r="P192" s="7" t="s">
        <v>787</v>
      </c>
      <c r="Q192" s="11">
        <f>N192/1718</f>
        <v>2085.2801513387658</v>
      </c>
      <c r="R192" s="7" t="s">
        <v>42</v>
      </c>
      <c r="S192" s="15">
        <v>220690</v>
      </c>
      <c r="T192" s="7" t="s">
        <v>43</v>
      </c>
      <c r="U192" s="7" t="s">
        <v>584</v>
      </c>
      <c r="V192" s="13">
        <f>'[1]V, inciso p) (OP)'!AM113</f>
        <v>42727</v>
      </c>
      <c r="W192" s="13">
        <f>'[1]V, inciso p) (OP)'!AN113</f>
        <v>42846</v>
      </c>
      <c r="X192" s="7" t="s">
        <v>783</v>
      </c>
      <c r="Y192" s="7" t="s">
        <v>784</v>
      </c>
      <c r="Z192" s="7" t="s">
        <v>117</v>
      </c>
      <c r="AA192" s="7" t="s">
        <v>40</v>
      </c>
      <c r="AB192" s="7" t="s">
        <v>40</v>
      </c>
    </row>
    <row r="193" spans="1:28" ht="69.95" customHeight="1">
      <c r="A193" s="7">
        <v>2016</v>
      </c>
      <c r="B193" s="7" t="str">
        <f>'[1]V, inciso p) (OP)'!B114</f>
        <v>Licitación Pública</v>
      </c>
      <c r="C193" s="7" t="str">
        <f>'[1]V, inciso p) (OP)'!D114</f>
        <v>DOPI-MUN-RM-MOV-LP-180-2016</v>
      </c>
      <c r="D193" s="13">
        <f>'[1]V, inciso p) (OP)'!AD114</f>
        <v>42726</v>
      </c>
      <c r="E193" s="7" t="str">
        <f>'[1]V, inciso p) (OP)'!I114</f>
        <v>Construcción de cruceros seguros, incluye señaletica horizontal y vertical, acceso universal en esquinas,semaforización y paradas de autobús en diferentes cruceros, zona 2 del Municipio de Zapopan, Jallisco</v>
      </c>
      <c r="F193" s="7" t="s">
        <v>67</v>
      </c>
      <c r="G193" s="11">
        <f>'[1]V, inciso p) (OP)'!AG114</f>
        <v>4703307.2300000004</v>
      </c>
      <c r="H193" s="7" t="str">
        <f>'[1]V, inciso p) (OP)'!AS114</f>
        <v>Varias colonias del Municipio</v>
      </c>
      <c r="I193" s="7" t="str">
        <f>'[1]V, inciso p) (OP)'!T114</f>
        <v>José Jaime</v>
      </c>
      <c r="J193" s="7" t="str">
        <f>'[1]V, inciso p) (OP)'!U114</f>
        <v>Camarena</v>
      </c>
      <c r="K193" s="7" t="str">
        <f>'[1]V, inciso p) (OP)'!V114</f>
        <v>Correa</v>
      </c>
      <c r="L193" s="7" t="str">
        <f>'[1]V, inciso p) (OP)'!W114</f>
        <v>Firmitas Constructa, S.A de C.V.</v>
      </c>
      <c r="M193" s="7" t="str">
        <f>'[1]V, inciso p) (OP)'!X114</f>
        <v>FCO110711N24</v>
      </c>
      <c r="N193" s="11">
        <f>'[1]V, inciso p) (OP)'!AG114</f>
        <v>4703307.2300000004</v>
      </c>
      <c r="O193" s="7" t="s">
        <v>40</v>
      </c>
      <c r="P193" s="7" t="s">
        <v>788</v>
      </c>
      <c r="Q193" s="11">
        <f>N193/2265.23</f>
        <v>2076.3044944663457</v>
      </c>
      <c r="R193" s="7" t="s">
        <v>42</v>
      </c>
      <c r="S193" s="15">
        <v>284788</v>
      </c>
      <c r="T193" s="7" t="s">
        <v>43</v>
      </c>
      <c r="U193" s="7" t="s">
        <v>584</v>
      </c>
      <c r="V193" s="13">
        <f>'[1]V, inciso p) (OP)'!AM114</f>
        <v>42727</v>
      </c>
      <c r="W193" s="13">
        <f>'[1]V, inciso p) (OP)'!AN114</f>
        <v>42846</v>
      </c>
      <c r="X193" s="7" t="s">
        <v>783</v>
      </c>
      <c r="Y193" s="7" t="s">
        <v>784</v>
      </c>
      <c r="Z193" s="7" t="s">
        <v>117</v>
      </c>
      <c r="AA193" s="7" t="s">
        <v>40</v>
      </c>
      <c r="AB193" s="7" t="s">
        <v>40</v>
      </c>
    </row>
    <row r="194" spans="1:28" ht="69.95" customHeight="1">
      <c r="A194" s="7">
        <v>2016</v>
      </c>
      <c r="B194" s="7" t="s">
        <v>64</v>
      </c>
      <c r="C194" s="7" t="str">
        <f>'[1]V, inciso o) (OP)'!C86</f>
        <v>DOPI-MUN-RM-PAV-AD-181-2016</v>
      </c>
      <c r="D194" s="13">
        <f>'[1]V, inciso o) (OP)'!V86</f>
        <v>42653</v>
      </c>
      <c r="E194" s="7" t="str">
        <f>'[1]V, inciso o) (OP)'!AA86</f>
        <v>Programa emergente de bacheo de vialidades en Zapopan Norte tramo 2, municipio de Zapopan, Jalisco.</v>
      </c>
      <c r="F194" s="7" t="s">
        <v>184</v>
      </c>
      <c r="G194" s="11">
        <f>'[1]V, inciso o) (OP)'!Y86</f>
        <v>1494945.36</v>
      </c>
      <c r="H194" s="7" t="s">
        <v>225</v>
      </c>
      <c r="I194" s="7" t="str">
        <f>'[1]V, inciso o) (OP)'!M86</f>
        <v>RAFAEL AUGUSTO</v>
      </c>
      <c r="J194" s="7" t="str">
        <f>'[1]V, inciso o) (OP)'!N86</f>
        <v>CABALLERO</v>
      </c>
      <c r="K194" s="7" t="str">
        <f>'[1]V, inciso o) (OP)'!O86</f>
        <v>QUIRARTE</v>
      </c>
      <c r="L194" s="7" t="str">
        <f>'[1]V, inciso o) (OP)'!P86</f>
        <v>PROYECTOS ARQUITECTONICOS TRIANGULO, S.A. DE C.V.</v>
      </c>
      <c r="M194" s="7" t="str">
        <f>'[1]V, inciso o) (OP)'!Q86</f>
        <v>PAT110331HH0</v>
      </c>
      <c r="N194" s="11">
        <f>'[1]V, inciso o) (OP)'!Y86</f>
        <v>1494945.36</v>
      </c>
      <c r="O194" s="7" t="s">
        <v>40</v>
      </c>
      <c r="P194" s="7" t="s">
        <v>789</v>
      </c>
      <c r="Q194" s="11">
        <f>N194/249</f>
        <v>6003.7966265060249</v>
      </c>
      <c r="R194" s="7" t="s">
        <v>42</v>
      </c>
      <c r="S194" s="15">
        <v>156300</v>
      </c>
      <c r="T194" s="7" t="s">
        <v>43</v>
      </c>
      <c r="U194" s="7" t="s">
        <v>44</v>
      </c>
      <c r="V194" s="13">
        <f>'[1]V, inciso o) (OP)'!AD86</f>
        <v>42654</v>
      </c>
      <c r="W194" s="13">
        <f>'[1]V, inciso o) (OP)'!AE86</f>
        <v>42710</v>
      </c>
      <c r="X194" s="7" t="s">
        <v>762</v>
      </c>
      <c r="Y194" s="7" t="s">
        <v>763</v>
      </c>
      <c r="Z194" s="7" t="s">
        <v>764</v>
      </c>
      <c r="AA194" s="9" t="s">
        <v>1298</v>
      </c>
      <c r="AB194" s="7" t="s">
        <v>40</v>
      </c>
    </row>
    <row r="195" spans="1:28" ht="69.95" customHeight="1">
      <c r="A195" s="7">
        <v>2016</v>
      </c>
      <c r="B195" s="7" t="s">
        <v>64</v>
      </c>
      <c r="C195" s="7" t="str">
        <f>'[1]V, inciso o) (OP)'!C87</f>
        <v>DOPI-MUN-RM-PAV-AD-182-2016</v>
      </c>
      <c r="D195" s="13">
        <f>'[1]V, inciso o) (OP)'!V87</f>
        <v>42650</v>
      </c>
      <c r="E195" s="7" t="str">
        <f>'[1]V, inciso o) (OP)'!AA87</f>
        <v>Rehabilitación de machuelos de concreto hidráulico en la Av. Juan Gil Preciado, tramo 1, municipio de Zapopan, Jalisco.</v>
      </c>
      <c r="F195" s="7" t="s">
        <v>184</v>
      </c>
      <c r="G195" s="11">
        <f>'[1]V, inciso o) (OP)'!Y87</f>
        <v>1498832.34</v>
      </c>
      <c r="H195" s="7" t="s">
        <v>225</v>
      </c>
      <c r="I195" s="7" t="str">
        <f>'[1]V, inciso o) (OP)'!M87</f>
        <v>ENRIQUE</v>
      </c>
      <c r="J195" s="7" t="str">
        <f>'[1]V, inciso o) (OP)'!N87</f>
        <v>LUGO</v>
      </c>
      <c r="K195" s="7" t="str">
        <f>'[1]V, inciso o) (OP)'!O87</f>
        <v>IBARRA</v>
      </c>
      <c r="L195" s="7" t="str">
        <f>'[1]V, inciso o) (OP)'!P87</f>
        <v>LUGO IBARRA CONSORCIO CONSTRUCTOR, S.A. DE C.V.</v>
      </c>
      <c r="M195" s="7" t="str">
        <f>'[1]V, inciso o) (OP)'!Q87</f>
        <v>LIC0208141P8</v>
      </c>
      <c r="N195" s="11">
        <f>'[1]V, inciso o) (OP)'!Y87</f>
        <v>1498832.34</v>
      </c>
      <c r="O195" s="7" t="s">
        <v>40</v>
      </c>
      <c r="P195" s="7" t="s">
        <v>790</v>
      </c>
      <c r="Q195" s="11">
        <f>N195/4153</f>
        <v>360.90352516253313</v>
      </c>
      <c r="R195" s="7" t="s">
        <v>42</v>
      </c>
      <c r="S195" s="15">
        <v>121200</v>
      </c>
      <c r="T195" s="7" t="s">
        <v>43</v>
      </c>
      <c r="U195" s="7" t="s">
        <v>44</v>
      </c>
      <c r="V195" s="13">
        <f>'[1]V, inciso o) (OP)'!AD87</f>
        <v>42653</v>
      </c>
      <c r="W195" s="13">
        <f>'[1]V, inciso o) (OP)'!AE87</f>
        <v>42712</v>
      </c>
      <c r="X195" s="7" t="s">
        <v>586</v>
      </c>
      <c r="Y195" s="7" t="s">
        <v>404</v>
      </c>
      <c r="Z195" s="7" t="s">
        <v>405</v>
      </c>
      <c r="AA195" s="9" t="s">
        <v>1299</v>
      </c>
      <c r="AB195" s="7" t="s">
        <v>40</v>
      </c>
    </row>
    <row r="196" spans="1:28" ht="69.95" customHeight="1">
      <c r="A196" s="7">
        <v>2016</v>
      </c>
      <c r="B196" s="7" t="s">
        <v>64</v>
      </c>
      <c r="C196" s="7" t="str">
        <f>'[1]V, inciso o) (OP)'!C88</f>
        <v>DOPI-MUN-RM-PAV-AD-183-2016</v>
      </c>
      <c r="D196" s="13">
        <f>'[1]V, inciso o) (OP)'!V88</f>
        <v>42650</v>
      </c>
      <c r="E196" s="7" t="str">
        <f>'[1]V, inciso o) (OP)'!AA88</f>
        <v>Rehabilitación de machuelos de concreto hidráulico en la Av. Juan Gil Preciado, tramo 2, municipio de Zapopan, Jalisco.</v>
      </c>
      <c r="F196" s="7" t="s">
        <v>184</v>
      </c>
      <c r="G196" s="11">
        <f>'[1]V, inciso o) (OP)'!Y88</f>
        <v>1492150.48</v>
      </c>
      <c r="H196" s="7" t="s">
        <v>225</v>
      </c>
      <c r="I196" s="7" t="str">
        <f>'[1]V, inciso o) (OP)'!M88</f>
        <v>ARTURO</v>
      </c>
      <c r="J196" s="7" t="str">
        <f>'[1]V, inciso o) (OP)'!N88</f>
        <v>SARMIENTO</v>
      </c>
      <c r="K196" s="7" t="str">
        <f>'[1]V, inciso o) (OP)'!O88</f>
        <v>SANCHEZ</v>
      </c>
      <c r="L196" s="7" t="str">
        <f>'[1]V, inciso o) (OP)'!P88</f>
        <v>CONSTRUBRAVO, S.A. DE C.V.</v>
      </c>
      <c r="M196" s="7" t="str">
        <f>'[1]V, inciso o) (OP)'!Q88</f>
        <v>CON020208696</v>
      </c>
      <c r="N196" s="11">
        <f>'[1]V, inciso o) (OP)'!Y88</f>
        <v>1492150.48</v>
      </c>
      <c r="O196" s="11">
        <v>1492126.81</v>
      </c>
      <c r="P196" s="7" t="s">
        <v>790</v>
      </c>
      <c r="Q196" s="11">
        <f>N196/4153</f>
        <v>359.29460149289667</v>
      </c>
      <c r="R196" s="7" t="s">
        <v>42</v>
      </c>
      <c r="S196" s="15">
        <v>121200</v>
      </c>
      <c r="T196" s="7" t="s">
        <v>43</v>
      </c>
      <c r="U196" s="7" t="s">
        <v>44</v>
      </c>
      <c r="V196" s="13">
        <f>'[1]V, inciso o) (OP)'!AD88</f>
        <v>42653</v>
      </c>
      <c r="W196" s="13">
        <f>'[1]V, inciso o) (OP)'!AE88</f>
        <v>42712</v>
      </c>
      <c r="X196" s="7" t="s">
        <v>586</v>
      </c>
      <c r="Y196" s="7" t="s">
        <v>404</v>
      </c>
      <c r="Z196" s="7" t="s">
        <v>405</v>
      </c>
      <c r="AA196" s="7" t="s">
        <v>40</v>
      </c>
      <c r="AB196" s="7" t="s">
        <v>40</v>
      </c>
    </row>
    <row r="197" spans="1:28" ht="69.95" customHeight="1">
      <c r="A197" s="7">
        <v>2016</v>
      </c>
      <c r="B197" s="7" t="s">
        <v>64</v>
      </c>
      <c r="C197" s="7" t="str">
        <f>'[1]V, inciso o) (OP)'!C89</f>
        <v>DOPI-MUN-RM-DP-AD-184-2016</v>
      </c>
      <c r="D197" s="13">
        <f>'[1]V, inciso o) (OP)'!V89</f>
        <v>42653</v>
      </c>
      <c r="E197" s="7" t="str">
        <f>'[1]V, inciso o) (OP)'!AA89</f>
        <v>Construcción de colector pluvial en el camino al Arenero, municipio de Zapopan, Jalisco.</v>
      </c>
      <c r="F197" s="7" t="s">
        <v>184</v>
      </c>
      <c r="G197" s="11">
        <f>'[1]V, inciso o) (OP)'!Y89</f>
        <v>1478083.67</v>
      </c>
      <c r="H197" s="7" t="s">
        <v>791</v>
      </c>
      <c r="I197" s="7" t="str">
        <f>'[1]V, inciso o) (OP)'!M89</f>
        <v xml:space="preserve">EDUARDO </v>
      </c>
      <c r="J197" s="7" t="str">
        <f>'[1]V, inciso o) (OP)'!N89</f>
        <v>ROMERO</v>
      </c>
      <c r="K197" s="7" t="str">
        <f>'[1]V, inciso o) (OP)'!O89</f>
        <v>LUGO</v>
      </c>
      <c r="L197" s="7" t="str">
        <f>'[1]V, inciso o) (OP)'!P89</f>
        <v>RS OBRAS Y SERVICIOS S.A. DE C.V.</v>
      </c>
      <c r="M197" s="7" t="str">
        <f>'[1]V, inciso o) (OP)'!Q89</f>
        <v>ROS120904PV9</v>
      </c>
      <c r="N197" s="11">
        <f>'[1]V, inciso o) (OP)'!Y89</f>
        <v>1478083.67</v>
      </c>
      <c r="O197" s="7" t="s">
        <v>40</v>
      </c>
      <c r="P197" s="7" t="s">
        <v>792</v>
      </c>
      <c r="Q197" s="11">
        <f>N197/231</f>
        <v>6398.6306060606057</v>
      </c>
      <c r="R197" s="7" t="s">
        <v>42</v>
      </c>
      <c r="S197" s="15">
        <v>1850</v>
      </c>
      <c r="T197" s="7" t="s">
        <v>43</v>
      </c>
      <c r="U197" s="7" t="s">
        <v>44</v>
      </c>
      <c r="V197" s="13">
        <f>'[1]V, inciso o) (OP)'!AD89</f>
        <v>42654</v>
      </c>
      <c r="W197" s="13">
        <f>'[1]V, inciso o) (OP)'!AE89</f>
        <v>42678</v>
      </c>
      <c r="X197" s="7" t="s">
        <v>793</v>
      </c>
      <c r="Y197" s="7" t="s">
        <v>76</v>
      </c>
      <c r="Z197" s="7" t="s">
        <v>77</v>
      </c>
      <c r="AA197" s="7" t="s">
        <v>40</v>
      </c>
      <c r="AB197" s="7" t="s">
        <v>40</v>
      </c>
    </row>
    <row r="198" spans="1:28" ht="69.95" customHeight="1">
      <c r="A198" s="7">
        <v>2016</v>
      </c>
      <c r="B198" s="7" t="s">
        <v>64</v>
      </c>
      <c r="C198" s="7" t="str">
        <f>'[1]V, inciso o) (OP)'!C90</f>
        <v>DOPI-MUN-RM-PROY-AD-185-2016</v>
      </c>
      <c r="D198" s="13">
        <f>'[1]V, inciso o) (OP)'!V90</f>
        <v>42653</v>
      </c>
      <c r="E198" s="7" t="str">
        <f>'[1]V, inciso o) (OP)'!AA90</f>
        <v>Proyecto ejecutivo de la renovación y ampliación del Museo de Arte de Zapopan, ubicado en el Andador 20 de Noviembre y la calle 28 de Enero, en la cabecera municipal, de Zapopan, Jalisco.</v>
      </c>
      <c r="F198" s="7" t="s">
        <v>184</v>
      </c>
      <c r="G198" s="11">
        <f>'[1]V, inciso o) (OP)'!Y90</f>
        <v>986034.8</v>
      </c>
      <c r="H198" s="7" t="s">
        <v>215</v>
      </c>
      <c r="I198" s="7" t="str">
        <f>'[1]V, inciso o) (OP)'!M90</f>
        <v>ENRIQUE FRANCISCO</v>
      </c>
      <c r="J198" s="7" t="str">
        <f>'[1]V, inciso o) (OP)'!N90</f>
        <v>TOUSSAINT</v>
      </c>
      <c r="K198" s="7" t="str">
        <f>'[1]V, inciso o) (OP)'!O90</f>
        <v>OCHOA</v>
      </c>
      <c r="L198" s="7" t="str">
        <f>'[1]V, inciso o) (OP)'!P90</f>
        <v>GRUPO ARQUITECTOS TOUSSAINT Y ORENDAIN SC</v>
      </c>
      <c r="M198" s="7" t="str">
        <f>'[1]V, inciso o) (OP)'!Q90</f>
        <v>GAT920520R72</v>
      </c>
      <c r="N198" s="11">
        <f>'[1]V, inciso o) (OP)'!Y90</f>
        <v>986034.8</v>
      </c>
      <c r="O198" s="7" t="s">
        <v>40</v>
      </c>
      <c r="P198" s="7" t="s">
        <v>739</v>
      </c>
      <c r="Q198" s="11">
        <f>N198</f>
        <v>986034.8</v>
      </c>
      <c r="R198" s="7" t="s">
        <v>42</v>
      </c>
      <c r="S198" s="15" t="s">
        <v>232</v>
      </c>
      <c r="T198" s="7" t="s">
        <v>231</v>
      </c>
      <c r="U198" s="7" t="s">
        <v>44</v>
      </c>
      <c r="V198" s="13">
        <f>'[1]V, inciso o) (OP)'!AD90</f>
        <v>42654</v>
      </c>
      <c r="W198" s="13">
        <f>'[1]V, inciso o) (OP)'!AE90</f>
        <v>42750</v>
      </c>
      <c r="X198" s="7" t="s">
        <v>639</v>
      </c>
      <c r="Y198" s="7" t="s">
        <v>524</v>
      </c>
      <c r="Z198" s="7" t="s">
        <v>462</v>
      </c>
      <c r="AA198" s="9" t="s">
        <v>1300</v>
      </c>
      <c r="AB198" s="7" t="s">
        <v>40</v>
      </c>
    </row>
    <row r="199" spans="1:28" ht="69.95" customHeight="1">
      <c r="A199" s="7">
        <v>2016</v>
      </c>
      <c r="B199" s="7" t="s">
        <v>64</v>
      </c>
      <c r="C199" s="7" t="str">
        <f>'[1]V, inciso o) (OP)'!C91</f>
        <v>DOPI-MUN-RM-DP-AD-186-2016</v>
      </c>
      <c r="D199" s="13">
        <f>'[1]V, inciso o) (OP)'!V91</f>
        <v>42653</v>
      </c>
      <c r="E199" s="7" t="str">
        <f>'[1]V, inciso o) (OP)'!AA91</f>
        <v>Solución Pluvial en Tesistán (colector pluvial de 36" y bocas de tormenta) en la calle Jalisco, Hidalgo, Puebla, en la localidad de Tesistán, municipio de Zapopan, Jalisco. Frente 1.</v>
      </c>
      <c r="F199" s="7" t="s">
        <v>184</v>
      </c>
      <c r="G199" s="11">
        <f>'[1]V, inciso o) (OP)'!Y91</f>
        <v>1479766.1</v>
      </c>
      <c r="H199" s="7" t="s">
        <v>794</v>
      </c>
      <c r="I199" s="7" t="str">
        <f>'[1]V, inciso o) (OP)'!M91</f>
        <v>JAVIER</v>
      </c>
      <c r="J199" s="7" t="str">
        <f>'[1]V, inciso o) (OP)'!N91</f>
        <v xml:space="preserve">ÁVILA </v>
      </c>
      <c r="K199" s="7" t="str">
        <f>'[1]V, inciso o) (OP)'!O91</f>
        <v>FLORES</v>
      </c>
      <c r="L199" s="7" t="str">
        <f>'[1]V, inciso o) (OP)'!P91</f>
        <v>SAVHO CONSULTORÍA Y CONSTRUCCIÓN, S.A. DE C.V.</v>
      </c>
      <c r="M199" s="7" t="str">
        <f>'[1]V, inciso o) (OP)'!Q91</f>
        <v>SCC060622HZ3</v>
      </c>
      <c r="N199" s="11">
        <f>'[1]V, inciso o) (OP)'!Y91</f>
        <v>1479766.1</v>
      </c>
      <c r="O199" s="7" t="s">
        <v>40</v>
      </c>
      <c r="P199" s="7" t="s">
        <v>795</v>
      </c>
      <c r="Q199" s="11">
        <f>N199/222</f>
        <v>6665.6130630630632</v>
      </c>
      <c r="R199" s="7" t="s">
        <v>42</v>
      </c>
      <c r="S199" s="15">
        <v>2460</v>
      </c>
      <c r="T199" s="7" t="s">
        <v>43</v>
      </c>
      <c r="U199" s="7" t="s">
        <v>44</v>
      </c>
      <c r="V199" s="13">
        <f>'[1]V, inciso o) (OP)'!AD91</f>
        <v>42654</v>
      </c>
      <c r="W199" s="13">
        <f>'[1]V, inciso o) (OP)'!AE91</f>
        <v>42704</v>
      </c>
      <c r="X199" s="7" t="s">
        <v>544</v>
      </c>
      <c r="Y199" s="7" t="s">
        <v>545</v>
      </c>
      <c r="Z199" s="7" t="s">
        <v>212</v>
      </c>
      <c r="AA199" s="7" t="s">
        <v>40</v>
      </c>
      <c r="AB199" s="7" t="s">
        <v>40</v>
      </c>
    </row>
    <row r="200" spans="1:28" ht="69.95" customHeight="1">
      <c r="A200" s="7">
        <v>2016</v>
      </c>
      <c r="B200" s="7" t="s">
        <v>64</v>
      </c>
      <c r="C200" s="7" t="str">
        <f>'[1]V, inciso o) (OP)'!C92</f>
        <v>DOPI-MUN-RM-IE-AD-187-2016</v>
      </c>
      <c r="D200" s="13">
        <f>'[1]V, inciso o) (OP)'!V92</f>
        <v>42664</v>
      </c>
      <c r="E200" s="7" t="str">
        <f>'[1]V, inciso o) (OP)'!AA92</f>
        <v>Suministro y colocación de estructuras de protección de rayos ultravioleta y sustitución de losas de concreto en el plantel educativo Gustavo Diaz Ordaz, clave 14EPR1473U, colonia Gustavo Diaz Ordaz, Municipio de Zapopan, Jalisco.</v>
      </c>
      <c r="F200" s="7" t="s">
        <v>184</v>
      </c>
      <c r="G200" s="11">
        <f>'[1]V, inciso o) (OP)'!Y92</f>
        <v>998756.32</v>
      </c>
      <c r="H200" s="7" t="s">
        <v>796</v>
      </c>
      <c r="I200" s="7" t="str">
        <f>'[1]V, inciso o) (OP)'!M92</f>
        <v>AARON</v>
      </c>
      <c r="J200" s="7" t="str">
        <f>'[1]V, inciso o) (OP)'!N92</f>
        <v>AMARAL</v>
      </c>
      <c r="K200" s="7" t="str">
        <f>'[1]V, inciso o) (OP)'!O92</f>
        <v>LOPEZ</v>
      </c>
      <c r="L200" s="7" t="str">
        <f>'[1]V, inciso o) (OP)'!P92</f>
        <v>GLOBAL CONSTRUCCIONES Y CONSULTORIA, S.A. DE C.V.</v>
      </c>
      <c r="M200" s="7" t="str">
        <f>'[1]V, inciso o) (OP)'!Q92</f>
        <v>GCC1102098R8</v>
      </c>
      <c r="N200" s="11">
        <f>'[1]V, inciso o) (OP)'!Y92</f>
        <v>998756.32</v>
      </c>
      <c r="O200" s="7" t="s">
        <v>40</v>
      </c>
      <c r="P200" s="7" t="s">
        <v>797</v>
      </c>
      <c r="Q200" s="11">
        <f>N200/684</f>
        <v>1460.1700584795321</v>
      </c>
      <c r="R200" s="7" t="s">
        <v>42</v>
      </c>
      <c r="S200" s="15">
        <v>1140</v>
      </c>
      <c r="T200" s="7" t="s">
        <v>43</v>
      </c>
      <c r="U200" s="7" t="s">
        <v>44</v>
      </c>
      <c r="V200" s="13">
        <f>'[1]V, inciso o) (OP)'!AD92</f>
        <v>42667</v>
      </c>
      <c r="W200" s="13">
        <f>'[1]V, inciso o) (OP)'!AE92</f>
        <v>42726</v>
      </c>
      <c r="X200" s="7" t="s">
        <v>668</v>
      </c>
      <c r="Y200" s="7" t="s">
        <v>88</v>
      </c>
      <c r="Z200" s="7" t="s">
        <v>798</v>
      </c>
      <c r="AA200" s="9" t="s">
        <v>1301</v>
      </c>
      <c r="AB200" s="7" t="s">
        <v>40</v>
      </c>
    </row>
    <row r="201" spans="1:28" ht="69.95" customHeight="1">
      <c r="A201" s="7">
        <v>2016</v>
      </c>
      <c r="B201" s="7" t="s">
        <v>30</v>
      </c>
      <c r="C201" s="7" t="str">
        <f>'[1]V, inciso p) (OP)'!D115</f>
        <v>DOPI-FED-R23-IM-LP-188-2016</v>
      </c>
      <c r="D201" s="13">
        <f>'[1]V, inciso p) (OP)'!AD115</f>
        <v>42704</v>
      </c>
      <c r="E201" s="7" t="str">
        <f>'[1]V, inciso p) (OP)'!AL115</f>
        <v>Construcción de la primera etapa del centro comunitario, Centro de Emprendimiento, en Miramar, frente 1.</v>
      </c>
      <c r="F201" s="7" t="s">
        <v>648</v>
      </c>
      <c r="G201" s="11">
        <f>'[1]V, inciso p) (OP)'!AG115</f>
        <v>18435309.59</v>
      </c>
      <c r="H201" s="7" t="str">
        <f>'[1]V, inciso p) (OP)'!AS115</f>
        <v>Colonia Miramar</v>
      </c>
      <c r="I201" s="7" t="str">
        <f>'[1]V, inciso p) (OP)'!T115</f>
        <v>Luis German</v>
      </c>
      <c r="J201" s="7" t="str">
        <f>'[1]V, inciso p) (OP)'!U115</f>
        <v xml:space="preserve">Delgadillo </v>
      </c>
      <c r="K201" s="7" t="str">
        <f>'[1]V, inciso p) (OP)'!V115</f>
        <v>Alcazar</v>
      </c>
      <c r="L201" s="7" t="str">
        <f>'[1]V, inciso p) (OP)'!W115</f>
        <v>Axioma Proyectos e Ingeniería, S. A. de C. V.</v>
      </c>
      <c r="M201" s="7" t="str">
        <f>'[1]V, inciso p) (OP)'!X115</f>
        <v>APE111122MI0</v>
      </c>
      <c r="N201" s="11">
        <f>G201</f>
        <v>18435309.59</v>
      </c>
      <c r="O201" s="7" t="s">
        <v>40</v>
      </c>
      <c r="P201" s="7" t="s">
        <v>799</v>
      </c>
      <c r="Q201" s="11">
        <f>N201/1601</f>
        <v>11514.871698938163</v>
      </c>
      <c r="R201" s="7" t="s">
        <v>42</v>
      </c>
      <c r="S201" s="15">
        <v>4790</v>
      </c>
      <c r="T201" s="7" t="s">
        <v>43</v>
      </c>
      <c r="U201" s="7" t="s">
        <v>584</v>
      </c>
      <c r="V201" s="13">
        <f>'[1]V, inciso p) (OP)'!AM115</f>
        <v>42705</v>
      </c>
      <c r="W201" s="13">
        <f>'[1]V, inciso p) (OP)'!AN115</f>
        <v>42735</v>
      </c>
      <c r="X201" s="7" t="s">
        <v>668</v>
      </c>
      <c r="Y201" s="7" t="s">
        <v>88</v>
      </c>
      <c r="Z201" s="7" t="s">
        <v>798</v>
      </c>
      <c r="AA201" s="7" t="s">
        <v>40</v>
      </c>
      <c r="AB201" s="7" t="s">
        <v>40</v>
      </c>
    </row>
    <row r="202" spans="1:28" ht="69.95" customHeight="1">
      <c r="A202" s="7">
        <v>2016</v>
      </c>
      <c r="B202" s="7" t="s">
        <v>30</v>
      </c>
      <c r="C202" s="7" t="str">
        <f>'[1]V, inciso p) (OP)'!D116</f>
        <v>DOPI-FED-R23-IM-LP-189-2016</v>
      </c>
      <c r="D202" s="13">
        <f>'[1]V, inciso p) (OP)'!AD116</f>
        <v>42704</v>
      </c>
      <c r="E202" s="7" t="str">
        <f>'[1]V, inciso p) (OP)'!AL116</f>
        <v>Construcción de la primera etapa del centro comunitario, Centro de Emprendimiento, en Miramar, frente 2.</v>
      </c>
      <c r="F202" s="7" t="s">
        <v>648</v>
      </c>
      <c r="G202" s="11">
        <f>'[1]V, inciso p) (OP)'!AG116</f>
        <v>4817658.4800000004</v>
      </c>
      <c r="H202" s="7" t="str">
        <f>'[1]V, inciso p) (OP)'!AS116</f>
        <v>Colonia Miramar</v>
      </c>
      <c r="I202" s="7" t="str">
        <f>'[1]V, inciso p) (OP)'!T116</f>
        <v>Gustavo Alejandro</v>
      </c>
      <c r="J202" s="7" t="str">
        <f>'[1]V, inciso p) (OP)'!U116</f>
        <v>Ledezma</v>
      </c>
      <c r="K202" s="7" t="str">
        <f>'[1]V, inciso p) (OP)'!V116</f>
        <v xml:space="preserve"> Cervantes</v>
      </c>
      <c r="L202" s="7" t="str">
        <f>'[1]V, inciso p) (OP)'!W116</f>
        <v>Edificaciones y Proyectos Roca, S.A. de C.V.</v>
      </c>
      <c r="M202" s="7" t="str">
        <f>'[1]V, inciso p) (OP)'!X116</f>
        <v>EPR131016I71</v>
      </c>
      <c r="N202" s="11">
        <f t="shared" ref="N202:N223" si="5">G202</f>
        <v>4817658.4800000004</v>
      </c>
      <c r="O202" s="7" t="s">
        <v>40</v>
      </c>
      <c r="P202" s="7" t="s">
        <v>800</v>
      </c>
      <c r="Q202" s="11">
        <f>N202/4215</f>
        <v>1142.9794733096087</v>
      </c>
      <c r="R202" s="7" t="s">
        <v>42</v>
      </c>
      <c r="S202" s="15">
        <v>4790</v>
      </c>
      <c r="T202" s="7" t="s">
        <v>43</v>
      </c>
      <c r="U202" s="7" t="s">
        <v>584</v>
      </c>
      <c r="V202" s="13">
        <f>'[1]V, inciso p) (OP)'!AM116</f>
        <v>42705</v>
      </c>
      <c r="W202" s="13">
        <f>'[1]V, inciso p) (OP)'!AN116</f>
        <v>42735</v>
      </c>
      <c r="X202" s="7" t="s">
        <v>668</v>
      </c>
      <c r="Y202" s="7" t="s">
        <v>88</v>
      </c>
      <c r="Z202" s="7" t="s">
        <v>798</v>
      </c>
      <c r="AA202" s="7" t="s">
        <v>40</v>
      </c>
      <c r="AB202" s="7" t="s">
        <v>40</v>
      </c>
    </row>
    <row r="203" spans="1:28" ht="69.95" customHeight="1">
      <c r="A203" s="7">
        <v>2016</v>
      </c>
      <c r="B203" s="7" t="s">
        <v>30</v>
      </c>
      <c r="C203" s="7" t="str">
        <f>'[1]V, inciso p) (OP)'!D117</f>
        <v>DOPI-FED-PR-PAV-LP-190-2016</v>
      </c>
      <c r="D203" s="13">
        <f>'[1]V, inciso p) (OP)'!AD117</f>
        <v>42704</v>
      </c>
      <c r="E203" s="7" t="str">
        <f>'[1]V, inciso p) (OP)'!AL117</f>
        <v>Pavimentación con concreto hidráulico de la Calle Rizo Ayala, incluye: red de agua potable y alcantarillado, alumbrado público y guarniciones, banquetas, renivelación de pozos y cajas, señalamiento horizontal y vertical, municipio de Zapopan, Jalisco.</v>
      </c>
      <c r="F203" s="7" t="s">
        <v>648</v>
      </c>
      <c r="G203" s="11">
        <f>'[1]V, inciso p) (OP)'!AG117</f>
        <v>2963838.41</v>
      </c>
      <c r="H203" s="7" t="str">
        <f>'[1]V, inciso p) (OP)'!AS117</f>
        <v>Colonia La Martinica</v>
      </c>
      <c r="I203" s="7" t="str">
        <f>'[1]V, inciso p) (OP)'!T117</f>
        <v>Blanca Estela</v>
      </c>
      <c r="J203" s="7" t="str">
        <f>'[1]V, inciso p) (OP)'!U117</f>
        <v>Moreno</v>
      </c>
      <c r="K203" s="7" t="str">
        <f>'[1]V, inciso p) (OP)'!V117</f>
        <v>Lemus</v>
      </c>
      <c r="L203" s="7" t="str">
        <f>'[1]V, inciso p) (OP)'!W117</f>
        <v xml:space="preserve">Estudios, Proyectos y Construcciones de Guadalajara, S.A. de C.V. </v>
      </c>
      <c r="M203" s="7" t="str">
        <f>'[1]V, inciso p) (OP)'!X117</f>
        <v>EPC7107236R1</v>
      </c>
      <c r="N203" s="11">
        <f t="shared" si="5"/>
        <v>2963838.41</v>
      </c>
      <c r="O203" s="7" t="s">
        <v>40</v>
      </c>
      <c r="P203" s="7" t="s">
        <v>801</v>
      </c>
      <c r="Q203" s="11">
        <f>N203/1440</f>
        <v>2058.2211180555555</v>
      </c>
      <c r="R203" s="7" t="s">
        <v>42</v>
      </c>
      <c r="S203" s="15">
        <v>1840</v>
      </c>
      <c r="T203" s="7" t="s">
        <v>43</v>
      </c>
      <c r="U203" s="7" t="s">
        <v>584</v>
      </c>
      <c r="V203" s="13">
        <f>'[1]V, inciso p) (OP)'!AM117</f>
        <v>42705</v>
      </c>
      <c r="W203" s="13">
        <f>'[1]V, inciso p) (OP)'!AN117</f>
        <v>42735</v>
      </c>
      <c r="X203" s="7" t="s">
        <v>783</v>
      </c>
      <c r="Y203" s="7" t="s">
        <v>784</v>
      </c>
      <c r="Z203" s="7" t="s">
        <v>117</v>
      </c>
      <c r="AA203" s="7" t="s">
        <v>40</v>
      </c>
      <c r="AB203" s="7" t="s">
        <v>40</v>
      </c>
    </row>
    <row r="204" spans="1:28" ht="69.95" customHeight="1">
      <c r="A204" s="7">
        <v>2016</v>
      </c>
      <c r="B204" s="7" t="s">
        <v>30</v>
      </c>
      <c r="C204" s="7" t="str">
        <f>'[1]V, inciso p) (OP)'!D118</f>
        <v>DOPI-FED-PR-PAV-LP-191-2016</v>
      </c>
      <c r="D204" s="13">
        <f>'[1]V, inciso p) (OP)'!AD118</f>
        <v>42704</v>
      </c>
      <c r="E204" s="7" t="str">
        <f>'[1]V, inciso p) (OP)'!AL118</f>
        <v>Reencarpetamiento de vialidad Calle Pípila con concreto hidráulico desde la Calle Felipe Ángeles a la Calle Rizo Ayala, incluye: guarniciones, banquetas, renivelación de pozos y cajas, señalamiento vertical y horizontal, Municipio de Zapopan, Jalisco</v>
      </c>
      <c r="F204" s="7" t="s">
        <v>648</v>
      </c>
      <c r="G204" s="11">
        <f>'[1]V, inciso p) (OP)'!AG118</f>
        <v>9700078.7599999998</v>
      </c>
      <c r="H204" s="7" t="str">
        <f>'[1]V, inciso p) (OP)'!AS118</f>
        <v>Colonia La Martinica</v>
      </c>
      <c r="I204" s="7" t="str">
        <f>'[1]V, inciso p) (OP)'!T118</f>
        <v>Sergio Cesar</v>
      </c>
      <c r="J204" s="7" t="str">
        <f>'[1]V, inciso p) (OP)'!U118</f>
        <v>Diaz</v>
      </c>
      <c r="K204" s="7" t="str">
        <f>'[1]V, inciso p) (OP)'!V118</f>
        <v>Quiroz</v>
      </c>
      <c r="L204" s="7" t="str">
        <f>'[1]V, inciso p) (OP)'!W118</f>
        <v>Grupo Unicreto S.A. de C.V.</v>
      </c>
      <c r="M204" s="7" t="str">
        <f>'[1]V, inciso p) (OP)'!X118</f>
        <v>GUN880613NY1</v>
      </c>
      <c r="N204" s="11">
        <f t="shared" si="5"/>
        <v>9700078.7599999998</v>
      </c>
      <c r="O204" s="7" t="s">
        <v>40</v>
      </c>
      <c r="P204" s="7" t="s">
        <v>802</v>
      </c>
      <c r="Q204" s="11">
        <f>N204/6183</f>
        <v>1568.8304641759664</v>
      </c>
      <c r="R204" s="7" t="s">
        <v>42</v>
      </c>
      <c r="S204" s="15">
        <v>1840</v>
      </c>
      <c r="T204" s="7" t="s">
        <v>43</v>
      </c>
      <c r="U204" s="7" t="s">
        <v>44</v>
      </c>
      <c r="V204" s="13">
        <f>'[1]V, inciso p) (OP)'!AM118</f>
        <v>42705</v>
      </c>
      <c r="W204" s="13">
        <f>'[1]V, inciso p) (OP)'!AN118</f>
        <v>42735</v>
      </c>
      <c r="X204" s="7" t="s">
        <v>783</v>
      </c>
      <c r="Y204" s="7" t="s">
        <v>784</v>
      </c>
      <c r="Z204" s="7" t="s">
        <v>117</v>
      </c>
      <c r="AA204" s="7" t="s">
        <v>40</v>
      </c>
      <c r="AB204" s="7" t="s">
        <v>40</v>
      </c>
    </row>
    <row r="205" spans="1:28" ht="69.95" customHeight="1">
      <c r="A205" s="7">
        <v>2016</v>
      </c>
      <c r="B205" s="7" t="s">
        <v>30</v>
      </c>
      <c r="C205" s="7" t="str">
        <f>'[1]V, inciso p) (OP)'!D119</f>
        <v>DOPI-FED-PR-PAV-LP-192-2016</v>
      </c>
      <c r="D205" s="13">
        <f>'[1]V, inciso p) (OP)'!AD119</f>
        <v>42704</v>
      </c>
      <c r="E205" s="7" t="str">
        <f>'[1]V, inciso p) (OP)'!AL119</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205" s="7" t="s">
        <v>648</v>
      </c>
      <c r="G205" s="11">
        <f>'[1]V, inciso p) (OP)'!AG119</f>
        <v>9006202.9700000007</v>
      </c>
      <c r="H205" s="7" t="str">
        <f>'[1]V, inciso p) (OP)'!AS119</f>
        <v>Colonia Parque del Auditorio</v>
      </c>
      <c r="I205" s="7" t="str">
        <f>'[1]V, inciso p) (OP)'!T119</f>
        <v>José</v>
      </c>
      <c r="J205" s="7" t="str">
        <f>'[1]V, inciso p) (OP)'!U119</f>
        <v>Plascencia</v>
      </c>
      <c r="K205" s="7" t="str">
        <f>'[1]V, inciso p) (OP)'!V119</f>
        <v>Casillas</v>
      </c>
      <c r="L205" s="7" t="str">
        <f>'[1]V, inciso p) (OP)'!W119</f>
        <v>PyP Constructora, S.A. de C.V.</v>
      </c>
      <c r="M205" s="7" t="str">
        <f>'[1]V, inciso p) (OP)'!X119</f>
        <v>PPC980828SY4</v>
      </c>
      <c r="N205" s="11">
        <f t="shared" si="5"/>
        <v>9006202.9700000007</v>
      </c>
      <c r="O205" s="7" t="s">
        <v>40</v>
      </c>
      <c r="P205" s="7" t="s">
        <v>803</v>
      </c>
      <c r="Q205" s="11">
        <f>N205/5521</f>
        <v>1631.2629904002899</v>
      </c>
      <c r="R205" s="7" t="s">
        <v>42</v>
      </c>
      <c r="S205" s="15">
        <v>2460</v>
      </c>
      <c r="T205" s="7" t="s">
        <v>43</v>
      </c>
      <c r="U205" s="7" t="s">
        <v>584</v>
      </c>
      <c r="V205" s="13">
        <f>'[1]V, inciso p) (OP)'!AM119</f>
        <v>42705</v>
      </c>
      <c r="W205" s="13">
        <f>'[1]V, inciso p) (OP)'!AN119</f>
        <v>42735</v>
      </c>
      <c r="X205" s="7" t="s">
        <v>783</v>
      </c>
      <c r="Y205" s="7" t="s">
        <v>784</v>
      </c>
      <c r="Z205" s="7" t="s">
        <v>117</v>
      </c>
      <c r="AA205" s="7" t="s">
        <v>40</v>
      </c>
      <c r="AB205" s="7" t="s">
        <v>40</v>
      </c>
    </row>
    <row r="206" spans="1:28" ht="69.95" customHeight="1">
      <c r="A206" s="7">
        <v>2016</v>
      </c>
      <c r="B206" s="7" t="s">
        <v>30</v>
      </c>
      <c r="C206" s="7" t="str">
        <f>'[1]V, inciso p) (OP)'!D120</f>
        <v>DOPI-FED-PR-PAV-LP-193-2016</v>
      </c>
      <c r="D206" s="13">
        <f>'[1]V, inciso p) (OP)'!AD120</f>
        <v>42704</v>
      </c>
      <c r="E206" s="7" t="str">
        <f>'[1]V, inciso p) (OP)'!AL120</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206" s="7" t="s">
        <v>648</v>
      </c>
      <c r="G206" s="11">
        <f>'[1]V, inciso p) (OP)'!AG120</f>
        <v>1879618.12</v>
      </c>
      <c r="H206" s="7" t="str">
        <f>'[1]V, inciso p) (OP)'!AS120</f>
        <v>Colonia Mesa Colorada Oriente</v>
      </c>
      <c r="I206" s="7" t="str">
        <f>'[1]V, inciso p) (OP)'!T120</f>
        <v>Erick</v>
      </c>
      <c r="J206" s="7" t="str">
        <f>'[1]V, inciso p) (OP)'!U120</f>
        <v>Villaseñor</v>
      </c>
      <c r="K206" s="7" t="str">
        <f>'[1]V, inciso p) (OP)'!V120</f>
        <v>Gutiérrez</v>
      </c>
      <c r="L206" s="7" t="str">
        <f>'[1]V, inciso p) (OP)'!W120</f>
        <v>Pixide Constructora, S.A. de C.V.</v>
      </c>
      <c r="M206" s="7" t="str">
        <f>'[1]V, inciso p) (OP)'!X120</f>
        <v>PCO140829425</v>
      </c>
      <c r="N206" s="11">
        <f t="shared" si="5"/>
        <v>1879618.12</v>
      </c>
      <c r="O206" s="7" t="s">
        <v>40</v>
      </c>
      <c r="P206" s="7" t="s">
        <v>804</v>
      </c>
      <c r="Q206" s="11">
        <f>N206/898</f>
        <v>2093.1159465478845</v>
      </c>
      <c r="R206" s="7" t="s">
        <v>42</v>
      </c>
      <c r="S206" s="15">
        <v>1450</v>
      </c>
      <c r="T206" s="7" t="s">
        <v>43</v>
      </c>
      <c r="U206" s="7" t="s">
        <v>44</v>
      </c>
      <c r="V206" s="13">
        <f>'[1]V, inciso p) (OP)'!AM120</f>
        <v>42705</v>
      </c>
      <c r="W206" s="13">
        <f>'[1]V, inciso p) (OP)'!AN120</f>
        <v>42735</v>
      </c>
      <c r="X206" s="7" t="s">
        <v>556</v>
      </c>
      <c r="Y206" s="7" t="s">
        <v>557</v>
      </c>
      <c r="Z206" s="7" t="s">
        <v>558</v>
      </c>
      <c r="AA206" s="7" t="s">
        <v>40</v>
      </c>
      <c r="AB206" s="7" t="s">
        <v>40</v>
      </c>
    </row>
    <row r="207" spans="1:28" ht="69.95" customHeight="1">
      <c r="A207" s="7">
        <v>2016</v>
      </c>
      <c r="B207" s="7" t="s">
        <v>30</v>
      </c>
      <c r="C207" s="7" t="str">
        <f>'[1]V, inciso p) (OP)'!D121</f>
        <v>DOPI-FED-SM-RS-LP-194-2016</v>
      </c>
      <c r="D207" s="13">
        <f>'[1]V, inciso p) (OP)'!AD121</f>
        <v>42704</v>
      </c>
      <c r="E207" s="7" t="str">
        <f>'[1]V, inciso p) (OP)'!AL121</f>
        <v>Construcción de la celda V y primera fase del equipamiento de la planta de separación y alta compactación para el relleno sanitario Picachos del municipio de Zapopan, Jalisco.</v>
      </c>
      <c r="F207" s="7" t="s">
        <v>648</v>
      </c>
      <c r="G207" s="11">
        <f>'[1]V, inciso p) (OP)'!AG121</f>
        <v>53876349.590000004</v>
      </c>
      <c r="H207" s="7" t="str">
        <f>'[1]V, inciso p) (OP)'!AS121</f>
        <v>Relleno Sanitario de Picachos</v>
      </c>
      <c r="I207" s="7" t="str">
        <f>'[1]V, inciso p) (OP)'!T121</f>
        <v>Héctor</v>
      </c>
      <c r="J207" s="7" t="str">
        <f>'[1]V, inciso p) (OP)'!U121</f>
        <v>Gaytán</v>
      </c>
      <c r="K207" s="7" t="str">
        <f>'[1]V, inciso p) (OP)'!V121</f>
        <v>Galicia</v>
      </c>
      <c r="L207" s="7" t="str">
        <f>'[1]V, inciso p) (OP)'!W121</f>
        <v>Secoi Construcciones y Servicios, S.A. de C.V.</v>
      </c>
      <c r="M207" s="7" t="str">
        <f>'[1]V, inciso p) (OP)'!X121</f>
        <v>SCS1301173MA</v>
      </c>
      <c r="N207" s="11">
        <f t="shared" si="5"/>
        <v>53876349.590000004</v>
      </c>
      <c r="O207" s="7" t="s">
        <v>40</v>
      </c>
      <c r="P207" s="7" t="s">
        <v>805</v>
      </c>
      <c r="Q207" s="11">
        <f>N207/47361.07</f>
        <v>1137.5661400808724</v>
      </c>
      <c r="R207" s="7" t="s">
        <v>42</v>
      </c>
      <c r="S207" s="15">
        <v>1243756</v>
      </c>
      <c r="T207" s="7" t="s">
        <v>43</v>
      </c>
      <c r="U207" s="7" t="s">
        <v>584</v>
      </c>
      <c r="V207" s="13">
        <f>'[1]V, inciso p) (OP)'!AM121</f>
        <v>42705</v>
      </c>
      <c r="W207" s="13">
        <f>'[1]V, inciso p) (OP)'!AN121</f>
        <v>42735</v>
      </c>
      <c r="X207" s="7" t="s">
        <v>699</v>
      </c>
      <c r="Y207" s="7" t="s">
        <v>513</v>
      </c>
      <c r="Z207" s="7" t="s">
        <v>280</v>
      </c>
      <c r="AA207" s="7" t="s">
        <v>40</v>
      </c>
      <c r="AB207" s="7" t="s">
        <v>40</v>
      </c>
    </row>
    <row r="208" spans="1:28" ht="69.95" customHeight="1">
      <c r="A208" s="7">
        <v>2016</v>
      </c>
      <c r="B208" s="7" t="s">
        <v>30</v>
      </c>
      <c r="C208" s="7" t="str">
        <f>'[1]V, inciso p) (OP)'!D122</f>
        <v>DOPI-EST-FC-IS-LP-195-2016</v>
      </c>
      <c r="D208" s="13">
        <f>'[1]V, inciso p) (OP)'!AD122</f>
        <v>42726</v>
      </c>
      <c r="E208" s="7" t="str">
        <f>'[1]V, inciso p) (OP)'!AL122</f>
        <v>Rehabilitación de Cruz Verde Federalismo, Municipio de Zapopan, Jalisco.</v>
      </c>
      <c r="F208" s="7" t="s">
        <v>669</v>
      </c>
      <c r="G208" s="11">
        <f>'[1]V, inciso p) (OP)'!AG122</f>
        <v>4495293.74</v>
      </c>
      <c r="H208" s="7" t="str">
        <f>'[1]V, inciso p) (OP)'!AS122</f>
        <v>Colonia Auditorio</v>
      </c>
      <c r="I208" s="7" t="str">
        <f>'[1]V, inciso p) (OP)'!T122</f>
        <v>Luis Armando</v>
      </c>
      <c r="J208" s="7" t="str">
        <f>'[1]V, inciso p) (OP)'!U122</f>
        <v>Linares</v>
      </c>
      <c r="K208" s="7" t="str">
        <f>'[1]V, inciso p) (OP)'!V122</f>
        <v>Cacho</v>
      </c>
      <c r="L208" s="7" t="str">
        <f>'[1]V, inciso p) (OP)'!W122</f>
        <v>Urbanizadora y Constructora Roal, S.A. de C.V.</v>
      </c>
      <c r="M208" s="7" t="str">
        <f>'[1]V, inciso p) (OP)'!X122</f>
        <v>URC160310857</v>
      </c>
      <c r="N208" s="11">
        <f t="shared" si="5"/>
        <v>4495293.74</v>
      </c>
      <c r="O208" s="7" t="s">
        <v>40</v>
      </c>
      <c r="P208" s="7" t="s">
        <v>806</v>
      </c>
      <c r="Q208" s="11">
        <f>N208/417.4</f>
        <v>10769.750215620508</v>
      </c>
      <c r="R208" s="7" t="s">
        <v>42</v>
      </c>
      <c r="S208" s="15">
        <v>242366</v>
      </c>
      <c r="T208" s="7" t="s">
        <v>43</v>
      </c>
      <c r="U208" s="7" t="s">
        <v>584</v>
      </c>
      <c r="V208" s="13">
        <f>'[1]V, inciso p) (OP)'!AM122</f>
        <v>42727</v>
      </c>
      <c r="W208" s="13">
        <f>'[1]V, inciso p) (OP)'!AN122</f>
        <v>42816</v>
      </c>
      <c r="X208" s="7" t="s">
        <v>741</v>
      </c>
      <c r="Y208" s="7" t="s">
        <v>742</v>
      </c>
      <c r="Z208" s="7" t="s">
        <v>743</v>
      </c>
      <c r="AA208" s="7" t="s">
        <v>40</v>
      </c>
      <c r="AB208" s="7" t="s">
        <v>40</v>
      </c>
    </row>
    <row r="209" spans="1:28" ht="69.95" customHeight="1">
      <c r="A209" s="7">
        <v>2016</v>
      </c>
      <c r="B209" s="7" t="s">
        <v>30</v>
      </c>
      <c r="C209" s="7" t="str">
        <f>'[1]V, inciso p) (OP)'!D123</f>
        <v>DOPI-EST-CR-IM-LP-196-2016</v>
      </c>
      <c r="D209" s="13">
        <f>'[1]V, inciso p) (OP)'!AD123</f>
        <v>42726</v>
      </c>
      <c r="E209" s="7" t="str">
        <f>'[1]V, inciso p) (OP)'!AL123</f>
        <v>Construcción del Centro Cultural en Villa de Guadalupe.</v>
      </c>
      <c r="F209" s="7" t="s">
        <v>669</v>
      </c>
      <c r="G209" s="11">
        <f>'[1]V, inciso p) (OP)'!AG123</f>
        <v>14395555.26</v>
      </c>
      <c r="H209" s="7" t="str">
        <f>'[1]V, inciso p) (OP)'!AS123</f>
        <v>Colonia Villa de Guadalupe</v>
      </c>
      <c r="I209" s="7" t="str">
        <f>'[1]V, inciso p) (OP)'!T123</f>
        <v>José Antonio</v>
      </c>
      <c r="J209" s="7" t="str">
        <f>'[1]V, inciso p) (OP)'!U123</f>
        <v>Álvarez</v>
      </c>
      <c r="K209" s="7" t="str">
        <f>'[1]V, inciso p) (OP)'!V123</f>
        <v>García</v>
      </c>
      <c r="L209" s="7" t="str">
        <f>'[1]V, inciso p) (OP)'!W123</f>
        <v>Urcoma 1970, S.A. de C.V.</v>
      </c>
      <c r="M209" s="7" t="str">
        <f>'[1]V, inciso p) (OP)'!X123</f>
        <v>UMN160125869</v>
      </c>
      <c r="N209" s="11">
        <f t="shared" si="5"/>
        <v>14395555.26</v>
      </c>
      <c r="O209" s="7" t="s">
        <v>40</v>
      </c>
      <c r="P209" s="7" t="s">
        <v>807</v>
      </c>
      <c r="Q209" s="11">
        <f>N209/767.32</f>
        <v>18760.82372413074</v>
      </c>
      <c r="R209" s="7" t="s">
        <v>42</v>
      </c>
      <c r="S209" s="15">
        <v>84152</v>
      </c>
      <c r="T209" s="7" t="s">
        <v>43</v>
      </c>
      <c r="U209" s="7" t="s">
        <v>584</v>
      </c>
      <c r="V209" s="13">
        <f>'[1]V, inciso p) (OP)'!AM123</f>
        <v>42727</v>
      </c>
      <c r="W209" s="13">
        <f>'[1]V, inciso p) (OP)'!AN123</f>
        <v>42846</v>
      </c>
      <c r="X209" s="7" t="s">
        <v>741</v>
      </c>
      <c r="Y209" s="7" t="s">
        <v>742</v>
      </c>
      <c r="Z209" s="7" t="s">
        <v>743</v>
      </c>
      <c r="AA209" s="7" t="s">
        <v>40</v>
      </c>
      <c r="AB209" s="7" t="s">
        <v>40</v>
      </c>
    </row>
    <row r="210" spans="1:28" ht="69.95" customHeight="1">
      <c r="A210" s="7">
        <v>2016</v>
      </c>
      <c r="B210" s="7" t="s">
        <v>296</v>
      </c>
      <c r="C210" s="7" t="str">
        <f>'[1]V, inciso p) (OP)'!D124</f>
        <v>DOPI‐MUN‐PP‐EP‐CI‐198‐2016</v>
      </c>
      <c r="D210" s="13">
        <f>'[1]V, inciso p) (OP)'!AD124</f>
        <v>42727</v>
      </c>
      <c r="E210" s="7" t="str">
        <f>'[1]V, inciso p) (OP)'!AL124</f>
        <v>Mejoramiento de la imagen urbana de la plaza pública de localidad de Tesistán municipio de Zapopan, Jalisco.</v>
      </c>
      <c r="F210" s="7" t="s">
        <v>67</v>
      </c>
      <c r="G210" s="11">
        <f>'[1]V, inciso p) (OP)'!AG124</f>
        <v>8110239.25</v>
      </c>
      <c r="H210" s="7" t="str">
        <f>'[1]V, inciso p) (OP)'!AS124</f>
        <v>Localidad de Tesistán</v>
      </c>
      <c r="I210" s="7" t="str">
        <f>'[1]V, inciso p) (OP)'!T124</f>
        <v>Amalia</v>
      </c>
      <c r="J210" s="7" t="str">
        <f>'[1]V, inciso p) (OP)'!U124</f>
        <v>Moreno</v>
      </c>
      <c r="K210" s="7" t="str">
        <f>'[1]V, inciso p) (OP)'!V124</f>
        <v>Maldonado</v>
      </c>
      <c r="L210" s="7" t="str">
        <f>'[1]V, inciso p) (OP)'!W124</f>
        <v>Grupo Constructor los Muros, S.A. de C.V.</v>
      </c>
      <c r="M210" s="7" t="str">
        <f>'[1]V, inciso p) (OP)'!X124</f>
        <v>GCM020226F28</v>
      </c>
      <c r="N210" s="11">
        <f t="shared" si="5"/>
        <v>8110239.25</v>
      </c>
      <c r="O210" s="7" t="s">
        <v>40</v>
      </c>
      <c r="P210" s="7" t="s">
        <v>808</v>
      </c>
      <c r="Q210" s="11">
        <f>N210/3642.95</f>
        <v>2226.2834378731523</v>
      </c>
      <c r="R210" s="7" t="s">
        <v>42</v>
      </c>
      <c r="S210" s="15">
        <v>39269</v>
      </c>
      <c r="T210" s="7" t="s">
        <v>43</v>
      </c>
      <c r="U210" s="7" t="s">
        <v>584</v>
      </c>
      <c r="V210" s="13">
        <f>'[1]V, inciso p) (OP)'!AM124</f>
        <v>42730</v>
      </c>
      <c r="W210" s="13">
        <f>'[1]V, inciso p) (OP)'!AN124</f>
        <v>42831</v>
      </c>
      <c r="X210" s="7" t="s">
        <v>544</v>
      </c>
      <c r="Y210" s="7" t="s">
        <v>545</v>
      </c>
      <c r="Z210" s="7" t="s">
        <v>212</v>
      </c>
      <c r="AA210" s="7" t="s">
        <v>40</v>
      </c>
      <c r="AB210" s="7" t="s">
        <v>40</v>
      </c>
    </row>
    <row r="211" spans="1:28" s="1" customFormat="1" ht="69.95" customHeight="1">
      <c r="A211" s="7">
        <v>2016</v>
      </c>
      <c r="B211" s="7" t="s">
        <v>30</v>
      </c>
      <c r="C211" s="7" t="str">
        <f>'[1]V, inciso p) (OP)'!D125</f>
        <v>DOPI‐MUN‐PP‐IS‐LP‐199‐2016</v>
      </c>
      <c r="D211" s="13">
        <f>'[1]V, inciso p) (OP)'!AD125</f>
        <v>42754</v>
      </c>
      <c r="E211" s="7" t="str">
        <f>'[1]V, inciso p) (OP)'!AL125</f>
        <v>Construcción de la cruz verde Villa de Guadalupe, en la zona de las mesas, municipio de Zapopan, Jalisco.</v>
      </c>
      <c r="F211" s="7" t="s">
        <v>67</v>
      </c>
      <c r="G211" s="11">
        <f>'[1]V, inciso p) (OP)'!AG125</f>
        <v>28125202.050000001</v>
      </c>
      <c r="H211" s="7" t="str">
        <f>'[1]V, inciso p) (OP)'!AS125</f>
        <v>Zona de Las Mesas</v>
      </c>
      <c r="I211" s="7" t="str">
        <f>'[1]V, inciso p) (OP)'!T125</f>
        <v>Ernesto</v>
      </c>
      <c r="J211" s="7" t="str">
        <f>'[1]V, inciso p) (OP)'!U125</f>
        <v>Olivares</v>
      </c>
      <c r="K211" s="7" t="str">
        <f>'[1]V, inciso p) (OP)'!V125</f>
        <v>Álvarez</v>
      </c>
      <c r="L211" s="7" t="str">
        <f>'[1]V, inciso p) (OP)'!W125</f>
        <v>Servicios Metropolitanos de Jalisco, S.A. de C.V.</v>
      </c>
      <c r="M211" s="7" t="str">
        <f>'[1]V, inciso p) (OP)'!X125</f>
        <v>SMJ090317FS9</v>
      </c>
      <c r="N211" s="11">
        <f t="shared" si="5"/>
        <v>28125202.050000001</v>
      </c>
      <c r="O211" s="7" t="s">
        <v>40</v>
      </c>
      <c r="P211" s="7" t="s">
        <v>809</v>
      </c>
      <c r="Q211" s="11">
        <f>N211/1200</f>
        <v>23437.668375000001</v>
      </c>
      <c r="R211" s="7" t="s">
        <v>42</v>
      </c>
      <c r="S211" s="15">
        <v>92780</v>
      </c>
      <c r="T211" s="7" t="s">
        <v>43</v>
      </c>
      <c r="U211" s="7" t="s">
        <v>584</v>
      </c>
      <c r="V211" s="13">
        <f>'[1]V, inciso p) (OP)'!AM125</f>
        <v>42755</v>
      </c>
      <c r="W211" s="13">
        <f>'[1]V, inciso p) (OP)'!AN125</f>
        <v>42874</v>
      </c>
      <c r="X211" s="7" t="s">
        <v>741</v>
      </c>
      <c r="Y211" s="7" t="s">
        <v>742</v>
      </c>
      <c r="Z211" s="7" t="s">
        <v>743</v>
      </c>
      <c r="AA211" s="7" t="s">
        <v>40</v>
      </c>
      <c r="AB211" s="7" t="s">
        <v>40</v>
      </c>
    </row>
    <row r="212" spans="1:28" ht="69.95" customHeight="1">
      <c r="A212" s="7">
        <v>2016</v>
      </c>
      <c r="B212" s="7" t="s">
        <v>296</v>
      </c>
      <c r="C212" s="7" t="str">
        <f>'[1]V, inciso p) (OP)'!D126</f>
        <v>DOPI-MUN-PP-ID-CI-200-2016</v>
      </c>
      <c r="D212" s="13">
        <f>'[1]V, inciso p) (OP)'!AD126</f>
        <v>42727</v>
      </c>
      <c r="E212" s="7" t="str">
        <f>'[1]V, inciso p) (OP)'!AL126</f>
        <v>Rehabilitación de las instalaciones y equipamiento deportivo de la Unidad Deportiva Lomas de Tabachines, municipio de Zapopan, Jalisco.</v>
      </c>
      <c r="F212" s="7" t="s">
        <v>67</v>
      </c>
      <c r="G212" s="11">
        <f>'[1]V, inciso p) (OP)'!AG126</f>
        <v>6502584.6699999999</v>
      </c>
      <c r="H212" s="7" t="str">
        <f>'[1]V, inciso p) (OP)'!AS126</f>
        <v>Colonia Lomas de Tabachines</v>
      </c>
      <c r="I212" s="7" t="str">
        <f>'[1]V, inciso p) (OP)'!T126</f>
        <v>Carlos Alberto</v>
      </c>
      <c r="J212" s="7" t="str">
        <f>'[1]V, inciso p) (OP)'!U126</f>
        <v>Villaseñor</v>
      </c>
      <c r="K212" s="7" t="str">
        <f>'[1]V, inciso p) (OP)'!V126</f>
        <v>Núñez</v>
      </c>
      <c r="L212" s="7" t="str">
        <f>'[1]V, inciso p) (OP)'!W126</f>
        <v>MTQ de México, S.A. de C.V.</v>
      </c>
      <c r="M212" s="7" t="str">
        <f>'[1]V, inciso p) (OP)'!X126</f>
        <v>MME011214IV5</v>
      </c>
      <c r="N212" s="11">
        <f t="shared" si="5"/>
        <v>6502584.6699999999</v>
      </c>
      <c r="O212" s="7" t="s">
        <v>40</v>
      </c>
      <c r="P212" s="7" t="s">
        <v>810</v>
      </c>
      <c r="Q212" s="11">
        <f>N212/9522.21</f>
        <v>682.88608106731533</v>
      </c>
      <c r="R212" s="7" t="s">
        <v>42</v>
      </c>
      <c r="S212" s="15">
        <v>26544</v>
      </c>
      <c r="T212" s="7" t="s">
        <v>43</v>
      </c>
      <c r="U212" s="7" t="s">
        <v>584</v>
      </c>
      <c r="V212" s="13">
        <f>'[1]V, inciso p) (OP)'!AM126</f>
        <v>42730</v>
      </c>
      <c r="W212" s="13">
        <f>'[1]V, inciso p) (OP)'!AN126</f>
        <v>42820</v>
      </c>
      <c r="X212" s="7" t="s">
        <v>681</v>
      </c>
      <c r="Y212" s="7" t="s">
        <v>682</v>
      </c>
      <c r="Z212" s="7" t="s">
        <v>683</v>
      </c>
      <c r="AA212" s="7" t="s">
        <v>40</v>
      </c>
      <c r="AB212" s="7" t="s">
        <v>40</v>
      </c>
    </row>
    <row r="213" spans="1:28" ht="69.95" customHeight="1">
      <c r="A213" s="7">
        <v>2016</v>
      </c>
      <c r="B213" s="7" t="s">
        <v>296</v>
      </c>
      <c r="C213" s="7" t="str">
        <f>'[1]V, inciso p) (OP)'!D127</f>
        <v>DOPI-MUN-RM-ID-CI-201-2016</v>
      </c>
      <c r="D213" s="13">
        <f>'[1]V, inciso p) (OP)'!AD127</f>
        <v>42727</v>
      </c>
      <c r="E213" s="7" t="str">
        <f>'[1]V, inciso p) (OP)'!AL127</f>
        <v>Rehabilitación de las instalaciones y equipamiento deportivo de la Unidad Deportiva Santa María del Pueblito, municipio de Zapopan, Jalisco.</v>
      </c>
      <c r="F213" s="7" t="s">
        <v>67</v>
      </c>
      <c r="G213" s="11">
        <f>'[1]V, inciso p) (OP)'!AG127</f>
        <v>7474586.25</v>
      </c>
      <c r="H213" s="7" t="str">
        <f>'[1]V, inciso p) (OP)'!AS127</f>
        <v>Colonia Santa Maria del Pueblito</v>
      </c>
      <c r="I213" s="7" t="str">
        <f>'[1]V, inciso p) (OP)'!T127</f>
        <v>Juan José</v>
      </c>
      <c r="J213" s="7" t="str">
        <f>'[1]V, inciso p) (OP)'!U127</f>
        <v>Gutiérrez</v>
      </c>
      <c r="K213" s="7" t="str">
        <f>'[1]V, inciso p) (OP)'!V127</f>
        <v>Contreras</v>
      </c>
      <c r="L213" s="7" t="str">
        <f>'[1]V, inciso p) (OP)'!W127</f>
        <v>Rencoist Construcciones, S.A. de C.V.</v>
      </c>
      <c r="M213" s="7" t="str">
        <f>'[1]V, inciso p) (OP)'!X127</f>
        <v>RCO130920JX9</v>
      </c>
      <c r="N213" s="11">
        <f t="shared" si="5"/>
        <v>7474586.25</v>
      </c>
      <c r="O213" s="7" t="s">
        <v>40</v>
      </c>
      <c r="P213" s="7" t="s">
        <v>811</v>
      </c>
      <c r="Q213" s="11">
        <f>N213/5960</f>
        <v>1254.1252097315437</v>
      </c>
      <c r="R213" s="7" t="s">
        <v>42</v>
      </c>
      <c r="S213" s="15">
        <v>19865</v>
      </c>
      <c r="T213" s="7" t="s">
        <v>43</v>
      </c>
      <c r="U213" s="7" t="s">
        <v>584</v>
      </c>
      <c r="V213" s="13">
        <f>'[1]V, inciso p) (OP)'!AM127</f>
        <v>42730</v>
      </c>
      <c r="W213" s="13">
        <f>'[1]V, inciso p) (OP)'!AN127</f>
        <v>42850</v>
      </c>
      <c r="X213" s="7" t="s">
        <v>701</v>
      </c>
      <c r="Y213" s="7" t="s">
        <v>524</v>
      </c>
      <c r="Z213" s="7" t="s">
        <v>254</v>
      </c>
      <c r="AA213" s="7" t="s">
        <v>40</v>
      </c>
      <c r="AB213" s="7" t="s">
        <v>40</v>
      </c>
    </row>
    <row r="214" spans="1:28" s="1" customFormat="1" ht="69.95" customHeight="1">
      <c r="A214" s="7">
        <v>2016</v>
      </c>
      <c r="B214" s="7" t="s">
        <v>30</v>
      </c>
      <c r="C214" s="7" t="str">
        <f>'[1]V, inciso p) (OP)'!D128</f>
        <v>DOPI-EST-CM-PAV-LP-202-2016</v>
      </c>
      <c r="D214" s="13">
        <f>'[1]V, inciso p) (OP)'!AD128</f>
        <v>42754</v>
      </c>
      <c r="E214" s="7" t="str">
        <f>'[1]V, inciso p) (OP)'!AL128</f>
        <v>Renovación urbana en área habitacional y de zona comercial del Andador 20 de Noviembre en el Centro de Zapopan, Jalisco.</v>
      </c>
      <c r="F214" s="7" t="s">
        <v>812</v>
      </c>
      <c r="G214" s="11">
        <f>'[1]V, inciso p) (OP)'!AG128</f>
        <v>16710004.48</v>
      </c>
      <c r="H214" s="7" t="str">
        <f>'[1]V, inciso p) (OP)'!AS128</f>
        <v>Zapopan Centro</v>
      </c>
      <c r="I214" s="7" t="str">
        <f>'[1]V, inciso p) (OP)'!T128</f>
        <v>Ignacio Javier</v>
      </c>
      <c r="J214" s="7" t="str">
        <f>'[1]V, inciso p) (OP)'!U128</f>
        <v>Curiel</v>
      </c>
      <c r="K214" s="7" t="str">
        <f>'[1]V, inciso p) (OP)'!V128</f>
        <v>Dueñas</v>
      </c>
      <c r="L214" s="7" t="str">
        <f>'[1]V, inciso p) (OP)'!W128</f>
        <v>TC Construcción y Mantenimiento, S.A. de C.V.</v>
      </c>
      <c r="M214" s="7" t="str">
        <f>'[1]V, inciso p) (OP)'!X128</f>
        <v>TCM100915HA1</v>
      </c>
      <c r="N214" s="11">
        <f t="shared" si="5"/>
        <v>16710004.48</v>
      </c>
      <c r="O214" s="7" t="s">
        <v>40</v>
      </c>
      <c r="P214" s="7" t="s">
        <v>813</v>
      </c>
      <c r="Q214" s="11">
        <f>N214/8833</f>
        <v>1891.7700079248275</v>
      </c>
      <c r="R214" s="7" t="s">
        <v>42</v>
      </c>
      <c r="S214" s="15">
        <v>643192</v>
      </c>
      <c r="T214" s="7" t="s">
        <v>43</v>
      </c>
      <c r="U214" s="7" t="s">
        <v>584</v>
      </c>
      <c r="V214" s="13">
        <f>'[1]V, inciso p) (OP)'!AM128</f>
        <v>42755</v>
      </c>
      <c r="W214" s="13">
        <f>'[1]V, inciso p) (OP)'!AN128</f>
        <v>42834</v>
      </c>
      <c r="X214" s="7" t="s">
        <v>686</v>
      </c>
      <c r="Y214" s="7" t="s">
        <v>814</v>
      </c>
      <c r="Z214" s="7" t="s">
        <v>815</v>
      </c>
      <c r="AA214" s="7" t="s">
        <v>40</v>
      </c>
      <c r="AB214" s="7" t="s">
        <v>40</v>
      </c>
    </row>
    <row r="215" spans="1:28" s="1" customFormat="1" ht="69.95" customHeight="1">
      <c r="A215" s="7">
        <v>2016</v>
      </c>
      <c r="B215" s="7" t="s">
        <v>30</v>
      </c>
      <c r="C215" s="7" t="str">
        <f>'[1]V, inciso p) (OP)'!D129</f>
        <v>DOPI-EST-CM-PAV-LP-203-2016</v>
      </c>
      <c r="D215" s="13">
        <f>'[1]V, inciso p) (OP)'!AD129</f>
        <v>42754</v>
      </c>
      <c r="E215" s="7" t="str">
        <f>'[1]V, inciso p) (OP)'!AL129</f>
        <v>Renovación urbana de área habitacional y de zona comercial de laterales de Av. Aviación, del tramo de Juan Gil Preciado a Camino Antiguo a Tesistán, en Zapopan, Jalisco.</v>
      </c>
      <c r="F215" s="7" t="s">
        <v>812</v>
      </c>
      <c r="G215" s="11">
        <f>'[1]V, inciso p) (OP)'!AG129</f>
        <v>12580210.390000001</v>
      </c>
      <c r="H215" s="7" t="str">
        <f>'[1]V, inciso p) (OP)'!AS129</f>
        <v>Col. Nuevo México</v>
      </c>
      <c r="I215" s="7" t="str">
        <f>'[1]V, inciso p) (OP)'!T129</f>
        <v>Felipe Daniel</v>
      </c>
      <c r="J215" s="7" t="str">
        <f>'[1]V, inciso p) (OP)'!U129</f>
        <v>Nuñez</v>
      </c>
      <c r="K215" s="7" t="str">
        <f>'[1]V, inciso p) (OP)'!V129</f>
        <v>Hernández</v>
      </c>
      <c r="L215" s="7" t="str">
        <f>'[1]V, inciso p) (OP)'!W129</f>
        <v>Grupo Constructor Felca, S.A. de C.V.</v>
      </c>
      <c r="M215" s="7" t="str">
        <f>'[1]V, inciso p) (OP)'!X129</f>
        <v>GCF8504255B8</v>
      </c>
      <c r="N215" s="11">
        <f t="shared" si="5"/>
        <v>12580210.390000001</v>
      </c>
      <c r="O215" s="7" t="s">
        <v>40</v>
      </c>
      <c r="P215" s="7" t="s">
        <v>816</v>
      </c>
      <c r="Q215" s="11">
        <f>N215/8401</f>
        <v>1497.4658243066303</v>
      </c>
      <c r="R215" s="7" t="s">
        <v>42</v>
      </c>
      <c r="S215" s="15">
        <v>174914</v>
      </c>
      <c r="T215" s="7" t="s">
        <v>43</v>
      </c>
      <c r="U215" s="7" t="s">
        <v>584</v>
      </c>
      <c r="V215" s="13">
        <f>'[1]V, inciso p) (OP)'!AM129</f>
        <v>42755</v>
      </c>
      <c r="W215" s="13">
        <f>'[1]V, inciso p) (OP)'!AN129</f>
        <v>42834</v>
      </c>
      <c r="X215" s="7" t="s">
        <v>605</v>
      </c>
      <c r="Y215" s="7" t="s">
        <v>442</v>
      </c>
      <c r="Z215" s="7" t="s">
        <v>101</v>
      </c>
      <c r="AA215" s="7" t="s">
        <v>40</v>
      </c>
      <c r="AB215" s="7" t="s">
        <v>40</v>
      </c>
    </row>
    <row r="216" spans="1:28" s="1" customFormat="1" ht="69.95" customHeight="1">
      <c r="A216" s="7">
        <v>2016</v>
      </c>
      <c r="B216" s="7" t="s">
        <v>30</v>
      </c>
      <c r="C216" s="7" t="str">
        <f>'[1]V, inciso p) (OP)'!D130</f>
        <v>DOPI-EST-CM-PAV-LP-204-2016</v>
      </c>
      <c r="D216" s="13">
        <f>'[1]V, inciso p) (OP)'!AD130</f>
        <v>42754</v>
      </c>
      <c r="E216" s="7" t="str">
        <f>'[1]V, inciso p) (OP)'!AL130</f>
        <v>Renovación urbana de área habitacional y de zona comercial de Av. Aviación, del tramo del Ingreso de Base Aérea No. 2 a Camino Antiguo a Tesistán, en Zapopan, Jalisco.</v>
      </c>
      <c r="F216" s="7" t="s">
        <v>812</v>
      </c>
      <c r="G216" s="11">
        <f>'[1]V, inciso p) (OP)'!AG130</f>
        <v>44287096.670000002</v>
      </c>
      <c r="H216" s="7" t="str">
        <f>'[1]V, inciso p) (OP)'!AS130</f>
        <v>Col. Nuevo México</v>
      </c>
      <c r="I216" s="7" t="str">
        <f>'[1]V, inciso p) (OP)'!T130</f>
        <v>Andrés Eduardo</v>
      </c>
      <c r="J216" s="7" t="str">
        <f>'[1]V, inciso p) (OP)'!U130</f>
        <v>Aceves</v>
      </c>
      <c r="K216" s="7" t="str">
        <f>'[1]V, inciso p) (OP)'!V130</f>
        <v>Castañeda</v>
      </c>
      <c r="L216" s="7" t="str">
        <f>'[1]V, inciso p) (OP)'!W130</f>
        <v>Secri Constructora, S.A. de C.V.</v>
      </c>
      <c r="M216" s="7" t="str">
        <f>'[1]V, inciso p) (OP)'!X130</f>
        <v>SCO100609EVA</v>
      </c>
      <c r="N216" s="11">
        <f t="shared" si="5"/>
        <v>44287096.670000002</v>
      </c>
      <c r="O216" s="7" t="s">
        <v>40</v>
      </c>
      <c r="P216" s="7" t="s">
        <v>817</v>
      </c>
      <c r="Q216" s="11">
        <f>N216/30276</f>
        <v>1462.7789889681596</v>
      </c>
      <c r="R216" s="7" t="s">
        <v>42</v>
      </c>
      <c r="S216" s="15">
        <v>174914</v>
      </c>
      <c r="T216" s="7" t="s">
        <v>43</v>
      </c>
      <c r="U216" s="7" t="s">
        <v>584</v>
      </c>
      <c r="V216" s="13">
        <f>'[1]V, inciso p) (OP)'!AM130</f>
        <v>42755</v>
      </c>
      <c r="W216" s="13">
        <f>'[1]V, inciso p) (OP)'!AN130</f>
        <v>42834</v>
      </c>
      <c r="X216" s="7" t="s">
        <v>605</v>
      </c>
      <c r="Y216" s="7" t="s">
        <v>442</v>
      </c>
      <c r="Z216" s="7" t="s">
        <v>101</v>
      </c>
      <c r="AA216" s="7" t="s">
        <v>40</v>
      </c>
      <c r="AB216" s="7" t="s">
        <v>40</v>
      </c>
    </row>
    <row r="217" spans="1:28" s="1" customFormat="1" ht="69.95" customHeight="1">
      <c r="A217" s="7">
        <v>2016</v>
      </c>
      <c r="B217" s="7" t="s">
        <v>30</v>
      </c>
      <c r="C217" s="7" t="str">
        <f>'[1]V, inciso p) (OP)'!D131</f>
        <v>DOPI-EST-CM-PAV-LP-205-2016</v>
      </c>
      <c r="D217" s="13">
        <f>'[1]V, inciso p) (OP)'!AD131</f>
        <v>42754</v>
      </c>
      <c r="E217" s="7" t="str">
        <f>'[1]V, inciso p) (OP)'!AL131</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17" s="7" t="s">
        <v>812</v>
      </c>
      <c r="G217" s="11">
        <f>'[1]V, inciso p) (OP)'!AG131</f>
        <v>18744083.59</v>
      </c>
      <c r="H217" s="7" t="str">
        <f>'[1]V, inciso p) (OP)'!AS131</f>
        <v>Col. San Juan de Ocotán</v>
      </c>
      <c r="I217" s="7" t="str">
        <f>'[1]V, inciso p) (OP)'!T131</f>
        <v>Mario</v>
      </c>
      <c r="J217" s="7" t="str">
        <f>'[1]V, inciso p) (OP)'!U131</f>
        <v>Beltrán</v>
      </c>
      <c r="K217" s="7" t="str">
        <f>'[1]V, inciso p) (OP)'!V131</f>
        <v>Rodríguez</v>
      </c>
      <c r="L217" s="7" t="str">
        <f>'[1]V, inciso p) (OP)'!W131</f>
        <v xml:space="preserve">Constructora y Desarrolladora Barba y Asociados, S. A. de C. V. </v>
      </c>
      <c r="M217" s="7" t="str">
        <f>'[1]V, inciso p) (OP)'!X131</f>
        <v>CDB0506068Z4</v>
      </c>
      <c r="N217" s="11">
        <f t="shared" si="5"/>
        <v>18744083.59</v>
      </c>
      <c r="O217" s="7" t="s">
        <v>40</v>
      </c>
      <c r="P217" s="7" t="s">
        <v>818</v>
      </c>
      <c r="Q217" s="11">
        <f>N217/14220</f>
        <v>1318.1493382559775</v>
      </c>
      <c r="R217" s="7" t="s">
        <v>42</v>
      </c>
      <c r="S217" s="15">
        <v>145782</v>
      </c>
      <c r="T217" s="7" t="s">
        <v>43</v>
      </c>
      <c r="U217" s="7" t="s">
        <v>584</v>
      </c>
      <c r="V217" s="13">
        <f>'[1]V, inciso p) (OP)'!AM131</f>
        <v>42755</v>
      </c>
      <c r="W217" s="13">
        <f>'[1]V, inciso p) (OP)'!AN131</f>
        <v>42834</v>
      </c>
      <c r="X217" s="7" t="s">
        <v>530</v>
      </c>
      <c r="Y217" s="7" t="s">
        <v>343</v>
      </c>
      <c r="Z217" s="7" t="s">
        <v>344</v>
      </c>
      <c r="AA217" s="7" t="s">
        <v>40</v>
      </c>
      <c r="AB217" s="7" t="s">
        <v>40</v>
      </c>
    </row>
    <row r="218" spans="1:28" ht="69.95" customHeight="1">
      <c r="A218" s="7">
        <v>2016</v>
      </c>
      <c r="B218" s="7" t="s">
        <v>296</v>
      </c>
      <c r="C218" s="7" t="str">
        <f>'[1]V, inciso p) (OP)'!D132</f>
        <v>DOPI-MUN-RM-ID-CI-206-2016</v>
      </c>
      <c r="D218" s="13">
        <f>'[1]V, inciso p) (OP)'!AD132</f>
        <v>42727</v>
      </c>
      <c r="E218" s="7" t="str">
        <f>'[1]V, inciso p) (OP)'!AL132</f>
        <v>Rehabilitación de las instalaciones y equipamiento deportivo de la Unidad Deportiva Miguel de la Madrid, municipio de Zapopan, Jalisco.</v>
      </c>
      <c r="F218" s="7" t="s">
        <v>67</v>
      </c>
      <c r="G218" s="11">
        <f>'[1]V, inciso p) (OP)'!AG132</f>
        <v>7998190.21</v>
      </c>
      <c r="H218" s="7" t="str">
        <f>'[1]V, inciso p) (OP)'!AS132</f>
        <v>Colonia Miguel de la Madrid</v>
      </c>
      <c r="I218" s="7" t="str">
        <f>'[1]V, inciso p) (OP)'!T132</f>
        <v>Apolinar</v>
      </c>
      <c r="J218" s="7" t="str">
        <f>'[1]V, inciso p) (OP)'!U132</f>
        <v>Gómez</v>
      </c>
      <c r="K218" s="7" t="str">
        <f>'[1]V, inciso p) (OP)'!V132</f>
        <v>Alonso</v>
      </c>
      <c r="L218" s="7" t="str">
        <f>'[1]V, inciso p) (OP)'!W132</f>
        <v>Edificaciones y Transformaciones Técnicas, S.A. de C.V.</v>
      </c>
      <c r="M218" s="7" t="str">
        <f>'[1]V, inciso p) (OP)'!X132</f>
        <v>ETT9302049B2</v>
      </c>
      <c r="N218" s="11">
        <f t="shared" si="5"/>
        <v>7998190.21</v>
      </c>
      <c r="O218" s="7" t="s">
        <v>40</v>
      </c>
      <c r="P218" s="7" t="s">
        <v>819</v>
      </c>
      <c r="Q218" s="11">
        <f>N218/10786</f>
        <v>741.53441590951229</v>
      </c>
      <c r="R218" s="7" t="s">
        <v>42</v>
      </c>
      <c r="S218" s="15">
        <v>21536</v>
      </c>
      <c r="T218" s="7" t="s">
        <v>43</v>
      </c>
      <c r="U218" s="7" t="s">
        <v>584</v>
      </c>
      <c r="V218" s="13">
        <f>'[1]V, inciso p) (OP)'!AM132</f>
        <v>42730</v>
      </c>
      <c r="W218" s="13">
        <f>'[1]V, inciso p) (OP)'!AN132</f>
        <v>42850</v>
      </c>
      <c r="X218" s="7" t="s">
        <v>783</v>
      </c>
      <c r="Y218" s="7" t="s">
        <v>784</v>
      </c>
      <c r="Z218" s="7" t="s">
        <v>117</v>
      </c>
      <c r="AA218" s="7" t="s">
        <v>40</v>
      </c>
      <c r="AB218" s="7" t="s">
        <v>40</v>
      </c>
    </row>
    <row r="219" spans="1:28" ht="69.95" customHeight="1">
      <c r="A219" s="7">
        <v>2016</v>
      </c>
      <c r="B219" s="7" t="s">
        <v>296</v>
      </c>
      <c r="C219" s="7" t="str">
        <f>'[1]V, inciso p) (OP)'!D133</f>
        <v>DOPI-MUN-RM-ID-CI-207-2016</v>
      </c>
      <c r="D219" s="13">
        <f>'[1]V, inciso p) (OP)'!AD133</f>
        <v>42727</v>
      </c>
      <c r="E219" s="7" t="str">
        <f>'[1]V, inciso p) (OP)'!AL133</f>
        <v>Rehabilitación de las instalaciones y equipamiento deportivo de la Unidad Deportiva Villas de Guadalupe, municipio de Zapopan, Jalisco.</v>
      </c>
      <c r="F219" s="7" t="s">
        <v>67</v>
      </c>
      <c r="G219" s="11">
        <f>'[1]V, inciso p) (OP)'!AG133</f>
        <v>7900442.7599999998</v>
      </c>
      <c r="H219" s="7" t="str">
        <f>'[1]V, inciso p) (OP)'!AS133</f>
        <v>Colonia Villa de Guadalupe</v>
      </c>
      <c r="I219" s="7" t="str">
        <f>'[1]V, inciso p) (OP)'!T133</f>
        <v xml:space="preserve">Leobardo </v>
      </c>
      <c r="J219" s="7" t="str">
        <f>'[1]V, inciso p) (OP)'!U133</f>
        <v>Preciado</v>
      </c>
      <c r="K219" s="7" t="str">
        <f>'[1]V, inciso p) (OP)'!V133</f>
        <v>Zepeda</v>
      </c>
      <c r="L219" s="7" t="str">
        <f>'[1]V, inciso p) (OP)'!W133</f>
        <v>Consorcio Constructor Adobes, S. A. de C. V.</v>
      </c>
      <c r="M219" s="7" t="str">
        <f>'[1]V, inciso p) (OP)'!X133</f>
        <v>CCA971126QC9</v>
      </c>
      <c r="N219" s="11">
        <f t="shared" si="5"/>
        <v>7900442.7599999998</v>
      </c>
      <c r="O219" s="7" t="s">
        <v>40</v>
      </c>
      <c r="P219" s="7" t="s">
        <v>820</v>
      </c>
      <c r="Q219" s="11">
        <f>N219/4585</f>
        <v>1723.1063816793892</v>
      </c>
      <c r="R219" s="7" t="s">
        <v>42</v>
      </c>
      <c r="S219" s="15">
        <v>12558</v>
      </c>
      <c r="T219" s="7" t="s">
        <v>43</v>
      </c>
      <c r="U219" s="7" t="s">
        <v>584</v>
      </c>
      <c r="V219" s="13">
        <f>'[1]V, inciso p) (OP)'!AM133</f>
        <v>42730</v>
      </c>
      <c r="W219" s="13">
        <f>'[1]V, inciso p) (OP)'!AN133</f>
        <v>42850</v>
      </c>
      <c r="X219" s="7" t="s">
        <v>671</v>
      </c>
      <c r="Y219" s="7" t="s">
        <v>334</v>
      </c>
      <c r="Z219" s="7" t="s">
        <v>133</v>
      </c>
      <c r="AA219" s="7" t="s">
        <v>40</v>
      </c>
      <c r="AB219" s="7" t="s">
        <v>40</v>
      </c>
    </row>
    <row r="220" spans="1:28" ht="69.95" customHeight="1">
      <c r="A220" s="7">
        <v>2016</v>
      </c>
      <c r="B220" s="7" t="s">
        <v>296</v>
      </c>
      <c r="C220" s="7" t="str">
        <f>'[1]V, inciso p) (OP)'!D134</f>
        <v>DOPI-MUN-RM-ID-CI-208-2016</v>
      </c>
      <c r="D220" s="13">
        <f>'[1]V, inciso p) (OP)'!AD134</f>
        <v>42727</v>
      </c>
      <c r="E220" s="7" t="str">
        <f>'[1]V, inciso p) (OP)'!AL134</f>
        <v>Rehabilitación de las instalaciones y equipamiento deportivo de la Unidad Deportiva Santa Margarita, municipio de Zapopan, Jalisco.</v>
      </c>
      <c r="F220" s="7" t="s">
        <v>67</v>
      </c>
      <c r="G220" s="11">
        <f>'[1]V, inciso p) (OP)'!AG134</f>
        <v>7996437.3600000003</v>
      </c>
      <c r="H220" s="7" t="str">
        <f>'[1]V, inciso p) (OP)'!AS134</f>
        <v>Colonia Santa Margarita</v>
      </c>
      <c r="I220" s="7" t="str">
        <f>'[1]V, inciso p) (OP)'!T134</f>
        <v>David</v>
      </c>
      <c r="J220" s="7" t="str">
        <f>'[1]V, inciso p) (OP)'!U134</f>
        <v>Hernández</v>
      </c>
      <c r="K220" s="7" t="str">
        <f>'[1]V, inciso p) (OP)'!V134</f>
        <v>Flores</v>
      </c>
      <c r="L220" s="7" t="str">
        <f>'[1]V, inciso p) (OP)'!W134</f>
        <v>Constructora San Sebastián, S.A. de C.V.</v>
      </c>
      <c r="M220" s="7" t="str">
        <f>'[1]V, inciso p) (OP)'!X134</f>
        <v>CSS8303089S9</v>
      </c>
      <c r="N220" s="11">
        <f t="shared" si="5"/>
        <v>7996437.3600000003</v>
      </c>
      <c r="O220" s="7" t="s">
        <v>40</v>
      </c>
      <c r="P220" s="7" t="s">
        <v>821</v>
      </c>
      <c r="Q220" s="11">
        <f>N220/12433</f>
        <v>643.16233893670073</v>
      </c>
      <c r="R220" s="7" t="s">
        <v>42</v>
      </c>
      <c r="S220" s="15">
        <v>38995</v>
      </c>
      <c r="T220" s="7" t="s">
        <v>43</v>
      </c>
      <c r="U220" s="7" t="s">
        <v>584</v>
      </c>
      <c r="V220" s="13">
        <f>'[1]V, inciso p) (OP)'!AM134</f>
        <v>42730</v>
      </c>
      <c r="W220" s="13">
        <f>'[1]V, inciso p) (OP)'!AN134</f>
        <v>42850</v>
      </c>
      <c r="X220" s="7" t="s">
        <v>671</v>
      </c>
      <c r="Y220" s="7" t="s">
        <v>334</v>
      </c>
      <c r="Z220" s="7" t="s">
        <v>133</v>
      </c>
      <c r="AA220" s="7" t="s">
        <v>40</v>
      </c>
      <c r="AB220" s="7" t="s">
        <v>40</v>
      </c>
    </row>
    <row r="221" spans="1:28" ht="69.95" customHeight="1">
      <c r="A221" s="7">
        <v>2016</v>
      </c>
      <c r="B221" s="7" t="s">
        <v>296</v>
      </c>
      <c r="C221" s="7" t="str">
        <f>'[1]V, inciso p) (OP)'!D135</f>
        <v>DOPI-MUN-RM-PAV-CI-209-2016</v>
      </c>
      <c r="D221" s="13">
        <f>'[1]V, inciso p) (OP)'!AD135</f>
        <v>42727</v>
      </c>
      <c r="E221" s="7" t="str">
        <f>'[1]V, inciso p) (OP)'!AL135</f>
        <v>Construcción de pavimento de concreto hidráulico MR-45 y jardinería, en la Glorieta Venustiano Carranza en la colonia Constitución, municipio de Zapopan, Jalisco</v>
      </c>
      <c r="F221" s="7" t="s">
        <v>184</v>
      </c>
      <c r="G221" s="11">
        <f>'[1]V, inciso p) (OP)'!AG135</f>
        <v>5570941.0800000001</v>
      </c>
      <c r="H221" s="7" t="str">
        <f>'[1]V, inciso p) (OP)'!AS135</f>
        <v>Colonia Constitución</v>
      </c>
      <c r="I221" s="7" t="str">
        <f>'[1]V, inciso p) (OP)'!T135</f>
        <v>Jorge Alfredo</v>
      </c>
      <c r="J221" s="7" t="str">
        <f>'[1]V, inciso p) (OP)'!U135</f>
        <v>Ochoa</v>
      </c>
      <c r="K221" s="7" t="str">
        <f>'[1]V, inciso p) (OP)'!V135</f>
        <v>González</v>
      </c>
      <c r="L221" s="7" t="str">
        <f>'[1]V, inciso p) (OP)'!W135</f>
        <v>Aedificant, S.A. de C.V.</v>
      </c>
      <c r="M221" s="7" t="str">
        <f>'[1]V, inciso p) (OP)'!X135</f>
        <v>AED890925181</v>
      </c>
      <c r="N221" s="11">
        <f t="shared" si="5"/>
        <v>5570941.0800000001</v>
      </c>
      <c r="O221" s="7" t="s">
        <v>40</v>
      </c>
      <c r="P221" s="7" t="s">
        <v>822</v>
      </c>
      <c r="Q221" s="11">
        <f>N221/3911.58</f>
        <v>1424.2176000490851</v>
      </c>
      <c r="R221" s="7" t="s">
        <v>42</v>
      </c>
      <c r="S221" s="15">
        <v>98745</v>
      </c>
      <c r="T221" s="7" t="s">
        <v>43</v>
      </c>
      <c r="U221" s="7" t="s">
        <v>584</v>
      </c>
      <c r="V221" s="13">
        <f>'[1]V, inciso p) (OP)'!AM135</f>
        <v>42730</v>
      </c>
      <c r="W221" s="13">
        <f>'[1]V, inciso p) (OP)'!AN135</f>
        <v>42762</v>
      </c>
      <c r="X221" s="7" t="s">
        <v>650</v>
      </c>
      <c r="Y221" s="7" t="s">
        <v>651</v>
      </c>
      <c r="Z221" s="7" t="s">
        <v>652</v>
      </c>
      <c r="AA221" s="7" t="s">
        <v>40</v>
      </c>
      <c r="AB221" s="7" t="s">
        <v>40</v>
      </c>
    </row>
    <row r="222" spans="1:28" ht="69.95" customHeight="1">
      <c r="A222" s="7">
        <v>2016</v>
      </c>
      <c r="B222" s="7" t="s">
        <v>296</v>
      </c>
      <c r="C222" s="7" t="str">
        <f>'[1]V, inciso p) (OP)'!D136</f>
        <v>DOPI-MUN-RM-PAV-CI-210-2016</v>
      </c>
      <c r="D222" s="13">
        <f>'[1]V, inciso p) (OP)'!AD136</f>
        <v>42727</v>
      </c>
      <c r="E222" s="7" t="str">
        <f>'[1]V, inciso p) (OP)'!AL136</f>
        <v>Construcción de pavimento de concreto hidráulico, red de agua potable, alcantarillado sanitario, alumbrado público, banquetas, señalamiento vertical y horizontal, de la Prol. Laureles de Av. Del Rodeo a Periférico Norte Manuel Gómez Morín, municipio de Zapopan, Jalisco.</v>
      </c>
      <c r="F222" s="7" t="s">
        <v>184</v>
      </c>
      <c r="G222" s="11">
        <f>'[1]V, inciso p) (OP)'!AG136</f>
        <v>7995338.8700000001</v>
      </c>
      <c r="H222" s="7" t="str">
        <f>'[1]V, inciso p) (OP)'!AS136</f>
        <v>Colonia Belenes Norte</v>
      </c>
      <c r="I222" s="7" t="str">
        <f>'[1]V, inciso p) (OP)'!T136</f>
        <v>Elvia Alejandra</v>
      </c>
      <c r="J222" s="7" t="str">
        <f>'[1]V, inciso p) (OP)'!U136</f>
        <v>Torres</v>
      </c>
      <c r="K222" s="7" t="str">
        <f>'[1]V, inciso p) (OP)'!V136</f>
        <v>Villa</v>
      </c>
      <c r="L222" s="7" t="str">
        <f>'[1]V, inciso p) (OP)'!W136</f>
        <v>Procourza, S.A. de C.V.</v>
      </c>
      <c r="M222" s="7" t="str">
        <f>'[1]V, inciso p) (OP)'!X136</f>
        <v>PRO0205208F2</v>
      </c>
      <c r="N222" s="11">
        <f t="shared" si="5"/>
        <v>7995338.8700000001</v>
      </c>
      <c r="O222" s="7" t="s">
        <v>40</v>
      </c>
      <c r="P222" s="7" t="s">
        <v>823</v>
      </c>
      <c r="Q222" s="11">
        <f>N222/6300</f>
        <v>1269.1014079365079</v>
      </c>
      <c r="R222" s="7" t="s">
        <v>42</v>
      </c>
      <c r="S222" s="15">
        <v>31566</v>
      </c>
      <c r="T222" s="7" t="s">
        <v>43</v>
      </c>
      <c r="U222" s="7" t="s">
        <v>584</v>
      </c>
      <c r="V222" s="13">
        <f>'[1]V, inciso p) (OP)'!AM136</f>
        <v>42730</v>
      </c>
      <c r="W222" s="13">
        <f>'[1]V, inciso p) (OP)'!AN136</f>
        <v>42820</v>
      </c>
      <c r="X222" s="7" t="s">
        <v>824</v>
      </c>
      <c r="Y222" s="7" t="s">
        <v>825</v>
      </c>
      <c r="Z222" s="7" t="s">
        <v>405</v>
      </c>
      <c r="AA222" s="9" t="s">
        <v>1302</v>
      </c>
      <c r="AB222" s="7" t="s">
        <v>40</v>
      </c>
    </row>
    <row r="223" spans="1:28" ht="69.95" customHeight="1">
      <c r="A223" s="7">
        <v>2016</v>
      </c>
      <c r="B223" s="7" t="s">
        <v>296</v>
      </c>
      <c r="C223" s="7" t="str">
        <f>'[1]V, inciso p) (OP)'!D137</f>
        <v>DOPI-MUN-RM-AP-CI-211-2016</v>
      </c>
      <c r="D223" s="13">
        <f>'[1]V, inciso p) (OP)'!AD137</f>
        <v>42727</v>
      </c>
      <c r="E223" s="7" t="str">
        <f>'[1]V, inciso p) (OP)'!AL137</f>
        <v>Construcción de línea de agua potable, drenaje sanitario, preparación para instalaciones de Telmex y CFE, pozos de absorción, en la Glorieta Venustiano Carranza en la colonia Constitución, municipio de Zapopan, Jalisco</v>
      </c>
      <c r="F223" s="7" t="s">
        <v>184</v>
      </c>
      <c r="G223" s="11">
        <f>'[1]V, inciso p) (OP)'!AG137</f>
        <v>2591650.5499999998</v>
      </c>
      <c r="H223" s="7" t="str">
        <f>'[1]V, inciso p) (OP)'!AS137</f>
        <v>Colonia Constitución</v>
      </c>
      <c r="I223" s="7" t="str">
        <f>'[1]V, inciso p) (OP)'!T137</f>
        <v>Rosalba Edilia</v>
      </c>
      <c r="J223" s="7" t="str">
        <f>'[1]V, inciso p) (OP)'!U137</f>
        <v>Sandoval</v>
      </c>
      <c r="K223" s="7" t="str">
        <f>'[1]V, inciso p) (OP)'!V137</f>
        <v>Huizar</v>
      </c>
      <c r="L223" s="7" t="str">
        <f>'[1]V, inciso p) (OP)'!W137</f>
        <v>Infraestructura San Miguel, S.A. de C.V.</v>
      </c>
      <c r="M223" s="7" t="str">
        <f>'[1]V, inciso p) (OP)'!X137</f>
        <v>ISM0112209Y5</v>
      </c>
      <c r="N223" s="11">
        <f t="shared" si="5"/>
        <v>2591650.5499999998</v>
      </c>
      <c r="O223" s="7" t="s">
        <v>40</v>
      </c>
      <c r="P223" s="7" t="s">
        <v>826</v>
      </c>
      <c r="Q223" s="11">
        <f>N223/671.12</f>
        <v>3861.6798039098817</v>
      </c>
      <c r="R223" s="7" t="s">
        <v>42</v>
      </c>
      <c r="S223" s="15">
        <v>2569</v>
      </c>
      <c r="T223" s="7" t="s">
        <v>43</v>
      </c>
      <c r="U223" s="7" t="s">
        <v>584</v>
      </c>
      <c r="V223" s="13">
        <f>'[1]V, inciso p) (OP)'!AM137</f>
        <v>42730</v>
      </c>
      <c r="W223" s="13">
        <f>'[1]V, inciso p) (OP)'!AN137</f>
        <v>42760</v>
      </c>
      <c r="X223" s="7" t="s">
        <v>650</v>
      </c>
      <c r="Y223" s="7" t="s">
        <v>651</v>
      </c>
      <c r="Z223" s="7" t="s">
        <v>652</v>
      </c>
      <c r="AA223" s="7" t="s">
        <v>40</v>
      </c>
      <c r="AB223" s="7" t="s">
        <v>40</v>
      </c>
    </row>
    <row r="224" spans="1:28" ht="69.95" customHeight="1">
      <c r="A224" s="7">
        <v>2016</v>
      </c>
      <c r="B224" s="7" t="s">
        <v>64</v>
      </c>
      <c r="C224" s="7" t="str">
        <f>'[1]V, inciso o) (OP)'!C93</f>
        <v>DOPI-MUN-RM-AP-AD-212-2016</v>
      </c>
      <c r="D224" s="13">
        <f>'[1]V, inciso o) (OP)'!V93</f>
        <v>42653</v>
      </c>
      <c r="E224" s="7" t="str">
        <f>'[1]V, inciso o) (OP)'!AA93</f>
        <v>Construcción de linea de agua potable, drenaje sanitario y linea de alejamiento en la calle La grana y calle Rastro, en la colonia San Isidro, municipio de Zapopan, Jalisco.</v>
      </c>
      <c r="F224" s="7" t="s">
        <v>184</v>
      </c>
      <c r="G224" s="11">
        <f>'[1]V, inciso o) (OP)'!Y93</f>
        <v>1498750.44</v>
      </c>
      <c r="H224" s="7" t="s">
        <v>827</v>
      </c>
      <c r="I224" s="7" t="str">
        <f>'[1]V, inciso o) (OP)'!M93</f>
        <v xml:space="preserve">HECTOR DAVID </v>
      </c>
      <c r="J224" s="7" t="str">
        <f>'[1]V, inciso o) (OP)'!N93</f>
        <v>ROBLES</v>
      </c>
      <c r="K224" s="7" t="str">
        <f>'[1]V, inciso o) (OP)'!O93</f>
        <v>ROBLES</v>
      </c>
      <c r="L224" s="7" t="str">
        <f>'[1]V, inciso o) (OP)'!P93</f>
        <v>ESTRUCTURAS Y DISEÑOS DEL SOL, S.A. DE C.V.</v>
      </c>
      <c r="M224" s="7" t="str">
        <f>'[1]V, inciso o) (OP)'!Q93</f>
        <v>EDS001103AJ2</v>
      </c>
      <c r="N224" s="11">
        <f>'[1]V, inciso o) (OP)'!Y93</f>
        <v>1498750.44</v>
      </c>
      <c r="O224" s="7" t="s">
        <v>40</v>
      </c>
      <c r="P224" s="7" t="s">
        <v>828</v>
      </c>
      <c r="Q224" s="11">
        <f>N224/132</f>
        <v>11354.17</v>
      </c>
      <c r="R224" s="7" t="s">
        <v>42</v>
      </c>
      <c r="S224" s="15">
        <v>865</v>
      </c>
      <c r="T224" s="7" t="s">
        <v>43</v>
      </c>
      <c r="U224" s="7" t="s">
        <v>44</v>
      </c>
      <c r="V224" s="13">
        <f>'[1]V, inciso o) (OP)'!AD93</f>
        <v>42654</v>
      </c>
      <c r="W224" s="13">
        <f>'[1]V, inciso o) (OP)'!AE93</f>
        <v>42698</v>
      </c>
      <c r="X224" s="7" t="s">
        <v>741</v>
      </c>
      <c r="Y224" s="7" t="s">
        <v>829</v>
      </c>
      <c r="Z224" s="7" t="s">
        <v>743</v>
      </c>
      <c r="AA224" s="9" t="s">
        <v>1303</v>
      </c>
      <c r="AB224" s="7" t="s">
        <v>40</v>
      </c>
    </row>
    <row r="225" spans="1:28" ht="69.95" customHeight="1">
      <c r="A225" s="7">
        <v>2016</v>
      </c>
      <c r="B225" s="7" t="s">
        <v>64</v>
      </c>
      <c r="C225" s="7" t="str">
        <f>'[1]V, inciso o) (OP)'!C94</f>
        <v>DOPI-MUN-RM-IM-AD-213-2016</v>
      </c>
      <c r="D225" s="13">
        <f>'[1]V, inciso o) (OP)'!V94</f>
        <v>42647</v>
      </c>
      <c r="E225" s="7" t="str">
        <f>'[1]V, inciso o) (OP)'!AA94</f>
        <v>Suministro e instalación de piso de danza flotado de duela de Maple en el escenario del auditorio del Centro Cultural Constitución, ,municipio de Zapopan, Jalisco.</v>
      </c>
      <c r="F225" s="7" t="s">
        <v>184</v>
      </c>
      <c r="G225" s="11">
        <f>'[1]V, inciso o) (OP)'!Y94</f>
        <v>932552.22</v>
      </c>
      <c r="H225" s="7" t="s">
        <v>707</v>
      </c>
      <c r="I225" s="7" t="str">
        <f>'[1]V, inciso o) (OP)'!M94</f>
        <v>NORMA FABIOLA</v>
      </c>
      <c r="J225" s="7" t="str">
        <f>'[1]V, inciso o) (OP)'!N94</f>
        <v>RODRIGUEZ</v>
      </c>
      <c r="K225" s="7" t="str">
        <f>'[1]V, inciso o) (OP)'!O94</f>
        <v>CASTILLO</v>
      </c>
      <c r="L225" s="7" t="str">
        <f>'[1]V, inciso o) (OP)'!P94</f>
        <v>PARED URBANA, S.A. DE C.V.</v>
      </c>
      <c r="M225" s="7" t="str">
        <f>'[1]V, inciso o) (OP)'!Q94</f>
        <v>PUR071001L23</v>
      </c>
      <c r="N225" s="11">
        <f>'[1]V, inciso o) (OP)'!Y94</f>
        <v>932552.22</v>
      </c>
      <c r="O225" s="7" t="s">
        <v>40</v>
      </c>
      <c r="P225" s="7" t="s">
        <v>830</v>
      </c>
      <c r="Q225" s="11">
        <f>N225/426</f>
        <v>2189.0897183098591</v>
      </c>
      <c r="R225" s="7" t="s">
        <v>42</v>
      </c>
      <c r="S225" s="15">
        <v>350</v>
      </c>
      <c r="T225" s="7" t="s">
        <v>43</v>
      </c>
      <c r="U225" s="7" t="s">
        <v>44</v>
      </c>
      <c r="V225" s="13">
        <f>'[1]V, inciso o) (OP)'!AD94</f>
        <v>42648</v>
      </c>
      <c r="W225" s="13">
        <f>'[1]V, inciso o) (OP)'!AE94</f>
        <v>42677</v>
      </c>
      <c r="X225" s="7" t="s">
        <v>650</v>
      </c>
      <c r="Y225" s="7" t="s">
        <v>651</v>
      </c>
      <c r="Z225" s="7" t="s">
        <v>652</v>
      </c>
      <c r="AA225" s="7" t="s">
        <v>40</v>
      </c>
      <c r="AB225" s="7" t="s">
        <v>40</v>
      </c>
    </row>
    <row r="226" spans="1:28" ht="69.95" customHeight="1">
      <c r="A226" s="7">
        <v>2016</v>
      </c>
      <c r="B226" s="7" t="s">
        <v>831</v>
      </c>
      <c r="C226" s="7" t="str">
        <f>'[1]V, inciso p) (OP)'!D138</f>
        <v>DOPI-FED-HAB-PAV-CI-214-2016</v>
      </c>
      <c r="D226" s="13">
        <f>'[1]V, inciso p) (OP)'!AD138</f>
        <v>42717</v>
      </c>
      <c r="E226" s="7" t="str">
        <f>'[1]V, inciso p) (OP)'!AL138</f>
        <v>Pavimentación de concreto hidráulico en la calle Casiano Torres Poniente, municipio de Zapopan, Jalisco.</v>
      </c>
      <c r="F226" s="7" t="s">
        <v>832</v>
      </c>
      <c r="G226" s="11">
        <f>'[1]V, inciso p) (OP)'!AG138</f>
        <v>6282745.2800000003</v>
      </c>
      <c r="H226" s="7" t="str">
        <f>'[1]V, inciso p) (OP)'!AS138</f>
        <v>Colonia Vista Hermosa</v>
      </c>
      <c r="I226" s="7" t="str">
        <f>'[1]V, inciso p) (OP)'!T138</f>
        <v>Miguel Ángel</v>
      </c>
      <c r="J226" s="7" t="str">
        <f>'[1]V, inciso p) (OP)'!U138</f>
        <v>Romero</v>
      </c>
      <c r="K226" s="7" t="str">
        <f>'[1]V, inciso p) (OP)'!V138</f>
        <v>Lugo</v>
      </c>
      <c r="L226" s="7" t="str">
        <f>'[1]V, inciso p) (OP)'!W138</f>
        <v>Obras y Comercialización de la Construcción, S.A. de C.V.</v>
      </c>
      <c r="M226" s="7" t="str">
        <f>'[1]V, inciso p) (OP)'!X138</f>
        <v>OCC940714PB0</v>
      </c>
      <c r="N226" s="11">
        <f>'[1]V, inciso p) (OP)'!AG138</f>
        <v>6282745.2800000003</v>
      </c>
      <c r="O226" s="7" t="s">
        <v>40</v>
      </c>
      <c r="P226" s="7" t="s">
        <v>833</v>
      </c>
      <c r="Q226" s="11">
        <f>N226/3200</f>
        <v>1963.3579</v>
      </c>
      <c r="R226" s="7" t="s">
        <v>42</v>
      </c>
      <c r="S226" s="15">
        <v>1255</v>
      </c>
      <c r="T226" s="7" t="s">
        <v>43</v>
      </c>
      <c r="U226" s="7" t="s">
        <v>44</v>
      </c>
      <c r="V226" s="13">
        <f>'[1]V, inciso p) (OP)'!AM138</f>
        <v>42718</v>
      </c>
      <c r="W226" s="13">
        <f>'[1]V, inciso p) (OP)'!AN138</f>
        <v>42735</v>
      </c>
      <c r="X226" s="7" t="s">
        <v>556</v>
      </c>
      <c r="Y226" s="7" t="s">
        <v>557</v>
      </c>
      <c r="Z226" s="7" t="s">
        <v>558</v>
      </c>
      <c r="AA226" s="7" t="s">
        <v>40</v>
      </c>
      <c r="AB226" s="7" t="s">
        <v>40</v>
      </c>
    </row>
    <row r="227" spans="1:28" ht="69.95" customHeight="1">
      <c r="A227" s="7">
        <v>2016</v>
      </c>
      <c r="B227" s="7" t="s">
        <v>64</v>
      </c>
      <c r="C227" s="7" t="str">
        <f>'[1]V, inciso o) (OP)'!C95</f>
        <v>DOPI-MUN-RM-PROY-AD-215-2016</v>
      </c>
      <c r="D227" s="13">
        <f>'[1]V, inciso o) (OP)'!V95</f>
        <v>42657</v>
      </c>
      <c r="E227" s="7" t="str">
        <f>'[1]V, inciso o) (OP)'!AA95</f>
        <v>Estudios básicos topográficos para diferentes obras 2016, segunda etapa, del municipio de Zapopan, Jalisco.</v>
      </c>
      <c r="F227" s="7" t="s">
        <v>184</v>
      </c>
      <c r="G227" s="11">
        <f>'[1]V, inciso o) (OP)'!Y95</f>
        <v>1350125.87</v>
      </c>
      <c r="H227" s="7" t="s">
        <v>225</v>
      </c>
      <c r="I227" s="7" t="str">
        <f>'[1]V, inciso o) (OP)'!M95</f>
        <v>LUIS ERNESTO</v>
      </c>
      <c r="J227" s="7" t="str">
        <f>'[1]V, inciso o) (OP)'!N95</f>
        <v>GONZALEZ</v>
      </c>
      <c r="K227" s="7" t="str">
        <f>'[1]V, inciso o) (OP)'!O95</f>
        <v>LOZANO</v>
      </c>
      <c r="L227" s="7" t="str">
        <f>'[1]V, inciso o) (OP)'!P95</f>
        <v>TOSCANA INGENIERIA, S. A.  DE C.V.</v>
      </c>
      <c r="M227" s="7" t="str">
        <f>'[1]V, inciso o) (OP)'!Q95</f>
        <v>TIN04100824A</v>
      </c>
      <c r="N227" s="11">
        <f>'[1]V, inciso o) (OP)'!Y95</f>
        <v>1350125.87</v>
      </c>
      <c r="O227" s="7" t="s">
        <v>40</v>
      </c>
      <c r="P227" s="7" t="s">
        <v>834</v>
      </c>
      <c r="Q227" s="11">
        <f>N227/796102</f>
        <v>1.6959207111651524</v>
      </c>
      <c r="R227" s="7" t="s">
        <v>42</v>
      </c>
      <c r="S227" s="15" t="s">
        <v>232</v>
      </c>
      <c r="T227" s="7" t="s">
        <v>231</v>
      </c>
      <c r="U227" s="7" t="s">
        <v>44</v>
      </c>
      <c r="V227" s="13">
        <f>'[1]V, inciso o) (OP)'!AD95</f>
        <v>42660</v>
      </c>
      <c r="W227" s="13">
        <f>'[1]V, inciso o) (OP)'!AE95</f>
        <v>42735</v>
      </c>
      <c r="X227" s="7" t="s">
        <v>569</v>
      </c>
      <c r="Y227" s="7" t="s">
        <v>835</v>
      </c>
      <c r="Z227" s="7" t="s">
        <v>286</v>
      </c>
      <c r="AA227" s="7" t="s">
        <v>40</v>
      </c>
      <c r="AB227" s="7" t="s">
        <v>40</v>
      </c>
    </row>
    <row r="228" spans="1:28" ht="69.95" customHeight="1">
      <c r="A228" s="7">
        <v>2016</v>
      </c>
      <c r="B228" s="7" t="s">
        <v>64</v>
      </c>
      <c r="C228" s="7" t="str">
        <f>'[1]V, inciso o) (OP)'!C96</f>
        <v>DOPI-MUN-RM-PAV-AD-216-2016</v>
      </c>
      <c r="D228" s="13">
        <f>'[1]V, inciso o) (OP)'!V96</f>
        <v>42674</v>
      </c>
      <c r="E228" s="7" t="str">
        <f>'[1]V, inciso o) (OP)'!AA96</f>
        <v>Programa emergente de bacheo de vialidades en Zapopan Norte, tramo 3, municipio de Zapopan, Jalisco.</v>
      </c>
      <c r="F228" s="7" t="s">
        <v>184</v>
      </c>
      <c r="G228" s="11">
        <f>'[1]V, inciso o) (OP)'!Y96</f>
        <v>1492596.99</v>
      </c>
      <c r="H228" s="7" t="s">
        <v>225</v>
      </c>
      <c r="I228" s="7" t="str">
        <f>'[1]V, inciso o) (OP)'!M96</f>
        <v>ESPERANZA</v>
      </c>
      <c r="J228" s="7" t="str">
        <f>'[1]V, inciso o) (OP)'!N96</f>
        <v>CORONA</v>
      </c>
      <c r="K228" s="7" t="str">
        <f>'[1]V, inciso o) (OP)'!O96</f>
        <v>JUAREZ</v>
      </c>
      <c r="L228" s="7" t="str">
        <f>'[1]V, inciso o) (OP)'!P96</f>
        <v>GREEN PATCHER MEXICO, S. DE R.L. DE C.V.</v>
      </c>
      <c r="M228" s="7" t="str">
        <f>'[1]V, inciso o) (OP)'!Q96</f>
        <v>ISA071206P64</v>
      </c>
      <c r="N228" s="11">
        <f>'[1]V, inciso o) (OP)'!Y96</f>
        <v>1492596.99</v>
      </c>
      <c r="O228" s="7" t="s">
        <v>40</v>
      </c>
      <c r="P228" s="7" t="s">
        <v>836</v>
      </c>
      <c r="Q228" s="11">
        <f>N228/8510</f>
        <v>175.39330082256168</v>
      </c>
      <c r="R228" s="7" t="s">
        <v>42</v>
      </c>
      <c r="S228" s="15">
        <v>215000</v>
      </c>
      <c r="T228" s="7" t="s">
        <v>43</v>
      </c>
      <c r="U228" s="7" t="s">
        <v>44</v>
      </c>
      <c r="V228" s="13">
        <f>'[1]V, inciso o) (OP)'!AD96</f>
        <v>42675</v>
      </c>
      <c r="W228" s="13">
        <f>'[1]V, inciso o) (OP)'!AE96</f>
        <v>42734</v>
      </c>
      <c r="X228" s="7" t="s">
        <v>762</v>
      </c>
      <c r="Y228" s="7" t="s">
        <v>763</v>
      </c>
      <c r="Z228" s="7" t="s">
        <v>764</v>
      </c>
      <c r="AA228" s="7" t="s">
        <v>40</v>
      </c>
      <c r="AB228" s="7" t="s">
        <v>40</v>
      </c>
    </row>
    <row r="229" spans="1:28" ht="69.95" customHeight="1">
      <c r="A229" s="7">
        <v>2016</v>
      </c>
      <c r="B229" s="7" t="s">
        <v>64</v>
      </c>
      <c r="C229" s="7" t="str">
        <f>'[1]V, inciso o) (OP)'!C97</f>
        <v>DOPI-MUN-RM-IM-AD-217-2016</v>
      </c>
      <c r="D229" s="13">
        <f>'[1]V, inciso o) (OP)'!V97</f>
        <v>42657</v>
      </c>
      <c r="E229" s="7" t="str">
        <f>'[1]V, inciso o) (OP)'!AA97</f>
        <v>Construcción de modulo de sanitarios, en el Panteón de Santa  Ana Tepetitlan, municipio de Zapopan, Jalisco.</v>
      </c>
      <c r="F229" s="7" t="s">
        <v>184</v>
      </c>
      <c r="G229" s="11">
        <f>'[1]V, inciso o) (OP)'!Y97</f>
        <v>950216.14</v>
      </c>
      <c r="H229" s="7" t="s">
        <v>436</v>
      </c>
      <c r="I229" s="7" t="str">
        <f>'[1]V, inciso o) (OP)'!M97</f>
        <v xml:space="preserve">RAFAEL </v>
      </c>
      <c r="J229" s="7" t="str">
        <f>'[1]V, inciso o) (OP)'!N97</f>
        <v>OROZCO</v>
      </c>
      <c r="K229" s="7" t="str">
        <f>'[1]V, inciso o) (OP)'!O97</f>
        <v>MARTINEZ</v>
      </c>
      <c r="L229" s="7" t="str">
        <f>'[1]V, inciso o) (OP)'!P97</f>
        <v>CEELE CONSTRUCCIONES, S.A. DE C.V.</v>
      </c>
      <c r="M229" s="7" t="str">
        <f>'[1]V, inciso o) (OP)'!Q97</f>
        <v>CCO020123366</v>
      </c>
      <c r="N229" s="11">
        <f>'[1]V, inciso o) (OP)'!Y97</f>
        <v>950216.14</v>
      </c>
      <c r="O229" s="7" t="s">
        <v>40</v>
      </c>
      <c r="P229" s="7" t="s">
        <v>837</v>
      </c>
      <c r="Q229" s="11">
        <f>N229/115</f>
        <v>8262.7490434782612</v>
      </c>
      <c r="R229" s="7" t="s">
        <v>42</v>
      </c>
      <c r="S229" s="15">
        <v>24800</v>
      </c>
      <c r="T229" s="7" t="s">
        <v>43</v>
      </c>
      <c r="U229" s="7" t="s">
        <v>44</v>
      </c>
      <c r="V229" s="13">
        <f>'[1]V, inciso o) (OP)'!AD97</f>
        <v>42660</v>
      </c>
      <c r="W229" s="13">
        <f>'[1]V, inciso o) (OP)'!AE97</f>
        <v>42714</v>
      </c>
      <c r="X229" s="7" t="s">
        <v>536</v>
      </c>
      <c r="Y229" s="7" t="s">
        <v>383</v>
      </c>
      <c r="Z229" s="7" t="s">
        <v>300</v>
      </c>
      <c r="AA229" s="7" t="s">
        <v>40</v>
      </c>
      <c r="AB229" s="7" t="s">
        <v>40</v>
      </c>
    </row>
    <row r="230" spans="1:28" ht="69.95" customHeight="1">
      <c r="A230" s="7">
        <v>2016</v>
      </c>
      <c r="B230" s="7" t="s">
        <v>64</v>
      </c>
      <c r="C230" s="7" t="str">
        <f>'[1]V, inciso o) (OP)'!C98</f>
        <v>DOPI-MUN-RM-PAV-AD-218-2016</v>
      </c>
      <c r="D230" s="13">
        <f>'[1]V, inciso o) (OP)'!V98</f>
        <v>42664</v>
      </c>
      <c r="E230" s="7" t="str">
        <f>'[1]V, inciso o) (OP)'!AA98</f>
        <v>Construcción de pavimento de concreto hidráulico en la calle La Grana  y calle Rastro, en la colonia San Isidro, municipio de Zapopan, Jalisco.</v>
      </c>
      <c r="F230" s="7" t="s">
        <v>184</v>
      </c>
      <c r="G230" s="11">
        <f>'[1]V, inciso o) (OP)'!Y98</f>
        <v>1494567.16</v>
      </c>
      <c r="H230" s="7" t="s">
        <v>827</v>
      </c>
      <c r="I230" s="7" t="str">
        <f>'[1]V, inciso o) (OP)'!M98</f>
        <v>SALVADOR</v>
      </c>
      <c r="J230" s="7" t="str">
        <f>'[1]V, inciso o) (OP)'!N98</f>
        <v>CASTRO</v>
      </c>
      <c r="K230" s="7" t="str">
        <f>'[1]V, inciso o) (OP)'!O98</f>
        <v>GUZMAN</v>
      </c>
      <c r="L230" s="7" t="str">
        <f>'[1]V, inciso o) (OP)'!P98</f>
        <v>GRUPO CONSTRUCTOR GLEOSS, S.A. DE C.V.</v>
      </c>
      <c r="M230" s="7" t="str">
        <f>'[1]V, inciso o) (OP)'!Q98</f>
        <v>GCG041213LZ9</v>
      </c>
      <c r="N230" s="11">
        <f>'[1]V, inciso o) (OP)'!Y98</f>
        <v>1494567.16</v>
      </c>
      <c r="O230" s="7" t="s">
        <v>40</v>
      </c>
      <c r="P230" s="7" t="s">
        <v>838</v>
      </c>
      <c r="Q230" s="11">
        <f>N230/1010</f>
        <v>1479.7694653465346</v>
      </c>
      <c r="R230" s="7" t="s">
        <v>42</v>
      </c>
      <c r="S230" s="15">
        <v>655</v>
      </c>
      <c r="T230" s="7" t="s">
        <v>43</v>
      </c>
      <c r="U230" s="7" t="s">
        <v>44</v>
      </c>
      <c r="V230" s="13">
        <f>'[1]V, inciso o) (OP)'!AD98</f>
        <v>42667</v>
      </c>
      <c r="W230" s="13">
        <f>'[1]V, inciso o) (OP)'!AE98</f>
        <v>42726</v>
      </c>
      <c r="X230" s="7" t="s">
        <v>741</v>
      </c>
      <c r="Y230" s="7" t="s">
        <v>829</v>
      </c>
      <c r="Z230" s="7" t="s">
        <v>743</v>
      </c>
      <c r="AA230" s="9" t="s">
        <v>1304</v>
      </c>
      <c r="AB230" s="7" t="s">
        <v>40</v>
      </c>
    </row>
    <row r="231" spans="1:28" ht="69.95" customHeight="1">
      <c r="A231" s="7">
        <v>2016</v>
      </c>
      <c r="B231" s="7" t="s">
        <v>64</v>
      </c>
      <c r="C231" s="7" t="str">
        <f>'[1]V, inciso o) (OP)'!C99</f>
        <v>DOPI-MUN-RM-DP-AD-219-2016</v>
      </c>
      <c r="D231" s="13">
        <f>'[1]V, inciso o) (OP)'!V99</f>
        <v>42653</v>
      </c>
      <c r="E231" s="7" t="str">
        <f>'[1]V, inciso o) (OP)'!AA99</f>
        <v>Solución Pluvial en Tesistán (colector pluvial de 36" y bocas de tormenta) en la calle Jalisco, Hidalgo, Puebla, en la localidad de Tesistán, municipio de Zapopan, Jalisco. Frente 2.</v>
      </c>
      <c r="F231" s="7" t="s">
        <v>184</v>
      </c>
      <c r="G231" s="11">
        <f>'[1]V, inciso o) (OP)'!Y99</f>
        <v>1421736.05</v>
      </c>
      <c r="H231" s="7" t="s">
        <v>794</v>
      </c>
      <c r="I231" s="7" t="str">
        <f>'[1]V, inciso o) (OP)'!M99</f>
        <v xml:space="preserve">RODOLFO </v>
      </c>
      <c r="J231" s="7" t="str">
        <f>'[1]V, inciso o) (OP)'!N99</f>
        <v xml:space="preserve">VELAZQUEZ </v>
      </c>
      <c r="K231" s="7" t="str">
        <f>'[1]V, inciso o) (OP)'!O99</f>
        <v>ORDOÑEZ</v>
      </c>
      <c r="L231" s="7" t="str">
        <f>'[1]V, inciso o) (OP)'!P99</f>
        <v>VELAZQUEZ INGENIERIA ECOLOGICA, S.A. DE C.V.</v>
      </c>
      <c r="M231" s="7" t="str">
        <f>'[1]V, inciso o) (OP)'!Q99</f>
        <v>VIE110125RL4</v>
      </c>
      <c r="N231" s="11">
        <f>'[1]V, inciso o) (OP)'!Y99</f>
        <v>1421736.05</v>
      </c>
      <c r="O231" s="7" t="s">
        <v>40</v>
      </c>
      <c r="P231" s="7" t="s">
        <v>839</v>
      </c>
      <c r="Q231" s="11">
        <f>N231/5752</f>
        <v>247.1724704450626</v>
      </c>
      <c r="R231" s="7" t="s">
        <v>42</v>
      </c>
      <c r="S231" s="15">
        <v>2460</v>
      </c>
      <c r="T231" s="7" t="s">
        <v>43</v>
      </c>
      <c r="U231" s="7" t="s">
        <v>44</v>
      </c>
      <c r="V231" s="13">
        <f>'[1]V, inciso o) (OP)'!AD99</f>
        <v>42654</v>
      </c>
      <c r="W231" s="13">
        <f>'[1]V, inciso o) (OP)'!AE99</f>
        <v>42704</v>
      </c>
      <c r="X231" s="7" t="s">
        <v>544</v>
      </c>
      <c r="Y231" s="7" t="s">
        <v>545</v>
      </c>
      <c r="Z231" s="7" t="s">
        <v>212</v>
      </c>
      <c r="AA231" s="7" t="s">
        <v>40</v>
      </c>
      <c r="AB231" s="7" t="s">
        <v>40</v>
      </c>
    </row>
    <row r="232" spans="1:28" ht="69.95" customHeight="1">
      <c r="A232" s="7">
        <v>2016</v>
      </c>
      <c r="B232" s="7" t="s">
        <v>64</v>
      </c>
      <c r="C232" s="7" t="str">
        <f>'[1]V, inciso o) (OP)'!C100</f>
        <v>DOPI-MUN-RM-IM-AD-220-2016</v>
      </c>
      <c r="D232" s="13">
        <f>'[1]V, inciso o) (OP)'!V100</f>
        <v>42647</v>
      </c>
      <c r="E232" s="7"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32" s="7" t="s">
        <v>184</v>
      </c>
      <c r="G232" s="11">
        <f>'[1]V, inciso o) (OP)'!Y100</f>
        <v>1495360.54</v>
      </c>
      <c r="H232" s="7" t="s">
        <v>840</v>
      </c>
      <c r="I232" s="7" t="str">
        <f>'[1]V, inciso o) (OP)'!M100</f>
        <v>JOSE ANTONIO</v>
      </c>
      <c r="J232" s="7" t="str">
        <f>'[1]V, inciso o) (OP)'!N100</f>
        <v>ALVAREZ</v>
      </c>
      <c r="K232" s="7" t="str">
        <f>'[1]V, inciso o) (OP)'!O100</f>
        <v>ZULOAGA</v>
      </c>
      <c r="L232" s="7" t="str">
        <f>'[1]V, inciso o) (OP)'!P100</f>
        <v>GRUPO DESARROLLADOR ALZU, S.A. DE C.V.</v>
      </c>
      <c r="M232" s="7" t="str">
        <f>'[1]V, inciso o) (OP)'!Q100</f>
        <v>GDA150928286</v>
      </c>
      <c r="N232" s="11">
        <f>'[1]V, inciso o) (OP)'!Y100</f>
        <v>1495360.54</v>
      </c>
      <c r="O232" s="7" t="s">
        <v>40</v>
      </c>
      <c r="P232" s="7" t="s">
        <v>841</v>
      </c>
      <c r="Q232" s="11">
        <f>N232/1035</f>
        <v>1444.7927922705314</v>
      </c>
      <c r="R232" s="7" t="s">
        <v>42</v>
      </c>
      <c r="S232" s="15">
        <v>1560</v>
      </c>
      <c r="T232" s="7" t="s">
        <v>43</v>
      </c>
      <c r="U232" s="7" t="s">
        <v>44</v>
      </c>
      <c r="V232" s="13">
        <f>'[1]V, inciso o) (OP)'!AD100</f>
        <v>42648</v>
      </c>
      <c r="W232" s="13">
        <f>'[1]V, inciso o) (OP)'!AE100</f>
        <v>42704</v>
      </c>
      <c r="X232" s="7" t="s">
        <v>842</v>
      </c>
      <c r="Y232" s="7" t="s">
        <v>62</v>
      </c>
      <c r="Z232" s="7" t="s">
        <v>843</v>
      </c>
      <c r="AA232" s="9" t="s">
        <v>1305</v>
      </c>
      <c r="AB232" s="7" t="s">
        <v>40</v>
      </c>
    </row>
    <row r="233" spans="1:28" ht="69.95" customHeight="1">
      <c r="A233" s="7">
        <v>2016</v>
      </c>
      <c r="B233" s="7" t="s">
        <v>64</v>
      </c>
      <c r="C233" s="7" t="str">
        <f>'[1]V, inciso o) (OP)'!C101</f>
        <v>DOPI-MUN-RM-PAV-AD-221-2016</v>
      </c>
      <c r="D233" s="13">
        <f>'[1]V, inciso o) (OP)'!V101</f>
        <v>42685</v>
      </c>
      <c r="E233" s="7" t="str">
        <f>'[1]V, inciso o) (OP)'!AA101</f>
        <v>Pavimentación con concreto asfáltico en el paso inferior de Periférico Norte Manuel Gomez Morín en su cruce con la Av. Santa Margarita, municipio de Zapopan, Jalisco.</v>
      </c>
      <c r="F233" s="7" t="s">
        <v>184</v>
      </c>
      <c r="G233" s="11">
        <f>'[1]V, inciso o) (OP)'!Y101</f>
        <v>1358863.01</v>
      </c>
      <c r="H233" s="7" t="s">
        <v>844</v>
      </c>
      <c r="I233" s="7" t="str">
        <f>'[1]V, inciso o) (OP)'!M101</f>
        <v>JESUS DAVID</v>
      </c>
      <c r="J233" s="7" t="str">
        <f>'[1]V, inciso o) (OP)'!N101</f>
        <v xml:space="preserve">GARZA </v>
      </c>
      <c r="K233" s="7" t="str">
        <f>'[1]V, inciso o) (OP)'!O101</f>
        <v>GARCIA</v>
      </c>
      <c r="L233" s="7" t="str">
        <f>'[1]V, inciso o) (OP)'!P101</f>
        <v>CONSTRUCCIONES  ELECTRIFICACIONES Y ARRENDAMIENTO DE MAQUINARIA S.A. DE C.V.</v>
      </c>
      <c r="M233" s="7" t="str">
        <f>'[1]V, inciso o) (OP)'!Q101</f>
        <v>CEA010615GT0</v>
      </c>
      <c r="N233" s="11">
        <f>'[1]V, inciso o) (OP)'!Y101</f>
        <v>1358863.01</v>
      </c>
      <c r="O233" s="7" t="s">
        <v>40</v>
      </c>
      <c r="P233" s="7" t="s">
        <v>845</v>
      </c>
      <c r="Q233" s="11">
        <f>N233/3033</f>
        <v>448.02605011539731</v>
      </c>
      <c r="R233" s="7" t="s">
        <v>42</v>
      </c>
      <c r="S233" s="15">
        <v>368954</v>
      </c>
      <c r="T233" s="7" t="s">
        <v>43</v>
      </c>
      <c r="U233" s="7" t="s">
        <v>44</v>
      </c>
      <c r="V233" s="13">
        <f>'[1]V, inciso o) (OP)'!AD101</f>
        <v>42688</v>
      </c>
      <c r="W233" s="13">
        <f>'[1]V, inciso o) (OP)'!AE101</f>
        <v>42726</v>
      </c>
      <c r="X233" s="7" t="s">
        <v>846</v>
      </c>
      <c r="Y233" s="7" t="s">
        <v>847</v>
      </c>
      <c r="Z233" s="7" t="s">
        <v>848</v>
      </c>
      <c r="AA233" s="7" t="s">
        <v>40</v>
      </c>
      <c r="AB233" s="7" t="s">
        <v>40</v>
      </c>
    </row>
    <row r="234" spans="1:28" ht="69.95" customHeight="1">
      <c r="A234" s="7">
        <v>2016</v>
      </c>
      <c r="B234" s="7" t="s">
        <v>64</v>
      </c>
      <c r="C234" s="7" t="str">
        <f>'[1]V, inciso o) (OP)'!C102</f>
        <v>DOPI-MUN-RM-PAV-AD-222-2016</v>
      </c>
      <c r="D234" s="13">
        <f>'[1]V, inciso o) (OP)'!V102</f>
        <v>42650</v>
      </c>
      <c r="E234" s="7" t="str">
        <f>'[1]V, inciso o) (OP)'!AA102</f>
        <v>Construccion y rehabilitación de guarniciones, banquetas, obra complementaria en camellones en diferentes zonas del municipio de Zapopan, Jalisco, frente 1.</v>
      </c>
      <c r="F234" s="7" t="s">
        <v>67</v>
      </c>
      <c r="G234" s="11">
        <f>'[1]V, inciso o) (OP)'!Y102</f>
        <v>1447543.87</v>
      </c>
      <c r="H234" s="7" t="s">
        <v>225</v>
      </c>
      <c r="I234" s="7" t="str">
        <f>'[1]V, inciso o) (OP)'!M102</f>
        <v>ESTEBAN</v>
      </c>
      <c r="J234" s="7" t="str">
        <f>'[1]V, inciso o) (OP)'!N102</f>
        <v>PEREZ</v>
      </c>
      <c r="K234" s="7" t="str">
        <f>'[1]V, inciso o) (OP)'!O102</f>
        <v>MUÑOZ</v>
      </c>
      <c r="L234" s="7" t="str">
        <f>'[1]V, inciso o) (OP)'!P102</f>
        <v>GRUPO PG CONSTRUCTORES Y SUPERVISORES, S.A. DE C.V.</v>
      </c>
      <c r="M234" s="7" t="str">
        <f>'[1]V, inciso o) (OP)'!Q102</f>
        <v>GPC110927671</v>
      </c>
      <c r="N234" s="11">
        <f>'[1]V, inciso o) (OP)'!Y102</f>
        <v>1447543.87</v>
      </c>
      <c r="O234" s="7" t="s">
        <v>40</v>
      </c>
      <c r="P234" s="7" t="s">
        <v>685</v>
      </c>
      <c r="Q234" s="11">
        <f>N234/2130</f>
        <v>679.59806103286394</v>
      </c>
      <c r="R234" s="7" t="s">
        <v>42</v>
      </c>
      <c r="S234" s="15">
        <v>153800</v>
      </c>
      <c r="T234" s="7" t="s">
        <v>43</v>
      </c>
      <c r="U234" s="7" t="s">
        <v>44</v>
      </c>
      <c r="V234" s="13">
        <f>'[1]V, inciso o) (OP)'!AD102</f>
        <v>42651</v>
      </c>
      <c r="W234" s="13">
        <f>'[1]V, inciso o) (OP)'!AE102</f>
        <v>42714</v>
      </c>
      <c r="X234" s="7" t="s">
        <v>556</v>
      </c>
      <c r="Y234" s="7" t="s">
        <v>557</v>
      </c>
      <c r="Z234" s="7" t="s">
        <v>558</v>
      </c>
      <c r="AA234" s="7" t="s">
        <v>40</v>
      </c>
      <c r="AB234" s="7" t="s">
        <v>40</v>
      </c>
    </row>
    <row r="235" spans="1:28" ht="69.95" customHeight="1">
      <c r="A235" s="7">
        <v>2016</v>
      </c>
      <c r="B235" s="7" t="s">
        <v>64</v>
      </c>
      <c r="C235" s="7" t="str">
        <f>'[1]V, inciso o) (OP)'!C103</f>
        <v>DOPI-MUN-RM-BAN-AD-223-2016</v>
      </c>
      <c r="D235" s="13">
        <f>'[1]V, inciso o) (OP)'!V103</f>
        <v>42674</v>
      </c>
      <c r="E235" s="7" t="str">
        <f>'[1]V, inciso o) (OP)'!AA103</f>
        <v>Construcción de banquetas y guarniciones en la calle La Grana y calle Rastro, en la colonia San Isidro, municipio de Zapopan, Jalisco.</v>
      </c>
      <c r="F235" s="7" t="s">
        <v>184</v>
      </c>
      <c r="G235" s="11">
        <f>'[1]V, inciso o) (OP)'!Y103</f>
        <v>650250.36</v>
      </c>
      <c r="H235" s="7" t="s">
        <v>827</v>
      </c>
      <c r="I235" s="7" t="str">
        <f>'[1]V, inciso o) (OP)'!M103</f>
        <v>ANGELICA</v>
      </c>
      <c r="J235" s="7" t="str">
        <f>'[1]V, inciso o) (OP)'!N103</f>
        <v>VALDERRAMA</v>
      </c>
      <c r="K235" s="7" t="str">
        <f>'[1]V, inciso o) (OP)'!O103</f>
        <v>CASTRO</v>
      </c>
      <c r="L235" s="7" t="str">
        <f>'[1]V, inciso o) (OP)'!P103</f>
        <v>GRUPO V Y CG, S.A. DE C.V.</v>
      </c>
      <c r="M235" s="7" t="str">
        <f>'[1]V, inciso o) (OP)'!Q103</f>
        <v>GVC1101316W5</v>
      </c>
      <c r="N235" s="11">
        <f>'[1]V, inciso o) (OP)'!Y103</f>
        <v>650250.36</v>
      </c>
      <c r="O235" s="7" t="s">
        <v>40</v>
      </c>
      <c r="P235" s="7" t="s">
        <v>849</v>
      </c>
      <c r="Q235" s="11">
        <f>N235/822</f>
        <v>791.05883211678827</v>
      </c>
      <c r="R235" s="7" t="s">
        <v>42</v>
      </c>
      <c r="S235" s="15">
        <v>564</v>
      </c>
      <c r="T235" s="7" t="s">
        <v>43</v>
      </c>
      <c r="U235" s="7" t="s">
        <v>44</v>
      </c>
      <c r="V235" s="13">
        <f>'[1]V, inciso o) (OP)'!AD103</f>
        <v>42675</v>
      </c>
      <c r="W235" s="13">
        <f>'[1]V, inciso o) (OP)'!AE103</f>
        <v>42719</v>
      </c>
      <c r="X235" s="7" t="s">
        <v>741</v>
      </c>
      <c r="Y235" s="7" t="s">
        <v>172</v>
      </c>
      <c r="Z235" s="7" t="s">
        <v>850</v>
      </c>
      <c r="AA235" s="9" t="s">
        <v>1306</v>
      </c>
      <c r="AB235" s="7" t="s">
        <v>40</v>
      </c>
    </row>
    <row r="236" spans="1:28" ht="69.95" customHeight="1">
      <c r="A236" s="7">
        <v>2016</v>
      </c>
      <c r="B236" s="7" t="s">
        <v>296</v>
      </c>
      <c r="C236" s="7" t="s">
        <v>851</v>
      </c>
      <c r="D236" s="13">
        <f>'[1]V, inciso p) (OP)'!AD139</f>
        <v>42727</v>
      </c>
      <c r="E236" s="7" t="str">
        <f>'[1]V, inciso p) (OP)'!AL139</f>
        <v>Rehabilitación de la Unidad Administrativa Las Águilas (cubierta, pintura, instalaciones eléctricas, instalaciones hidráulicas, nave central, impermeabilización, accesibilidad, baños, puertas de acceso principal) Frente 2</v>
      </c>
      <c r="F236" s="7" t="s">
        <v>184</v>
      </c>
      <c r="G236" s="11">
        <f>'[1]V, inciso p) (OP)'!AG139</f>
        <v>2484449.75</v>
      </c>
      <c r="H236" s="7" t="s">
        <v>194</v>
      </c>
      <c r="I236" s="7" t="str">
        <f>'[1]V, inciso p) (OP)'!T139</f>
        <v>Edgardo</v>
      </c>
      <c r="J236" s="7" t="str">
        <f>'[1]V, inciso p) (OP)'!U139</f>
        <v>Zúñiga</v>
      </c>
      <c r="K236" s="7" t="str">
        <f>'[1]V, inciso p) (OP)'!V139</f>
        <v>Beristaín</v>
      </c>
      <c r="L236" s="7" t="str">
        <f>'[1]V, inciso p) (OP)'!W139</f>
        <v>Proyección Integral Zure, S.A. de C.V.</v>
      </c>
      <c r="M236" s="7" t="str">
        <f>'[1]V, inciso p) (OP)'!X139</f>
        <v>PIZ070717DX6</v>
      </c>
      <c r="N236" s="11">
        <f>'[1]V, inciso p) (OP)'!AG139</f>
        <v>2484449.75</v>
      </c>
      <c r="O236" s="7" t="s">
        <v>40</v>
      </c>
      <c r="P236" s="7" t="s">
        <v>852</v>
      </c>
      <c r="Q236" s="11">
        <f>N236/2982.85</f>
        <v>832.9113934659805</v>
      </c>
      <c r="R236" s="7" t="s">
        <v>42</v>
      </c>
      <c r="S236" s="15">
        <v>985622</v>
      </c>
      <c r="T236" s="7" t="s">
        <v>43</v>
      </c>
      <c r="U236" s="7" t="s">
        <v>584</v>
      </c>
      <c r="V236" s="13">
        <f>'[1]V, inciso p) (OP)'!AM139</f>
        <v>42730</v>
      </c>
      <c r="W236" s="13">
        <f>'[1]V, inciso p) (OP)'!AN139</f>
        <v>42820</v>
      </c>
      <c r="X236" s="7" t="s">
        <v>741</v>
      </c>
      <c r="Y236" s="7" t="s">
        <v>172</v>
      </c>
      <c r="Z236" s="7" t="s">
        <v>850</v>
      </c>
      <c r="AA236" s="9" t="s">
        <v>1307</v>
      </c>
      <c r="AB236" s="7" t="s">
        <v>40</v>
      </c>
    </row>
    <row r="237" spans="1:28" ht="69.95" customHeight="1">
      <c r="A237" s="7">
        <v>2016</v>
      </c>
      <c r="B237" s="7" t="s">
        <v>296</v>
      </c>
      <c r="C237" s="7" t="str">
        <f>'[1]V, inciso p) (OP)'!D140</f>
        <v>DOPI-MUN-RM-MOV-CI-226-2016</v>
      </c>
      <c r="D237" s="13">
        <f>'[1]V, inciso p) (OP)'!AD140</f>
        <v>42727</v>
      </c>
      <c r="E237" s="7" t="str">
        <f>'[1]V, inciso p) (OP)'!AL140</f>
        <v>Rehabilitación de ciclovía Santa Margarita e iluminación, municipio de Zapopan, Jalisco.</v>
      </c>
      <c r="F237" s="7" t="s">
        <v>184</v>
      </c>
      <c r="G237" s="11">
        <f>'[1]V, inciso p) (OP)'!AG140</f>
        <v>3949999.31</v>
      </c>
      <c r="H237" s="7" t="s">
        <v>853</v>
      </c>
      <c r="I237" s="7" t="str">
        <f>'[1]V, inciso p) (OP)'!T140</f>
        <v>Bernardo</v>
      </c>
      <c r="J237" s="7" t="str">
        <f>'[1]V, inciso p) (OP)'!U140</f>
        <v>Saenz</v>
      </c>
      <c r="K237" s="7" t="str">
        <f>'[1]V, inciso p) (OP)'!V140</f>
        <v>Barba</v>
      </c>
      <c r="L237" s="7" t="str">
        <f>'[1]V, inciso p) (OP)'!W140</f>
        <v>Grupo Edificador Mayab, S.A. de C.V.</v>
      </c>
      <c r="M237" s="7" t="str">
        <f>'[1]V, inciso p) (OP)'!X140</f>
        <v>GEM070112PX8</v>
      </c>
      <c r="N237" s="11">
        <f>'[1]V, inciso p) (OP)'!AG140</f>
        <v>3949999.31</v>
      </c>
      <c r="O237" s="7" t="s">
        <v>40</v>
      </c>
      <c r="P237" s="7" t="s">
        <v>854</v>
      </c>
      <c r="Q237" s="11">
        <f>N237/6380</f>
        <v>619.12214890282132</v>
      </c>
      <c r="R237" s="7" t="s">
        <v>42</v>
      </c>
      <c r="S237" s="15">
        <v>25633</v>
      </c>
      <c r="T237" s="7" t="s">
        <v>43</v>
      </c>
      <c r="U237" s="7" t="s">
        <v>584</v>
      </c>
      <c r="V237" s="13">
        <f>'[1]V, inciso p) (OP)'!AM140</f>
        <v>42730</v>
      </c>
      <c r="W237" s="13">
        <f>'[1]V, inciso p) (OP)'!AN140</f>
        <v>42820</v>
      </c>
      <c r="X237" s="7" t="s">
        <v>571</v>
      </c>
      <c r="Y237" s="7" t="s">
        <v>572</v>
      </c>
      <c r="Z237" s="7" t="s">
        <v>573</v>
      </c>
      <c r="AA237" s="7" t="s">
        <v>40</v>
      </c>
      <c r="AB237" s="7" t="s">
        <v>40</v>
      </c>
    </row>
    <row r="238" spans="1:28" ht="69.95" customHeight="1">
      <c r="A238" s="7">
        <v>2016</v>
      </c>
      <c r="B238" s="7" t="s">
        <v>64</v>
      </c>
      <c r="C238" s="7" t="str">
        <f>'[1]V, inciso o) (OP)'!C104</f>
        <v>DOPI-MUN-RM-PROY-AD-227-2016</v>
      </c>
      <c r="D238" s="13">
        <f>'[1]V, inciso o) (OP)'!V104</f>
        <v>42706</v>
      </c>
      <c r="E238" s="7" t="str">
        <f>'[1]V, inciso o) (OP)'!AA104</f>
        <v>Estudios y proyecto ejecutivo para estructuras de regulación hidráulica; Diagnóstico, diseño y proyectos hidráulicos 2016, tercera etapa, de diferentes redes de agua potable y alcantarillado, municipio de Zapopan, Jalisco.</v>
      </c>
      <c r="F238" s="7" t="s">
        <v>184</v>
      </c>
      <c r="G238" s="11">
        <f>'[1]V, inciso o) (OP)'!Y104</f>
        <v>1199639.3999999999</v>
      </c>
      <c r="H238" s="7" t="s">
        <v>582</v>
      </c>
      <c r="I238" s="7" t="str">
        <f>'[1]V, inciso o) (OP)'!M104</f>
        <v>VICTOR MARTIN</v>
      </c>
      <c r="J238" s="7" t="str">
        <f>'[1]V, inciso o) (OP)'!N104</f>
        <v>LOPEZ</v>
      </c>
      <c r="K238" s="7" t="str">
        <f>'[1]V, inciso o) (OP)'!O104</f>
        <v>SANTOS</v>
      </c>
      <c r="L238" s="7" t="str">
        <f>'[1]V, inciso o) (OP)'!P104</f>
        <v>CONSTRUCCIONES CITUS, S.A. DE C.V.</v>
      </c>
      <c r="M238" s="7" t="str">
        <f>'[1]V, inciso o) (OP)'!Q104</f>
        <v>CCI020411HS5</v>
      </c>
      <c r="N238" s="11">
        <f>'[1]V, inciso o) (OP)'!Y104</f>
        <v>1199639.3999999999</v>
      </c>
      <c r="O238" s="7" t="s">
        <v>40</v>
      </c>
      <c r="P238" s="7" t="s">
        <v>855</v>
      </c>
      <c r="Q238" s="11">
        <f>N238</f>
        <v>1199639.3999999999</v>
      </c>
      <c r="R238" s="7" t="s">
        <v>232</v>
      </c>
      <c r="S238" s="15" t="s">
        <v>232</v>
      </c>
      <c r="T238" s="7" t="s">
        <v>43</v>
      </c>
      <c r="U238" s="7" t="s">
        <v>584</v>
      </c>
      <c r="V238" s="13">
        <f>'[1]V, inciso o) (OP)'!AD104</f>
        <v>42709</v>
      </c>
      <c r="W238" s="13">
        <f>'[1]V, inciso o) (OP)'!AE104</f>
        <v>42859</v>
      </c>
      <c r="X238" s="7" t="s">
        <v>856</v>
      </c>
      <c r="Y238" s="7" t="s">
        <v>244</v>
      </c>
      <c r="Z238" s="7" t="s">
        <v>245</v>
      </c>
      <c r="AA238" s="7" t="s">
        <v>40</v>
      </c>
      <c r="AB238" s="7" t="s">
        <v>40</v>
      </c>
    </row>
    <row r="239" spans="1:28" ht="69.95" customHeight="1">
      <c r="A239" s="7">
        <v>2016</v>
      </c>
      <c r="B239" s="7" t="str">
        <f>'[1]V, inciso p) (OP)'!B141</f>
        <v>Licitación por Invitación Restringida</v>
      </c>
      <c r="C239" s="7" t="str">
        <f>'[1]V, inciso p) (OP)'!D141</f>
        <v>DOPI-MUN-R33-AP-CI-228-2016</v>
      </c>
      <c r="D239" s="13">
        <f>'[1]V, inciso p) (OP)'!AD141</f>
        <v>42727</v>
      </c>
      <c r="E239" s="7" t="str">
        <f>'[1]V, inciso p) (OP)'!AL141</f>
        <v xml:space="preserve">Perforación y equipamiento de pozo en la localidad de Los Patios, en el municipio de Zapopan, Jalisco. </v>
      </c>
      <c r="F239" s="7" t="s">
        <v>747</v>
      </c>
      <c r="G239" s="11">
        <f>'[1]V, inciso p) (OP)'!AG141</f>
        <v>6196741.5800000001</v>
      </c>
      <c r="H239" s="7" t="str">
        <f>'[1]V, inciso p) (OP)'!AS141</f>
        <v>Localidad Los Patios</v>
      </c>
      <c r="I239" s="7" t="str">
        <f>'[1]V, inciso p) (OP)'!T141</f>
        <v>Karla Mariana</v>
      </c>
      <c r="J239" s="7" t="str">
        <f>'[1]V, inciso p) (OP)'!U141</f>
        <v>Méndez</v>
      </c>
      <c r="K239" s="7" t="str">
        <f>'[1]V, inciso p) (OP)'!V141</f>
        <v>Rodríguez</v>
      </c>
      <c r="L239" s="7" t="str">
        <f>'[1]V, inciso p) (OP)'!W141</f>
        <v>Grupo la Fuente, S.A. de C.V.</v>
      </c>
      <c r="M239" s="7" t="str">
        <f>'[1]V, inciso p) (OP)'!X141</f>
        <v>GFU021009BC1</v>
      </c>
      <c r="N239" s="11">
        <f>'[1]V, inciso p) (OP)'!AG141</f>
        <v>6196741.5800000001</v>
      </c>
      <c r="O239" s="7" t="s">
        <v>40</v>
      </c>
      <c r="P239" s="7" t="s">
        <v>51</v>
      </c>
      <c r="Q239" s="11">
        <f>N239</f>
        <v>6196741.5800000001</v>
      </c>
      <c r="R239" s="7" t="s">
        <v>42</v>
      </c>
      <c r="S239" s="15">
        <v>39</v>
      </c>
      <c r="T239" s="7" t="s">
        <v>43</v>
      </c>
      <c r="U239" s="7" t="s">
        <v>584</v>
      </c>
      <c r="V239" s="13">
        <f>'[1]V, inciso p) (OP)'!AM141</f>
        <v>42730</v>
      </c>
      <c r="W239" s="13">
        <f>'[1]V, inciso p) (OP)'!AN141</f>
        <v>42850</v>
      </c>
      <c r="X239" s="7" t="s">
        <v>723</v>
      </c>
      <c r="Y239" s="7" t="s">
        <v>724</v>
      </c>
      <c r="Z239" s="7" t="s">
        <v>145</v>
      </c>
      <c r="AA239" s="7" t="s">
        <v>40</v>
      </c>
      <c r="AB239" s="7" t="s">
        <v>40</v>
      </c>
    </row>
    <row r="240" spans="1:28" ht="69.95" customHeight="1">
      <c r="A240" s="7">
        <v>2016</v>
      </c>
      <c r="B240" s="7" t="str">
        <f>'[1]V, inciso p) (OP)'!B142</f>
        <v>Licitación por Invitación Restringida</v>
      </c>
      <c r="C240" s="7" t="str">
        <f>'[1]V, inciso p) (OP)'!D142</f>
        <v>DOPI-MUN-R33-AP-CI-229-2016</v>
      </c>
      <c r="D240" s="13">
        <f>'[1]V, inciso p) (OP)'!AD142</f>
        <v>42727</v>
      </c>
      <c r="E240" s="7" t="str">
        <f>'[1]V, inciso p) (OP)'!AL142</f>
        <v>Construcción de línea de conducción de agua potable de 3" de tubería galvanizada, en la localidad San José, en el municipio de Zapopan, Jalisco.</v>
      </c>
      <c r="F240" s="7" t="s">
        <v>747</v>
      </c>
      <c r="G240" s="11">
        <f>'[1]V, inciso p) (OP)'!AG142</f>
        <v>3453426.13</v>
      </c>
      <c r="H240" s="7" t="str">
        <f>'[1]V, inciso p) (OP)'!AS142</f>
        <v>Localidad San José</v>
      </c>
      <c r="I240" s="7" t="str">
        <f>'[1]V, inciso p) (OP)'!T142</f>
        <v>José Antonio</v>
      </c>
      <c r="J240" s="7" t="str">
        <f>'[1]V, inciso p) (OP)'!U142</f>
        <v>Álvarez</v>
      </c>
      <c r="K240" s="7" t="str">
        <f>'[1]V, inciso p) (OP)'!V142</f>
        <v>García</v>
      </c>
      <c r="L240" s="7" t="str">
        <f>'[1]V, inciso p) (OP)'!W142</f>
        <v>Urcoma 1970, S.A. de C.V.</v>
      </c>
      <c r="M240" s="7" t="str">
        <f>'[1]V, inciso p) (OP)'!X142</f>
        <v>UMN160125869</v>
      </c>
      <c r="N240" s="11">
        <f>'[1]V, inciso p) (OP)'!AG142</f>
        <v>3453426.13</v>
      </c>
      <c r="O240" s="7" t="s">
        <v>40</v>
      </c>
      <c r="P240" s="7" t="s">
        <v>857</v>
      </c>
      <c r="Q240" s="11">
        <f>N240/3200</f>
        <v>1079.1956656249999</v>
      </c>
      <c r="R240" s="7" t="s">
        <v>42</v>
      </c>
      <c r="S240" s="15">
        <v>71</v>
      </c>
      <c r="T240" s="7" t="s">
        <v>43</v>
      </c>
      <c r="U240" s="7" t="s">
        <v>584</v>
      </c>
      <c r="V240" s="13">
        <f>'[1]V, inciso p) (OP)'!AM142</f>
        <v>42730</v>
      </c>
      <c r="W240" s="13">
        <f>'[1]V, inciso p) (OP)'!AN142</f>
        <v>42850</v>
      </c>
      <c r="X240" s="7" t="s">
        <v>723</v>
      </c>
      <c r="Y240" s="7" t="s">
        <v>724</v>
      </c>
      <c r="Z240" s="7" t="s">
        <v>145</v>
      </c>
      <c r="AA240" s="7" t="s">
        <v>40</v>
      </c>
      <c r="AB240" s="7" t="s">
        <v>40</v>
      </c>
    </row>
    <row r="241" spans="1:28" ht="69.95" customHeight="1">
      <c r="A241" s="7">
        <v>2016</v>
      </c>
      <c r="B241" s="7" t="str">
        <f>'[1]V, inciso p) (OP)'!B143</f>
        <v>Licitación por Invitación Restringida</v>
      </c>
      <c r="C241" s="7" t="str">
        <f>'[1]V, inciso p) (OP)'!D143</f>
        <v>DOPI-MUN-R33-AP-CI-230-2016</v>
      </c>
      <c r="D241" s="13">
        <f>'[1]V, inciso p) (OP)'!AD143</f>
        <v>42727</v>
      </c>
      <c r="E241" s="7" t="str">
        <f>'[1]V, inciso p) (OP)'!AL143</f>
        <v>Construcción de línea de agua potable en la Carretera a San Esteban de Carretera a Saltillo a calle Norte, en la localidad de San Isidro, en el municipio de Zapopan, Jalisco.</v>
      </c>
      <c r="F241" s="7" t="s">
        <v>747</v>
      </c>
      <c r="G241" s="11">
        <f>'[1]V, inciso p) (OP)'!AG143</f>
        <v>1996402.43</v>
      </c>
      <c r="H241" s="7" t="str">
        <f>'[1]V, inciso p) (OP)'!AS143</f>
        <v>Localidad San Isidro</v>
      </c>
      <c r="I241" s="7" t="str">
        <f>'[1]V, inciso p) (OP)'!T143</f>
        <v>Ernesto</v>
      </c>
      <c r="J241" s="7" t="str">
        <f>'[1]V, inciso p) (OP)'!U143</f>
        <v>Zamora</v>
      </c>
      <c r="K241" s="7" t="str">
        <f>'[1]V, inciso p) (OP)'!V143</f>
        <v>Corona</v>
      </c>
      <c r="L241" s="7" t="str">
        <f>'[1]V, inciso p) (OP)'!W143</f>
        <v>Keops Ingenieria y Construccion, S.A. de C.V.</v>
      </c>
      <c r="M241" s="7" t="str">
        <f>'[1]V, inciso p) (OP)'!X143</f>
        <v>KIC040617JIA</v>
      </c>
      <c r="N241" s="11">
        <f>'[1]V, inciso p) (OP)'!AG143</f>
        <v>1996402.43</v>
      </c>
      <c r="O241" s="7" t="s">
        <v>40</v>
      </c>
      <c r="P241" s="7" t="s">
        <v>858</v>
      </c>
      <c r="Q241" s="11">
        <f>N241/733</f>
        <v>2723.604952251023</v>
      </c>
      <c r="R241" s="7" t="s">
        <v>42</v>
      </c>
      <c r="S241" s="15">
        <v>1446</v>
      </c>
      <c r="T241" s="7" t="s">
        <v>43</v>
      </c>
      <c r="U241" s="7" t="s">
        <v>584</v>
      </c>
      <c r="V241" s="13">
        <f>'[1]V, inciso p) (OP)'!AM143</f>
        <v>42730</v>
      </c>
      <c r="W241" s="13">
        <f>'[1]V, inciso p) (OP)'!AN143</f>
        <v>42820</v>
      </c>
      <c r="X241" s="7" t="s">
        <v>699</v>
      </c>
      <c r="Y241" s="7" t="s">
        <v>513</v>
      </c>
      <c r="Z241" s="7" t="s">
        <v>280</v>
      </c>
      <c r="AA241" s="7" t="s">
        <v>40</v>
      </c>
      <c r="AB241" s="7" t="s">
        <v>40</v>
      </c>
    </row>
    <row r="242" spans="1:28" ht="69.95" customHeight="1">
      <c r="A242" s="7">
        <v>2016</v>
      </c>
      <c r="B242" s="7" t="str">
        <f>'[1]V, inciso p) (OP)'!B144</f>
        <v>Licitación por Invitación Restringida</v>
      </c>
      <c r="C242" s="7" t="str">
        <f>'[1]V, inciso p) (OP)'!D144</f>
        <v>DOPI-MUN-R33-AP-CI-231-2016</v>
      </c>
      <c r="D242" s="13">
        <f>'[1]V, inciso p) (OP)'!AD144</f>
        <v>42727</v>
      </c>
      <c r="E242" s="7" t="str">
        <f>'[1]V, inciso p) (OP)'!AL144</f>
        <v>Construcción de la primera etapa de línea de agua potable en la colonia Colinas del Rio, en el municipio de Zapopan, Jalisco.</v>
      </c>
      <c r="F242" s="7" t="s">
        <v>747</v>
      </c>
      <c r="G242" s="11">
        <f>'[1]V, inciso p) (OP)'!AG144</f>
        <v>3589467.88</v>
      </c>
      <c r="H242" s="7" t="str">
        <f>'[1]V, inciso p) (OP)'!AS144</f>
        <v>Colonia Colinas del Rio</v>
      </c>
      <c r="I242" s="7" t="str">
        <f>'[1]V, inciso p) (OP)'!T144</f>
        <v>Adalberto</v>
      </c>
      <c r="J242" s="7" t="str">
        <f>'[1]V, inciso p) (OP)'!U144</f>
        <v>Medina</v>
      </c>
      <c r="K242" s="7" t="str">
        <f>'[1]V, inciso p) (OP)'!V144</f>
        <v>Morales</v>
      </c>
      <c r="L242" s="7" t="str">
        <f>'[1]V, inciso p) (OP)'!W144</f>
        <v>Urdem, S.A. de C.V.</v>
      </c>
      <c r="M242" s="7" t="str">
        <f>'[1]V, inciso p) (OP)'!X144</f>
        <v>URD130830U21</v>
      </c>
      <c r="N242" s="11">
        <f>'[1]V, inciso p) (OP)'!AG144</f>
        <v>3589467.88</v>
      </c>
      <c r="O242" s="7" t="s">
        <v>40</v>
      </c>
      <c r="P242" s="7" t="s">
        <v>859</v>
      </c>
      <c r="Q242" s="11">
        <f>N242/2918</f>
        <v>1230.1123646333103</v>
      </c>
      <c r="R242" s="7" t="s">
        <v>42</v>
      </c>
      <c r="S242" s="15">
        <v>125</v>
      </c>
      <c r="T242" s="7" t="s">
        <v>43</v>
      </c>
      <c r="U242" s="7" t="s">
        <v>584</v>
      </c>
      <c r="V242" s="13">
        <f>'[1]V, inciso p) (OP)'!AM144</f>
        <v>42730</v>
      </c>
      <c r="W242" s="13">
        <f>'[1]V, inciso p) (OP)'!AN144</f>
        <v>42850</v>
      </c>
      <c r="X242" s="7" t="s">
        <v>699</v>
      </c>
      <c r="Y242" s="7" t="s">
        <v>513</v>
      </c>
      <c r="Z242" s="7" t="s">
        <v>280</v>
      </c>
      <c r="AA242" s="7" t="s">
        <v>40</v>
      </c>
      <c r="AB242" s="7" t="s">
        <v>40</v>
      </c>
    </row>
    <row r="243" spans="1:28" ht="69.95" customHeight="1">
      <c r="A243" s="7">
        <v>2016</v>
      </c>
      <c r="B243" s="7" t="str">
        <f>'[1]V, inciso p) (OP)'!B145</f>
        <v>Licitación por Invitación Restringida</v>
      </c>
      <c r="C243" s="7" t="str">
        <f>'[1]V, inciso p) (OP)'!D145</f>
        <v>DOPI-MUN-R33-PAV-CI-232-2016</v>
      </c>
      <c r="D243" s="13">
        <f>'[1]V, inciso p) (OP)'!AD145</f>
        <v>42727</v>
      </c>
      <c r="E243" s="7" t="str">
        <f>'[1]V, inciso p) (OP)'!AL145</f>
        <v>Pavimentación con concreto hidráulico, línea de agua potable, drenaje sanitario y alumbrado público, en la calle Abel Salgado, de Carretera a Saltillo a calle Ojo de Agua, en la colonia Agua Fría, municipio de Zapopan Jalisco, frente 1.</v>
      </c>
      <c r="F243" s="7" t="s">
        <v>747</v>
      </c>
      <c r="G243" s="11">
        <f>'[1]V, inciso p) (OP)'!AG145</f>
        <v>3867999.72</v>
      </c>
      <c r="H243" s="7" t="str">
        <f>'[1]V, inciso p) (OP)'!AS145</f>
        <v>Colonia Agua Fria</v>
      </c>
      <c r="I243" s="7" t="str">
        <f>'[1]V, inciso p) (OP)'!T145</f>
        <v>Edwin</v>
      </c>
      <c r="J243" s="7" t="str">
        <f>'[1]V, inciso p) (OP)'!U145</f>
        <v>Aguiar</v>
      </c>
      <c r="K243" s="7" t="str">
        <f>'[1]V, inciso p) (OP)'!V145</f>
        <v>Escatel</v>
      </c>
      <c r="L243" s="7" t="str">
        <f>'[1]V, inciso p) (OP)'!W145</f>
        <v>Manjarrez Urbanizaciones, S.A. de C.V.</v>
      </c>
      <c r="M243" s="7" t="str">
        <f>'[1]V, inciso p) (OP)'!X145</f>
        <v>MUR090325P33</v>
      </c>
      <c r="N243" s="11">
        <f>'[1]V, inciso p) (OP)'!AG145</f>
        <v>3867999.72</v>
      </c>
      <c r="O243" s="7" t="s">
        <v>40</v>
      </c>
      <c r="P243" s="7" t="s">
        <v>860</v>
      </c>
      <c r="Q243" s="11">
        <f>N243/1921.33</f>
        <v>2013.1886349559943</v>
      </c>
      <c r="R243" s="7" t="s">
        <v>42</v>
      </c>
      <c r="S243" s="15">
        <v>104</v>
      </c>
      <c r="T243" s="7" t="s">
        <v>43</v>
      </c>
      <c r="U243" s="7" t="s">
        <v>584</v>
      </c>
      <c r="V243" s="13">
        <f>'[1]V, inciso p) (OP)'!AM145</f>
        <v>42730</v>
      </c>
      <c r="W243" s="13">
        <f>'[1]V, inciso p) (OP)'!AN145</f>
        <v>42880</v>
      </c>
      <c r="X243" s="7" t="s">
        <v>699</v>
      </c>
      <c r="Y243" s="7" t="s">
        <v>513</v>
      </c>
      <c r="Z243" s="7" t="s">
        <v>280</v>
      </c>
      <c r="AA243" s="7" t="s">
        <v>40</v>
      </c>
      <c r="AB243" s="7" t="s">
        <v>40</v>
      </c>
    </row>
    <row r="244" spans="1:28" ht="69.95" customHeight="1">
      <c r="A244" s="7">
        <v>2016</v>
      </c>
      <c r="B244" s="7" t="str">
        <f>'[1]V, inciso p) (OP)'!B146</f>
        <v>Licitación por Invitación Restringida</v>
      </c>
      <c r="C244" s="7" t="str">
        <f>'[1]V, inciso p) (OP)'!D146</f>
        <v>DOPI-MUN-R33-PAV-CI-233-2016</v>
      </c>
      <c r="D244" s="13">
        <f>'[1]V, inciso p) (OP)'!AD146</f>
        <v>42727</v>
      </c>
      <c r="E244" s="7" t="str">
        <f>'[1]V, inciso p) (OP)'!AL146</f>
        <v>Pavimentación con concreto hidráulico, línea de agua potable, drenaje sanitario y alumbrado público,  en la calle Abel Salgado, de Carretera a Saltillo a calle Ojo de Agua, en la colonia Agua Fría, municipio de Zapopan Jalisco, frente 2.</v>
      </c>
      <c r="F244" s="7" t="s">
        <v>747</v>
      </c>
      <c r="G244" s="11">
        <f>'[1]V, inciso p) (OP)'!AG146</f>
        <v>3638106.52</v>
      </c>
      <c r="H244" s="7" t="str">
        <f>'[1]V, inciso p) (OP)'!AS146</f>
        <v>Colonia Agua Fria</v>
      </c>
      <c r="I244" s="7" t="str">
        <f>'[1]V, inciso p) (OP)'!T146</f>
        <v>Clarissa Gabriela</v>
      </c>
      <c r="J244" s="7" t="str">
        <f>'[1]V, inciso p) (OP)'!U146</f>
        <v>Valdez</v>
      </c>
      <c r="K244" s="7" t="str">
        <f>'[1]V, inciso p) (OP)'!V146</f>
        <v>Manjarrez</v>
      </c>
      <c r="L244" s="7" t="str">
        <f>'[1]V, inciso p) (OP)'!W146</f>
        <v>Tekton Grupo Empresarial, S.A. de C.V.</v>
      </c>
      <c r="M244" s="7" t="str">
        <f>'[1]V, inciso p) (OP)'!X146</f>
        <v>TGE101215JI6</v>
      </c>
      <c r="N244" s="11">
        <f>'[1]V, inciso p) (OP)'!AG146</f>
        <v>3638106.52</v>
      </c>
      <c r="O244" s="7" t="s">
        <v>40</v>
      </c>
      <c r="P244" s="7" t="s">
        <v>861</v>
      </c>
      <c r="Q244" s="11">
        <f>N244/1754.05</f>
        <v>2074.1179099797614</v>
      </c>
      <c r="R244" s="7" t="s">
        <v>42</v>
      </c>
      <c r="S244" s="15">
        <v>104</v>
      </c>
      <c r="T244" s="7" t="s">
        <v>43</v>
      </c>
      <c r="U244" s="7" t="s">
        <v>584</v>
      </c>
      <c r="V244" s="13">
        <f>'[1]V, inciso p) (OP)'!AM146</f>
        <v>42730</v>
      </c>
      <c r="W244" s="13">
        <f>'[1]V, inciso p) (OP)'!AN146</f>
        <v>42880</v>
      </c>
      <c r="X244" s="7" t="s">
        <v>699</v>
      </c>
      <c r="Y244" s="7" t="s">
        <v>513</v>
      </c>
      <c r="Z244" s="7" t="s">
        <v>280</v>
      </c>
      <c r="AA244" s="7" t="s">
        <v>40</v>
      </c>
      <c r="AB244" s="7" t="s">
        <v>40</v>
      </c>
    </row>
    <row r="245" spans="1:28" ht="69.95" customHeight="1">
      <c r="A245" s="7">
        <v>2016</v>
      </c>
      <c r="B245" s="7" t="s">
        <v>64</v>
      </c>
      <c r="C245" s="7" t="str">
        <f>'[1]V, inciso o) (OP)'!C105</f>
        <v>DOPI-MUN-RM-MOV-AD-234-2016</v>
      </c>
      <c r="D245" s="13">
        <f>'[1]V, inciso o) (OP)'!V105</f>
        <v>42674</v>
      </c>
      <c r="E245" s="7" t="str">
        <f>'[1]V, inciso o) (OP)'!AA105</f>
        <v>Señalización vertical y horizontal en diferentes obras del municipio de Zapopan, Jalisco, frente 2.</v>
      </c>
      <c r="F245" s="7" t="s">
        <v>184</v>
      </c>
      <c r="G245" s="11">
        <f>'[1]V, inciso o) (OP)'!Y105</f>
        <v>1342102.7</v>
      </c>
      <c r="H245" s="7" t="s">
        <v>225</v>
      </c>
      <c r="I245" s="7" t="str">
        <f>'[1]V, inciso o) (OP)'!M105</f>
        <v xml:space="preserve">HUGO RAFAEL </v>
      </c>
      <c r="J245" s="7" t="str">
        <f>'[1]V, inciso o) (OP)'!N105</f>
        <v>CABRERA</v>
      </c>
      <c r="K245" s="7" t="str">
        <f>'[1]V, inciso o) (OP)'!O105</f>
        <v>ORTINEZ</v>
      </c>
      <c r="L245" s="7" t="str">
        <f>'[1]V, inciso o) (OP)'!P105</f>
        <v>HUGO RAFAEL CABRERA ORTINEZ</v>
      </c>
      <c r="M245" s="7" t="str">
        <f>'[1]V, inciso o) (OP)'!Q105</f>
        <v>CAOH671024T38</v>
      </c>
      <c r="N245" s="11">
        <f>'[1]V, inciso o) (OP)'!Y105</f>
        <v>1342102.7</v>
      </c>
      <c r="O245" s="7" t="s">
        <v>40</v>
      </c>
      <c r="P245" s="7" t="s">
        <v>862</v>
      </c>
      <c r="Q245" s="11">
        <f>N245</f>
        <v>1342102.7</v>
      </c>
      <c r="R245" s="7" t="s">
        <v>42</v>
      </c>
      <c r="S245" s="15">
        <v>265840</v>
      </c>
      <c r="T245" s="7" t="s">
        <v>43</v>
      </c>
      <c r="U245" s="7" t="s">
        <v>44</v>
      </c>
      <c r="V245" s="13">
        <f>'[1]V, inciso o) (OP)'!AD105</f>
        <v>42675</v>
      </c>
      <c r="W245" s="13">
        <f>'[1]V, inciso o) (OP)'!AE105</f>
        <v>42735</v>
      </c>
      <c r="X245" s="7" t="s">
        <v>591</v>
      </c>
      <c r="Y245" s="7" t="s">
        <v>46</v>
      </c>
      <c r="Z245" s="7" t="s">
        <v>47</v>
      </c>
      <c r="AA245" s="7" t="s">
        <v>40</v>
      </c>
      <c r="AB245" s="7" t="s">
        <v>40</v>
      </c>
    </row>
    <row r="246" spans="1:28" ht="69.95" customHeight="1">
      <c r="A246" s="7">
        <v>2016</v>
      </c>
      <c r="B246" s="7" t="s">
        <v>64</v>
      </c>
      <c r="C246" s="7" t="str">
        <f>'[1]V, inciso o) (OP)'!C106</f>
        <v>DOPI-MUN-RM-IM-AD-235-2016</v>
      </c>
      <c r="D246" s="13">
        <f>'[1]V, inciso o) (OP)'!V106</f>
        <v>42664</v>
      </c>
      <c r="E246" s="7" t="str">
        <f>'[1]V, inciso o) (OP)'!AA106</f>
        <v>Construcción de caseta de vigilancia en el parque Metropolitano, municipio de Zapopan, Jalisco</v>
      </c>
      <c r="F246" s="7" t="s">
        <v>184</v>
      </c>
      <c r="G246" s="11">
        <f>'[1]V, inciso o) (OP)'!Y106</f>
        <v>915870.14</v>
      </c>
      <c r="H246" s="7" t="s">
        <v>863</v>
      </c>
      <c r="I246" s="7" t="str">
        <f>'[1]V, inciso o) (OP)'!M106</f>
        <v>HIRAM</v>
      </c>
      <c r="J246" s="7" t="str">
        <f>'[1]V, inciso o) (OP)'!N106</f>
        <v>SANCHEZ</v>
      </c>
      <c r="K246" s="7" t="str">
        <f>'[1]V, inciso o) (OP)'!O106</f>
        <v>LUGO</v>
      </c>
      <c r="L246" s="7" t="str">
        <f>'[1]V, inciso o) (OP)'!P106</f>
        <v>CONSTRUSANLU URBANIZADORA, S.A. DE C.V.</v>
      </c>
      <c r="M246" s="7" t="str">
        <f>'[1]V, inciso o) (OP)'!Q106</f>
        <v>CUR130430U59</v>
      </c>
      <c r="N246" s="11">
        <f>'[1]V, inciso o) (OP)'!Y106</f>
        <v>915870.14</v>
      </c>
      <c r="O246" s="7" t="s">
        <v>40</v>
      </c>
      <c r="P246" s="7" t="s">
        <v>864</v>
      </c>
      <c r="Q246" s="11">
        <f>N246/96</f>
        <v>9540.3139583333341</v>
      </c>
      <c r="R246" s="7" t="s">
        <v>42</v>
      </c>
      <c r="S246" s="15">
        <v>25830</v>
      </c>
      <c r="T246" s="7" t="s">
        <v>43</v>
      </c>
      <c r="U246" s="7" t="s">
        <v>44</v>
      </c>
      <c r="V246" s="13">
        <f>'[1]V, inciso o) (OP)'!AD106</f>
        <v>42667</v>
      </c>
      <c r="W246" s="13">
        <f>'[1]V, inciso o) (OP)'!AE106</f>
        <v>42704</v>
      </c>
      <c r="X246" s="7" t="s">
        <v>701</v>
      </c>
      <c r="Y246" s="7" t="s">
        <v>524</v>
      </c>
      <c r="Z246" s="7" t="s">
        <v>254</v>
      </c>
      <c r="AA246" s="7" t="s">
        <v>40</v>
      </c>
      <c r="AB246" s="7" t="s">
        <v>40</v>
      </c>
    </row>
    <row r="247" spans="1:28" ht="69.95" customHeight="1">
      <c r="A247" s="7">
        <v>2016</v>
      </c>
      <c r="B247" s="7" t="s">
        <v>64</v>
      </c>
      <c r="C247" s="7" t="str">
        <f>'[1]V, inciso o) (OP)'!C107</f>
        <v>DOPI-MUN-RM-PROY-AD-236-2016</v>
      </c>
      <c r="D247" s="13">
        <f>'[1]V, inciso o) (OP)'!V107</f>
        <v>42664</v>
      </c>
      <c r="E247" s="7" t="str">
        <f>'[1]V, inciso o) (OP)'!AA107</f>
        <v>Estudios de impacto ambiental, diagnostico de impacto vial y estudio de impacto urbano, frente 1, municipio de Zapopan, Jalisco</v>
      </c>
      <c r="F247" s="7" t="s">
        <v>184</v>
      </c>
      <c r="G247" s="11">
        <f>'[1]V, inciso o) (OP)'!Y107</f>
        <v>556069.19999999995</v>
      </c>
      <c r="H247" s="7" t="s">
        <v>225</v>
      </c>
      <c r="I247" s="7" t="str">
        <f>'[1]V, inciso o) (OP)'!M107</f>
        <v>JUAN RAMON</v>
      </c>
      <c r="J247" s="7" t="str">
        <f>'[1]V, inciso o) (OP)'!N107</f>
        <v>RAMIREZ</v>
      </c>
      <c r="K247" s="7" t="str">
        <f>'[1]V, inciso o) (OP)'!O107</f>
        <v>ALATORRE</v>
      </c>
      <c r="L247" s="7" t="str">
        <f>'[1]V, inciso o) (OP)'!P107</f>
        <v>QUERCUS GEOSOLUCIONES, S.A. DE C.V.</v>
      </c>
      <c r="M247" s="7" t="str">
        <f>'[1]V, inciso o) (OP)'!Q107</f>
        <v>QGE080213988</v>
      </c>
      <c r="N247" s="11">
        <f>'[1]V, inciso o) (OP)'!Y107</f>
        <v>556069.19999999995</v>
      </c>
      <c r="O247" s="7" t="s">
        <v>40</v>
      </c>
      <c r="P247" s="7" t="s">
        <v>855</v>
      </c>
      <c r="Q247" s="11">
        <f>N247</f>
        <v>556069.19999999995</v>
      </c>
      <c r="R247" s="7" t="s">
        <v>42</v>
      </c>
      <c r="S247" s="15" t="s">
        <v>232</v>
      </c>
      <c r="T247" s="7" t="s">
        <v>231</v>
      </c>
      <c r="U247" s="7" t="s">
        <v>44</v>
      </c>
      <c r="V247" s="13">
        <f>'[1]V, inciso o) (OP)'!AD107</f>
        <v>42667</v>
      </c>
      <c r="W247" s="13">
        <f>'[1]V, inciso o) (OP)'!AE107</f>
        <v>42735</v>
      </c>
      <c r="X247" s="7" t="s">
        <v>865</v>
      </c>
      <c r="Y247" s="7" t="s">
        <v>847</v>
      </c>
      <c r="Z247" s="7" t="s">
        <v>235</v>
      </c>
      <c r="AA247" s="7" t="s">
        <v>40</v>
      </c>
      <c r="AB247" s="7" t="s">
        <v>40</v>
      </c>
    </row>
    <row r="248" spans="1:28" ht="69.95" customHeight="1">
      <c r="A248" s="7">
        <v>2016</v>
      </c>
      <c r="B248" s="7" t="s">
        <v>64</v>
      </c>
      <c r="C248" s="7" t="str">
        <f>'[1]V, inciso o) (OP)'!C108</f>
        <v>DOPI-MUN-RM-PAV-AD-237-2016</v>
      </c>
      <c r="D248" s="13">
        <f>'[1]V, inciso o) (OP)'!V108</f>
        <v>42664</v>
      </c>
      <c r="E248" s="7" t="str">
        <f>'[1]V, inciso o) (OP)'!AA108</f>
        <v>Construcción de pavimento de concreto hidráulico, banquetas, adecuaciones de la red sanitaria e hidráulica en la Av. D, colonia El Tigre II, municipio de Zapopan, Jalisco, tramo 1.</v>
      </c>
      <c r="F248" s="7" t="s">
        <v>184</v>
      </c>
      <c r="G248" s="11">
        <f>'[1]V, inciso o) (OP)'!Y108</f>
        <v>1480216.87</v>
      </c>
      <c r="H248" s="7" t="s">
        <v>866</v>
      </c>
      <c r="I248" s="7" t="str">
        <f>'[1]V, inciso o) (OP)'!M108</f>
        <v>JOSE SERGIO</v>
      </c>
      <c r="J248" s="7" t="str">
        <f>'[1]V, inciso o) (OP)'!N108</f>
        <v>CARMONA</v>
      </c>
      <c r="K248" s="7" t="str">
        <f>'[1]V, inciso o) (OP)'!O108</f>
        <v>RUVALCABA</v>
      </c>
      <c r="L248" s="7" t="str">
        <f>'[1]V, inciso o) (OP)'!P108</f>
        <v>QUANTUM CONSTRUCTORES Y PROYECTOS, S.A. DE C.V.</v>
      </c>
      <c r="M248" s="7" t="str">
        <f>'[1]V, inciso o) (OP)'!Q108</f>
        <v>QCP1307172S6</v>
      </c>
      <c r="N248" s="11">
        <f>'[1]V, inciso o) (OP)'!Y108</f>
        <v>1480216.87</v>
      </c>
      <c r="O248" s="7" t="s">
        <v>40</v>
      </c>
      <c r="P248" s="7" t="s">
        <v>867</v>
      </c>
      <c r="Q248" s="11">
        <f>N248/796</f>
        <v>1859.5689321608043</v>
      </c>
      <c r="R248" s="7" t="s">
        <v>42</v>
      </c>
      <c r="S248" s="15">
        <v>365</v>
      </c>
      <c r="T248" s="7" t="s">
        <v>43</v>
      </c>
      <c r="U248" s="7" t="s">
        <v>44</v>
      </c>
      <c r="V248" s="13">
        <f>'[1]V, inciso o) (OP)'!AD108</f>
        <v>42667</v>
      </c>
      <c r="W248" s="13">
        <f>'[1]V, inciso o) (OP)'!AE108</f>
        <v>42719</v>
      </c>
      <c r="X248" s="7" t="s">
        <v>591</v>
      </c>
      <c r="Y248" s="7" t="s">
        <v>46</v>
      </c>
      <c r="Z248" s="7" t="s">
        <v>47</v>
      </c>
      <c r="AA248" s="9" t="s">
        <v>1308</v>
      </c>
      <c r="AB248" s="7" t="s">
        <v>40</v>
      </c>
    </row>
    <row r="249" spans="1:28" ht="69.95" customHeight="1">
      <c r="A249" s="7">
        <v>2016</v>
      </c>
      <c r="B249" s="7" t="str">
        <f>'[1]V, inciso p) (OP)'!B147</f>
        <v>Licitación por Invitación Restringida</v>
      </c>
      <c r="C249" s="7" t="str">
        <f>'[1]V, inciso p) (OP)'!D147</f>
        <v>DOPI-MUN-R33-PAV-CI-238-2016</v>
      </c>
      <c r="D249" s="13">
        <f>'[1]V, inciso p) (OP)'!AD147</f>
        <v>42727</v>
      </c>
      <c r="E249" s="7" t="str">
        <f>'[1]V, inciso p) (OP)'!AL147</f>
        <v>Pavimentación con empedrado zampeado en la calle Mármol, de calle Cantera al arroyo y calle Obsidiana, de calle Opalo a calle Coral, en la colonia Pedregal de Zapopan (Loma el Pedregal), en Zapopan, Jalisco</v>
      </c>
      <c r="F249" s="7" t="s">
        <v>747</v>
      </c>
      <c r="G249" s="11">
        <f>'[1]V, inciso p) (OP)'!AG147</f>
        <v>2216780.09</v>
      </c>
      <c r="H249" s="7" t="str">
        <f>'[1]V, inciso p) (OP)'!AS147</f>
        <v>Colonia Loma el Pedregal</v>
      </c>
      <c r="I249" s="7" t="str">
        <f>'[1]V, inciso p) (OP)'!T147</f>
        <v>Hugo Armando</v>
      </c>
      <c r="J249" s="7" t="str">
        <f>'[1]V, inciso p) (OP)'!U147</f>
        <v>Prieto</v>
      </c>
      <c r="K249" s="7" t="str">
        <f>'[1]V, inciso p) (OP)'!V147</f>
        <v>Jiménez</v>
      </c>
      <c r="L249" s="7" t="str">
        <f>'[1]V, inciso p) (OP)'!W147</f>
        <v>Constructora Rural del Pais, S.A. de C.V.</v>
      </c>
      <c r="M249" s="7" t="str">
        <f>'[1]V, inciso p) (OP)'!X147</f>
        <v>CRP870708I62</v>
      </c>
      <c r="N249" s="11">
        <f>'[1]V, inciso p) (OP)'!AG147</f>
        <v>2216780.09</v>
      </c>
      <c r="O249" s="7" t="s">
        <v>40</v>
      </c>
      <c r="P249" s="7" t="s">
        <v>868</v>
      </c>
      <c r="Q249" s="11">
        <f>N249/1502.75</f>
        <v>1475.148953585094</v>
      </c>
      <c r="R249" s="7" t="s">
        <v>42</v>
      </c>
      <c r="S249" s="15">
        <v>202</v>
      </c>
      <c r="T249" s="7" t="s">
        <v>43</v>
      </c>
      <c r="U249" s="7" t="s">
        <v>584</v>
      </c>
      <c r="V249" s="13">
        <f>'[1]V, inciso p) (OP)'!AM147</f>
        <v>42730</v>
      </c>
      <c r="W249" s="13">
        <f>'[1]V, inciso p) (OP)'!AN147</f>
        <v>42880</v>
      </c>
      <c r="X249" s="7" t="s">
        <v>591</v>
      </c>
      <c r="Y249" s="7" t="s">
        <v>869</v>
      </c>
      <c r="Z249" s="7" t="s">
        <v>47</v>
      </c>
      <c r="AA249" s="7" t="s">
        <v>40</v>
      </c>
      <c r="AB249" s="7" t="s">
        <v>40</v>
      </c>
    </row>
    <row r="250" spans="1:28" s="1" customFormat="1" ht="69.95" customHeight="1">
      <c r="A250" s="7">
        <v>2016</v>
      </c>
      <c r="B250" s="7" t="s">
        <v>64</v>
      </c>
      <c r="C250" s="7" t="str">
        <f>'[1]V, inciso o) (OP)'!C109</f>
        <v>DOPI-MUN-RM-IE-AD-239-2016</v>
      </c>
      <c r="D250" s="13">
        <f>'[1]V, inciso o) (OP)'!V109</f>
        <v>42657</v>
      </c>
      <c r="E250" s="7" t="str">
        <f>'[1]V, inciso o) (OP)'!AA109</f>
        <v>Suministro y colocación de estructuras de protección de rayos ultravioleta en el Jardín de Niños Maria Trinidad Martínez Yañez, clave CT14DJN1601J, colonia Villas Perisur, municipio de Zapopan, Jalisco</v>
      </c>
      <c r="F250" s="7" t="s">
        <v>184</v>
      </c>
      <c r="G250" s="11">
        <f>'[1]V, inciso o) (OP)'!Y109</f>
        <v>315620.47999999998</v>
      </c>
      <c r="H250" s="7" t="s">
        <v>870</v>
      </c>
      <c r="I250" s="7" t="str">
        <f>'[1]V, inciso o) (OP)'!G109</f>
        <v xml:space="preserve">GUILLERMO ALBERTO </v>
      </c>
      <c r="J250" s="7" t="str">
        <f>'[1]V, inciso o) (OP)'!H109</f>
        <v>RODRIGUEZ</v>
      </c>
      <c r="K250" s="7" t="str">
        <f>'[1]V, inciso o) (OP)'!I109</f>
        <v>ALLENDE</v>
      </c>
      <c r="L250" s="7" t="str">
        <f>'[1]V, inciso o) (OP)'!J109</f>
        <v>GRUPO CONSTRUCTOR MR DE JALISCO S.A. DE C.V.</v>
      </c>
      <c r="M250" s="7" t="str">
        <f>'[1]V, inciso o) (OP)'!K109</f>
        <v>GCM121112J86</v>
      </c>
      <c r="N250" s="11">
        <f>G250</f>
        <v>315620.47999999998</v>
      </c>
      <c r="O250" s="7" t="s">
        <v>40</v>
      </c>
      <c r="P250" s="7" t="s">
        <v>871</v>
      </c>
      <c r="Q250" s="11">
        <f>N250/263</f>
        <v>1200.0778707224333</v>
      </c>
      <c r="R250" s="7" t="s">
        <v>42</v>
      </c>
      <c r="S250" s="15">
        <v>386</v>
      </c>
      <c r="T250" s="7" t="s">
        <v>43</v>
      </c>
      <c r="U250" s="7" t="s">
        <v>44</v>
      </c>
      <c r="V250" s="13">
        <f>'[1]V, inciso o) (OP)'!AD109</f>
        <v>42660</v>
      </c>
      <c r="W250" s="13">
        <f>'[1]V, inciso o) (OP)'!AE109</f>
        <v>42704</v>
      </c>
      <c r="X250" s="7" t="s">
        <v>671</v>
      </c>
      <c r="Y250" s="7" t="s">
        <v>132</v>
      </c>
      <c r="Z250" s="7" t="s">
        <v>872</v>
      </c>
      <c r="AA250" s="7" t="s">
        <v>40</v>
      </c>
      <c r="AB250" s="7" t="s">
        <v>40</v>
      </c>
    </row>
    <row r="251" spans="1:28" s="1" customFormat="1" ht="69.95" customHeight="1">
      <c r="A251" s="7">
        <v>2016</v>
      </c>
      <c r="B251" s="7" t="s">
        <v>64</v>
      </c>
      <c r="C251" s="7" t="str">
        <f>'[1]V, inciso o) (OP)'!C110</f>
        <v>DOPI-MUN-RM-IU-AD-240-2016</v>
      </c>
      <c r="D251" s="13">
        <f>'[1]V, inciso o) (OP)'!V110</f>
        <v>42692</v>
      </c>
      <c r="E251" s="7" t="str">
        <f>'[1]V, inciso o) (OP)'!AA110</f>
        <v>Primera etapa de la renovación de imagen urbana en la localidad de Tesistan, municipio de Zapopan, Jalisco</v>
      </c>
      <c r="F251" s="7" t="s">
        <v>67</v>
      </c>
      <c r="G251" s="11">
        <f>'[1]V, inciso o) (OP)'!Y110</f>
        <v>1495635.47</v>
      </c>
      <c r="H251" s="7" t="s">
        <v>794</v>
      </c>
      <c r="I251" s="7" t="str">
        <f>'[1]V, inciso o) (OP)'!G110</f>
        <v xml:space="preserve">ALEJANDRO LUIS </v>
      </c>
      <c r="J251" s="7" t="str">
        <f>'[1]V, inciso o) (OP)'!H110</f>
        <v xml:space="preserve">VAIDOVITS </v>
      </c>
      <c r="K251" s="7" t="str">
        <f>'[1]V, inciso o) (OP)'!I110</f>
        <v xml:space="preserve"> SCHNURER</v>
      </c>
      <c r="L251" s="7" t="str">
        <f>'[1]V, inciso o) (OP)'!J110</f>
        <v>PROMACO DE MEXICO, S.A. DE C.V.</v>
      </c>
      <c r="M251" s="7" t="str">
        <f>'[1]V, inciso o) (OP)'!K110</f>
        <v>PME930817EV7</v>
      </c>
      <c r="N251" s="11">
        <f t="shared" ref="N251:N257" si="6">G251</f>
        <v>1495635.47</v>
      </c>
      <c r="O251" s="7" t="s">
        <v>40</v>
      </c>
      <c r="P251" s="7" t="s">
        <v>873</v>
      </c>
      <c r="Q251" s="11">
        <f>N251/3000</f>
        <v>498.54515666666668</v>
      </c>
      <c r="R251" s="7" t="s">
        <v>42</v>
      </c>
      <c r="S251" s="15">
        <v>62891</v>
      </c>
      <c r="T251" s="7" t="s">
        <v>43</v>
      </c>
      <c r="U251" s="7" t="s">
        <v>584</v>
      </c>
      <c r="V251" s="13">
        <f>'[1]V, inciso o) (OP)'!AD110</f>
        <v>42696</v>
      </c>
      <c r="W251" s="13">
        <f>'[1]V, inciso o) (OP)'!AE110</f>
        <v>42766</v>
      </c>
      <c r="X251" s="7" t="s">
        <v>544</v>
      </c>
      <c r="Y251" s="7" t="s">
        <v>545</v>
      </c>
      <c r="Z251" s="7" t="s">
        <v>212</v>
      </c>
      <c r="AA251" s="7" t="s">
        <v>40</v>
      </c>
      <c r="AB251" s="7" t="s">
        <v>40</v>
      </c>
    </row>
    <row r="252" spans="1:28" s="1" customFormat="1" ht="69.95" customHeight="1">
      <c r="A252" s="7">
        <v>2016</v>
      </c>
      <c r="B252" s="7" t="s">
        <v>64</v>
      </c>
      <c r="C252" s="7" t="str">
        <f>'[1]V, inciso o) (OP)'!C111</f>
        <v>DOPI-MUN-RM-IM-AD-241-2016</v>
      </c>
      <c r="D252" s="13">
        <f>'[1]V, inciso o) (OP)'!V111</f>
        <v>42671</v>
      </c>
      <c r="E252" s="7"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52" s="7" t="s">
        <v>184</v>
      </c>
      <c r="G252" s="11">
        <f>'[1]V, inciso o) (OP)'!Y111</f>
        <v>1276850.24</v>
      </c>
      <c r="H252" s="7" t="s">
        <v>874</v>
      </c>
      <c r="I252" s="7" t="str">
        <f>'[1]V, inciso o) (OP)'!G111</f>
        <v>OSCAR LUIS</v>
      </c>
      <c r="J252" s="7" t="str">
        <f>'[1]V, inciso o) (OP)'!H111</f>
        <v>CHAVEZ</v>
      </c>
      <c r="K252" s="7" t="str">
        <f>'[1]V, inciso o) (OP)'!I111</f>
        <v>GONZALEZ</v>
      </c>
      <c r="L252" s="7" t="str">
        <f>'[1]V, inciso o) (OP)'!J111</f>
        <v>EURO TRADE, S.A. DE C.V.</v>
      </c>
      <c r="M252" s="7" t="str">
        <f>'[1]V, inciso o) (OP)'!K111</f>
        <v>ETR070417NS8</v>
      </c>
      <c r="N252" s="11">
        <f t="shared" si="6"/>
        <v>1276850.24</v>
      </c>
      <c r="O252" s="7" t="s">
        <v>40</v>
      </c>
      <c r="P252" s="7" t="s">
        <v>875</v>
      </c>
      <c r="Q252" s="11">
        <f>N252/343</f>
        <v>3722.5954518950439</v>
      </c>
      <c r="R252" s="7" t="s">
        <v>42</v>
      </c>
      <c r="S252" s="15">
        <v>338</v>
      </c>
      <c r="T252" s="7" t="s">
        <v>43</v>
      </c>
      <c r="U252" s="7" t="s">
        <v>44</v>
      </c>
      <c r="V252" s="13">
        <f>'[1]V, inciso o) (OP)'!AD111</f>
        <v>42674</v>
      </c>
      <c r="W252" s="13">
        <f>'[1]V, inciso o) (OP)'!AE111</f>
        <v>42735</v>
      </c>
      <c r="X252" s="7" t="s">
        <v>842</v>
      </c>
      <c r="Y252" s="7" t="s">
        <v>519</v>
      </c>
      <c r="Z252" s="7" t="s">
        <v>63</v>
      </c>
      <c r="AA252" s="7" t="s">
        <v>40</v>
      </c>
      <c r="AB252" s="7" t="s">
        <v>40</v>
      </c>
    </row>
    <row r="253" spans="1:28" s="1" customFormat="1" ht="69.95" customHeight="1">
      <c r="A253" s="7">
        <v>2016</v>
      </c>
      <c r="B253" s="7" t="s">
        <v>64</v>
      </c>
      <c r="C253" s="7" t="str">
        <f>'[1]V, inciso o) (OP)'!C112</f>
        <v>DOPI-MUN-RM-IM-AD-242-2016</v>
      </c>
      <c r="D253" s="13">
        <f>'[1]V, inciso o) (OP)'!V112</f>
        <v>42671</v>
      </c>
      <c r="E253" s="7"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53" s="7" t="s">
        <v>184</v>
      </c>
      <c r="G253" s="11">
        <f>'[1]V, inciso o) (OP)'!Y112</f>
        <v>1510250.48</v>
      </c>
      <c r="H253" s="7" t="s">
        <v>876</v>
      </c>
      <c r="I253" s="7" t="str">
        <f>'[1]V, inciso o) (OP)'!G112</f>
        <v>ORLANDO</v>
      </c>
      <c r="J253" s="7" t="str">
        <f>'[1]V, inciso o) (OP)'!H112</f>
        <v>HIJAR</v>
      </c>
      <c r="K253" s="7" t="str">
        <f>'[1]V, inciso o) (OP)'!I112</f>
        <v>CASILLAS</v>
      </c>
      <c r="L253" s="7" t="str">
        <f>'[1]V, inciso o) (OP)'!J112</f>
        <v>CONSTRUCTORA Y URBANIZADORA CEDA, S.A. DE C.V.</v>
      </c>
      <c r="M253" s="7" t="str">
        <f>'[1]V, inciso o) (OP)'!K112</f>
        <v>CUC121107NV2</v>
      </c>
      <c r="N253" s="11">
        <f t="shared" si="6"/>
        <v>1510250.48</v>
      </c>
      <c r="O253" s="7" t="s">
        <v>40</v>
      </c>
      <c r="P253" s="7" t="s">
        <v>877</v>
      </c>
      <c r="Q253" s="11">
        <f>N253/4053</f>
        <v>372.62533432025657</v>
      </c>
      <c r="R253" s="7" t="s">
        <v>42</v>
      </c>
      <c r="S253" s="15">
        <v>676</v>
      </c>
      <c r="T253" s="7" t="s">
        <v>43</v>
      </c>
      <c r="U253" s="7" t="s">
        <v>44</v>
      </c>
      <c r="V253" s="13">
        <f>'[1]V, inciso o) (OP)'!AD112</f>
        <v>42674</v>
      </c>
      <c r="W253" s="13">
        <f>'[1]V, inciso o) (OP)'!AE112</f>
        <v>42735</v>
      </c>
      <c r="X253" s="7" t="s">
        <v>842</v>
      </c>
      <c r="Y253" s="7" t="s">
        <v>519</v>
      </c>
      <c r="Z253" s="7" t="s">
        <v>63</v>
      </c>
      <c r="AA253" s="7" t="s">
        <v>40</v>
      </c>
      <c r="AB253" s="7" t="s">
        <v>40</v>
      </c>
    </row>
    <row r="254" spans="1:28" s="1" customFormat="1" ht="69.95" customHeight="1">
      <c r="A254" s="7">
        <v>2016</v>
      </c>
      <c r="B254" s="7" t="s">
        <v>64</v>
      </c>
      <c r="C254" s="7" t="str">
        <f>'[1]V, inciso o) (OP)'!C113</f>
        <v>DOPI-MUN-RM-IM-AD-243-2016</v>
      </c>
      <c r="D254" s="13">
        <f>'[1]V, inciso o) (OP)'!V113</f>
        <v>42671</v>
      </c>
      <c r="E254" s="7"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254" s="7" t="s">
        <v>184</v>
      </c>
      <c r="G254" s="11">
        <f>'[1]V, inciso o) (OP)'!Y113</f>
        <v>1368256.1</v>
      </c>
      <c r="H254" s="7" t="s">
        <v>878</v>
      </c>
      <c r="I254" s="7" t="str">
        <f>'[1]V, inciso o) (OP)'!G113</f>
        <v xml:space="preserve">EDUARDO </v>
      </c>
      <c r="J254" s="7" t="str">
        <f>'[1]V, inciso o) (OP)'!H113</f>
        <v>PLASCENCIA</v>
      </c>
      <c r="K254" s="7" t="str">
        <f>'[1]V, inciso o) (OP)'!I113</f>
        <v>MACIAS</v>
      </c>
      <c r="L254" s="7" t="str">
        <f>'[1]V, inciso o) (OP)'!J113</f>
        <v>CONSTRUCTORA Y EDIFICADORA PLASMA, S.A. DE C.V.</v>
      </c>
      <c r="M254" s="7" t="str">
        <f>'[1]V, inciso o) (OP)'!K113</f>
        <v>CEP080129EK6</v>
      </c>
      <c r="N254" s="11">
        <f t="shared" si="6"/>
        <v>1368256.1</v>
      </c>
      <c r="O254" s="11">
        <v>1365596.04</v>
      </c>
      <c r="P254" s="7" t="s">
        <v>879</v>
      </c>
      <c r="Q254" s="11">
        <f>N254/1519</f>
        <v>900.76109282422658</v>
      </c>
      <c r="R254" s="7" t="s">
        <v>42</v>
      </c>
      <c r="S254" s="15">
        <v>687</v>
      </c>
      <c r="T254" s="7" t="s">
        <v>43</v>
      </c>
      <c r="U254" s="7" t="s">
        <v>44</v>
      </c>
      <c r="V254" s="13">
        <f>'[1]V, inciso o) (OP)'!AD113</f>
        <v>42674</v>
      </c>
      <c r="W254" s="13">
        <f>'[1]V, inciso o) (OP)'!AE113</f>
        <v>42735</v>
      </c>
      <c r="X254" s="7" t="s">
        <v>842</v>
      </c>
      <c r="Y254" s="7" t="s">
        <v>519</v>
      </c>
      <c r="Z254" s="7" t="s">
        <v>63</v>
      </c>
      <c r="AA254" s="9" t="s">
        <v>1309</v>
      </c>
      <c r="AB254" s="7" t="s">
        <v>40</v>
      </c>
    </row>
    <row r="255" spans="1:28" s="1" customFormat="1" ht="69.95" customHeight="1">
      <c r="A255" s="7">
        <v>2016</v>
      </c>
      <c r="B255" s="7" t="s">
        <v>64</v>
      </c>
      <c r="C255" s="7" t="str">
        <f>'[1]V, inciso o) (OP)'!C114</f>
        <v>DOPI-MUN-RM-IM-AD-244-2016</v>
      </c>
      <c r="D255" s="13">
        <f>'[1]V, inciso o) (OP)'!V114</f>
        <v>42671</v>
      </c>
      <c r="E255" s="7"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255" s="7" t="s">
        <v>184</v>
      </c>
      <c r="G255" s="11">
        <f>'[1]V, inciso o) (OP)'!Y114</f>
        <v>1495678.36</v>
      </c>
      <c r="H255" s="7" t="s">
        <v>880</v>
      </c>
      <c r="I255" s="7" t="str">
        <f>'[1]V, inciso o) (OP)'!G114</f>
        <v xml:space="preserve">EDUARDO </v>
      </c>
      <c r="J255" s="7" t="str">
        <f>'[1]V, inciso o) (OP)'!H114</f>
        <v>MORA</v>
      </c>
      <c r="K255" s="7" t="str">
        <f>'[1]V, inciso o) (OP)'!I114</f>
        <v>BLACKALLER</v>
      </c>
      <c r="L255" s="7" t="str">
        <f>'[1]V, inciso o) (OP)'!J114</f>
        <v>GRUPO CONSTRUCTOR INNOBLACK, S.A. DE C.V.</v>
      </c>
      <c r="M255" s="7" t="str">
        <f>'[1]V, inciso o) (OP)'!K114</f>
        <v>GCI070523CW4</v>
      </c>
      <c r="N255" s="11">
        <f t="shared" si="6"/>
        <v>1495678.36</v>
      </c>
      <c r="O255" s="7" t="s">
        <v>40</v>
      </c>
      <c r="P255" s="7" t="s">
        <v>881</v>
      </c>
      <c r="Q255" s="11">
        <f>N255/148</f>
        <v>10105.934864864865</v>
      </c>
      <c r="R255" s="7" t="s">
        <v>42</v>
      </c>
      <c r="S255" s="15">
        <v>714</v>
      </c>
      <c r="T255" s="7" t="s">
        <v>43</v>
      </c>
      <c r="U255" s="7" t="s">
        <v>44</v>
      </c>
      <c r="V255" s="13">
        <f>'[1]V, inciso o) (OP)'!AD114</f>
        <v>42674</v>
      </c>
      <c r="W255" s="13">
        <f>'[1]V, inciso o) (OP)'!AE114</f>
        <v>42735</v>
      </c>
      <c r="X255" s="7" t="s">
        <v>842</v>
      </c>
      <c r="Y255" s="7" t="s">
        <v>519</v>
      </c>
      <c r="Z255" s="7" t="s">
        <v>63</v>
      </c>
      <c r="AA255" s="7" t="s">
        <v>40</v>
      </c>
      <c r="AB255" s="7" t="s">
        <v>40</v>
      </c>
    </row>
    <row r="256" spans="1:28" s="1" customFormat="1" ht="69.95" customHeight="1">
      <c r="A256" s="7">
        <v>2016</v>
      </c>
      <c r="B256" s="7" t="s">
        <v>64</v>
      </c>
      <c r="C256" s="7" t="str">
        <f>'[1]V, inciso o) (OP)'!C115</f>
        <v>DOPI-MUN-RM-PAV-AD-245-2016</v>
      </c>
      <c r="D256" s="13">
        <f>'[1]V, inciso o) (OP)'!V115</f>
        <v>42692</v>
      </c>
      <c r="E256" s="7"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256" s="7" t="s">
        <v>184</v>
      </c>
      <c r="G256" s="11">
        <f>'[1]V, inciso o) (OP)'!Y115</f>
        <v>1538300.1</v>
      </c>
      <c r="H256" s="7" t="s">
        <v>882</v>
      </c>
      <c r="I256" s="7" t="str">
        <f>'[1]V, inciso o) (OP)'!G115</f>
        <v>JOEL</v>
      </c>
      <c r="J256" s="7" t="str">
        <f>'[1]V, inciso o) (OP)'!H115</f>
        <v>ZULOAGA</v>
      </c>
      <c r="K256" s="7" t="str">
        <f>'[1]V, inciso o) (OP)'!I115</f>
        <v>ACEVES</v>
      </c>
      <c r="L256" s="7" t="str">
        <f>'[1]V, inciso o) (OP)'!J115</f>
        <v>TASUM SOLUCIONES EN CONSTRUCCION, S.A. DE C.V.</v>
      </c>
      <c r="M256" s="7" t="str">
        <f>'[1]V, inciso o) (OP)'!K115</f>
        <v>TSC100210E48</v>
      </c>
      <c r="N256" s="11">
        <f t="shared" si="6"/>
        <v>1538300.1</v>
      </c>
      <c r="O256" s="7" t="s">
        <v>40</v>
      </c>
      <c r="P256" s="7" t="s">
        <v>883</v>
      </c>
      <c r="Q256" s="11">
        <f>N256/3244</f>
        <v>474.19855117139338</v>
      </c>
      <c r="R256" s="7" t="s">
        <v>42</v>
      </c>
      <c r="S256" s="15">
        <v>6453</v>
      </c>
      <c r="T256" s="7" t="s">
        <v>43</v>
      </c>
      <c r="U256" s="7" t="s">
        <v>44</v>
      </c>
      <c r="V256" s="13">
        <f>'[1]V, inciso o) (OP)'!AD115</f>
        <v>42695</v>
      </c>
      <c r="W256" s="13">
        <f>'[1]V, inciso o) (OP)'!AE115</f>
        <v>42729</v>
      </c>
      <c r="X256" s="7" t="s">
        <v>530</v>
      </c>
      <c r="Y256" s="7" t="s">
        <v>343</v>
      </c>
      <c r="Z256" s="7" t="s">
        <v>344</v>
      </c>
      <c r="AA256" s="9" t="s">
        <v>1310</v>
      </c>
      <c r="AB256" s="7" t="s">
        <v>40</v>
      </c>
    </row>
    <row r="257" spans="1:28" s="1" customFormat="1" ht="69.95" customHeight="1">
      <c r="A257" s="7">
        <v>2016</v>
      </c>
      <c r="B257" s="7" t="s">
        <v>64</v>
      </c>
      <c r="C257" s="7" t="str">
        <f>'[1]V, inciso o) (OP)'!C116</f>
        <v>DOPI-MUN-RM-EM-AD-246-2016</v>
      </c>
      <c r="D257" s="13">
        <f>'[1]V, inciso o) (OP)'!V116</f>
        <v>42674</v>
      </c>
      <c r="E257" s="7" t="str">
        <f>'[1]V, inciso o) (OP)'!AA116</f>
        <v>Reconstrucción de habitación, baño y cubierta en vivienda ubicada en la calle López Mateos #61, en la colonia Santa Lucia, municipio de Zapopan, Jalisco</v>
      </c>
      <c r="F257" s="7" t="s">
        <v>67</v>
      </c>
      <c r="G257" s="11">
        <f>'[1]V, inciso o) (OP)'!Y116</f>
        <v>275935.40000000002</v>
      </c>
      <c r="H257" s="7" t="s">
        <v>884</v>
      </c>
      <c r="I257" s="7" t="str">
        <f>'[1]V, inciso o) (OP)'!G116</f>
        <v>CLAUDIA PATRICIA</v>
      </c>
      <c r="J257" s="7" t="str">
        <f>'[1]V, inciso o) (OP)'!H116</f>
        <v xml:space="preserve">SANCHEZ </v>
      </c>
      <c r="K257" s="7" t="str">
        <f>'[1]V, inciso o) (OP)'!I116</f>
        <v>VALLES</v>
      </c>
      <c r="L257" s="7" t="str">
        <f>'[1]V, inciso o) (OP)'!J116</f>
        <v>CONSTRUCTORA JMA, S.A. DE C.V.</v>
      </c>
      <c r="M257" s="7" t="str">
        <f>'[1]V, inciso o) (OP)'!K116</f>
        <v>CJM121221Q73</v>
      </c>
      <c r="N257" s="11">
        <f t="shared" si="6"/>
        <v>275935.40000000002</v>
      </c>
      <c r="O257" s="11">
        <v>273039.63</v>
      </c>
      <c r="P257" s="7" t="s">
        <v>885</v>
      </c>
      <c r="Q257" s="11">
        <f>N257/50</f>
        <v>5518.7080000000005</v>
      </c>
      <c r="R257" s="7" t="s">
        <v>42</v>
      </c>
      <c r="S257" s="15">
        <v>5</v>
      </c>
      <c r="T257" s="7" t="s">
        <v>43</v>
      </c>
      <c r="U257" s="7" t="s">
        <v>44</v>
      </c>
      <c r="V257" s="13">
        <f>'[1]V, inciso o) (OP)'!AD116</f>
        <v>42675</v>
      </c>
      <c r="W257" s="13">
        <f>'[1]V, inciso o) (OP)'!AE116</f>
        <v>42719</v>
      </c>
      <c r="X257" s="7" t="s">
        <v>544</v>
      </c>
      <c r="Y257" s="7" t="s">
        <v>545</v>
      </c>
      <c r="Z257" s="7" t="s">
        <v>212</v>
      </c>
      <c r="AA257" s="7" t="s">
        <v>40</v>
      </c>
      <c r="AB257" s="7" t="s">
        <v>40</v>
      </c>
    </row>
    <row r="258" spans="1:28" ht="69.95" customHeight="1">
      <c r="A258" s="7">
        <v>2016</v>
      </c>
      <c r="B258" s="7" t="s">
        <v>64</v>
      </c>
      <c r="C258" s="7" t="str">
        <f>'[1]V, inciso o) (OP)'!C117</f>
        <v>DOPI-MUN-RM-ELE-AD-248-2016</v>
      </c>
      <c r="D258" s="13">
        <f>'[1]V, inciso o) (OP)'!V117</f>
        <v>42706</v>
      </c>
      <c r="E258" s="7" t="str">
        <f>'[1]V, inciso o) (OP)'!AA117</f>
        <v>Eléctrificación de pozo en el Ejido Copalita y pozo en la localidad de Cerca Morada, municipio de Zapopan, Jalisco</v>
      </c>
      <c r="F258" s="7" t="s">
        <v>184</v>
      </c>
      <c r="G258" s="11">
        <f>'[1]V, inciso o) (OP)'!Y117</f>
        <v>969037.98</v>
      </c>
      <c r="H258" s="7" t="s">
        <v>886</v>
      </c>
      <c r="I258" s="7" t="str">
        <f>'[1]V, inciso o) (OP)'!M117</f>
        <v>PIA LORENA</v>
      </c>
      <c r="J258" s="7" t="str">
        <f>'[1]V, inciso o) (OP)'!N117</f>
        <v>BUENROSTRO</v>
      </c>
      <c r="K258" s="7" t="str">
        <f>'[1]V, inciso o) (OP)'!O117</f>
        <v>AHUED</v>
      </c>
      <c r="L258" s="7" t="str">
        <f>'[1]V, inciso o) (OP)'!P117</f>
        <v>BIRMEK CONSTRUCCIONES, S.A. DE C.V.</v>
      </c>
      <c r="M258" s="7" t="str">
        <f>'[1]V, inciso o) (OP)'!Q117</f>
        <v>BCO070129512</v>
      </c>
      <c r="N258" s="11">
        <f>'[1]V, inciso o) (OP)'!Y117</f>
        <v>969037.98</v>
      </c>
      <c r="O258" s="7" t="s">
        <v>40</v>
      </c>
      <c r="P258" s="7" t="s">
        <v>51</v>
      </c>
      <c r="Q258" s="11">
        <f>N258</f>
        <v>969037.98</v>
      </c>
      <c r="R258" s="7" t="s">
        <v>42</v>
      </c>
      <c r="S258" s="15">
        <v>339</v>
      </c>
      <c r="T258" s="7" t="s">
        <v>43</v>
      </c>
      <c r="U258" s="7" t="s">
        <v>584</v>
      </c>
      <c r="V258" s="13">
        <f>'[1]V, inciso o) (OP)'!AD117</f>
        <v>42709</v>
      </c>
      <c r="W258" s="13">
        <f>'[1]V, inciso o) (OP)'!AE117</f>
        <v>42799</v>
      </c>
      <c r="X258" s="7" t="s">
        <v>544</v>
      </c>
      <c r="Y258" s="7" t="s">
        <v>545</v>
      </c>
      <c r="Z258" s="7" t="s">
        <v>212</v>
      </c>
      <c r="AA258" s="9" t="s">
        <v>1311</v>
      </c>
      <c r="AB258" s="7" t="s">
        <v>40</v>
      </c>
    </row>
    <row r="259" spans="1:28" ht="69.95" customHeight="1">
      <c r="A259" s="7">
        <v>2016</v>
      </c>
      <c r="B259" s="7" t="s">
        <v>64</v>
      </c>
      <c r="C259" s="7" t="str">
        <f>'[1]V, inciso o) (OP)'!C118</f>
        <v>DOPI-MUN-R33-IS-AD-249-2016</v>
      </c>
      <c r="D259" s="13">
        <f>'[1]V, inciso o) (OP)'!V118</f>
        <v>42699</v>
      </c>
      <c r="E259" s="7" t="str">
        <f>'[1]V, inciso o) (OP)'!AA118</f>
        <v>Construcción de línea de drenaje sanitario de 16" en calle Central, de calle del Bosque al Arroyo, en la colonia el Tizate, en el municipio de Zapopan, Jalisco.</v>
      </c>
      <c r="F259" s="7" t="s">
        <v>747</v>
      </c>
      <c r="G259" s="11">
        <f>'[1]V, inciso o) (OP)'!Y118</f>
        <v>1405850.23</v>
      </c>
      <c r="H259" s="7" t="s">
        <v>887</v>
      </c>
      <c r="I259" s="7" t="str">
        <f>'[1]V, inciso o) (OP)'!M118</f>
        <v>JOSE DE JESUS</v>
      </c>
      <c r="J259" s="7" t="str">
        <f>'[1]V, inciso o) (OP)'!N118</f>
        <v>PALAFOX</v>
      </c>
      <c r="K259" s="7" t="str">
        <f>'[1]V, inciso o) (OP)'!O118</f>
        <v>VILLEGAS</v>
      </c>
      <c r="L259" s="7" t="str">
        <f>'[1]V, inciso o) (OP)'!P118</f>
        <v>MEGAENLACE CONSTRUCCIONES S.A. DE C.V.</v>
      </c>
      <c r="M259" s="7" t="str">
        <f>'[1]V, inciso o) (OP)'!Q118</f>
        <v>MCO1510113H8</v>
      </c>
      <c r="N259" s="11">
        <f>'[1]V, inciso o) (OP)'!Y118</f>
        <v>1405850.23</v>
      </c>
      <c r="O259" s="7" t="s">
        <v>40</v>
      </c>
      <c r="P259" s="7" t="s">
        <v>888</v>
      </c>
      <c r="Q259" s="11">
        <f>N259/515.8</f>
        <v>2725.5723730127957</v>
      </c>
      <c r="R259" s="7" t="s">
        <v>42</v>
      </c>
      <c r="S259" s="15">
        <v>122</v>
      </c>
      <c r="T259" s="7" t="s">
        <v>43</v>
      </c>
      <c r="U259" s="7" t="s">
        <v>44</v>
      </c>
      <c r="V259" s="13">
        <f>'[1]V, inciso o) (OP)'!AD118</f>
        <v>42702</v>
      </c>
      <c r="W259" s="13">
        <f>'[1]V, inciso o) (OP)'!AE118</f>
        <v>42762</v>
      </c>
      <c r="X259" s="7" t="s">
        <v>536</v>
      </c>
      <c r="Y259" s="7" t="s">
        <v>383</v>
      </c>
      <c r="Z259" s="7" t="s">
        <v>300</v>
      </c>
      <c r="AA259" s="7" t="s">
        <v>40</v>
      </c>
      <c r="AB259" s="7" t="s">
        <v>40</v>
      </c>
    </row>
    <row r="260" spans="1:28" ht="69.95" customHeight="1">
      <c r="A260" s="7">
        <v>2016</v>
      </c>
      <c r="B260" s="7" t="s">
        <v>64</v>
      </c>
      <c r="C260" s="7" t="str">
        <f>'[1]V, inciso o) (OP)'!C119</f>
        <v>DOPI-MUN-RM-PROY-AD-250-2016</v>
      </c>
      <c r="D260" s="13">
        <f>'[1]V, inciso o) (OP)'!V119</f>
        <v>42699</v>
      </c>
      <c r="E260" s="7" t="str">
        <f>'[1]V, inciso o) (OP)'!AA119</f>
        <v>Estudios básicos topográficos para diferentes obras 2016, tercera etapa, del municipio de Zapopan, Jalisco.</v>
      </c>
      <c r="F260" s="7" t="s">
        <v>184</v>
      </c>
      <c r="G260" s="11">
        <f>'[1]V, inciso o) (OP)'!Y119</f>
        <v>1365001</v>
      </c>
      <c r="H260" s="7" t="s">
        <v>582</v>
      </c>
      <c r="I260" s="7" t="str">
        <f>'[1]V, inciso o) (OP)'!M119</f>
        <v>GABRIEL</v>
      </c>
      <c r="J260" s="7" t="str">
        <f>'[1]V, inciso o) (OP)'!N119</f>
        <v xml:space="preserve">FRANCO </v>
      </c>
      <c r="K260" s="7" t="str">
        <f>'[1]V, inciso o) (OP)'!O119</f>
        <v>ALATORRE</v>
      </c>
      <c r="L260" s="7" t="str">
        <f>'[1]V, inciso o) (OP)'!P119</f>
        <v>CONSTRUCTORA DE OCCIDENTE MS, S.A. DE C.V.</v>
      </c>
      <c r="M260" s="7" t="str">
        <f>'[1]V, inciso o) (OP)'!Q119</f>
        <v>COM141015F48</v>
      </c>
      <c r="N260" s="11">
        <f>'[1]V, inciso o) (OP)'!Y119</f>
        <v>1365001</v>
      </c>
      <c r="O260" s="7" t="s">
        <v>40</v>
      </c>
      <c r="P260" s="7" t="s">
        <v>855</v>
      </c>
      <c r="Q260" s="11">
        <f>N260</f>
        <v>1365001</v>
      </c>
      <c r="R260" s="7" t="s">
        <v>232</v>
      </c>
      <c r="S260" s="15" t="s">
        <v>232</v>
      </c>
      <c r="T260" s="7" t="s">
        <v>43</v>
      </c>
      <c r="U260" s="7" t="s">
        <v>584</v>
      </c>
      <c r="V260" s="13">
        <f>'[1]V, inciso o) (OP)'!AD119</f>
        <v>42702</v>
      </c>
      <c r="W260" s="13">
        <f>'[1]V, inciso o) (OP)'!AE119</f>
        <v>42855</v>
      </c>
      <c r="X260" s="7" t="s">
        <v>569</v>
      </c>
      <c r="Y260" s="7" t="s">
        <v>835</v>
      </c>
      <c r="Z260" s="7" t="s">
        <v>286</v>
      </c>
      <c r="AA260" s="7" t="s">
        <v>40</v>
      </c>
      <c r="AB260" s="7" t="s">
        <v>40</v>
      </c>
    </row>
    <row r="261" spans="1:28" ht="69.95" customHeight="1">
      <c r="A261" s="7">
        <v>2016</v>
      </c>
      <c r="B261" s="7" t="s">
        <v>64</v>
      </c>
      <c r="C261" s="7" t="str">
        <f>'[1]V, inciso o) (OP)'!C120</f>
        <v>DOPI-MUN-R33-IH-AD-251-2016</v>
      </c>
      <c r="D261" s="13">
        <f>'[1]V, inciso o) (OP)'!V120</f>
        <v>42699</v>
      </c>
      <c r="E261" s="7" t="str">
        <f>'[1]V, inciso o) (OP)'!AA120</f>
        <v>Construcción de línea de conducción de agua potable, en la localidad Los Patios, de pozo Los Patios A Conexión Existente, en el municipio de Zapopan, Jalisco.</v>
      </c>
      <c r="F261" s="7" t="s">
        <v>747</v>
      </c>
      <c r="G261" s="11">
        <f>'[1]V, inciso o) (OP)'!Y120</f>
        <v>1475636.47</v>
      </c>
      <c r="H261" s="7" t="s">
        <v>889</v>
      </c>
      <c r="I261" s="7" t="str">
        <f>'[1]V, inciso o) (OP)'!M120</f>
        <v>JOSE SERGIO</v>
      </c>
      <c r="J261" s="7" t="str">
        <f>'[1]V, inciso o) (OP)'!N120</f>
        <v>CARMONA</v>
      </c>
      <c r="K261" s="7" t="str">
        <f>'[1]V, inciso o) (OP)'!O120</f>
        <v>RUVALCABA</v>
      </c>
      <c r="L261" s="7" t="str">
        <f>'[1]V, inciso o) (OP)'!P120</f>
        <v>QUANTUM CONSTRUCTORES Y PROYECTOS, S.A. DE C.V.</v>
      </c>
      <c r="M261" s="7" t="str">
        <f>'[1]V, inciso o) (OP)'!Q120</f>
        <v>QCP1307172S6</v>
      </c>
      <c r="N261" s="11">
        <f>'[1]V, inciso o) (OP)'!Y120</f>
        <v>1475636.47</v>
      </c>
      <c r="O261" s="7" t="s">
        <v>40</v>
      </c>
      <c r="P261" s="7" t="s">
        <v>890</v>
      </c>
      <c r="Q261" s="11">
        <f>N261/3240</f>
        <v>455.44335493827157</v>
      </c>
      <c r="R261" s="7" t="s">
        <v>42</v>
      </c>
      <c r="S261" s="15">
        <v>39</v>
      </c>
      <c r="T261" s="7" t="s">
        <v>43</v>
      </c>
      <c r="U261" s="7" t="s">
        <v>584</v>
      </c>
      <c r="V261" s="13">
        <f>'[1]V, inciso o) (OP)'!AD120</f>
        <v>42702</v>
      </c>
      <c r="W261" s="13">
        <f>'[1]V, inciso o) (OP)'!AE120</f>
        <v>42852</v>
      </c>
      <c r="X261" s="7" t="s">
        <v>723</v>
      </c>
      <c r="Y261" s="7" t="s">
        <v>724</v>
      </c>
      <c r="Z261" s="7" t="s">
        <v>145</v>
      </c>
      <c r="AA261" s="7" t="s">
        <v>40</v>
      </c>
      <c r="AB261" s="7" t="s">
        <v>40</v>
      </c>
    </row>
    <row r="262" spans="1:28" ht="69.95" customHeight="1">
      <c r="A262" s="7">
        <v>2016</v>
      </c>
      <c r="B262" s="7" t="s">
        <v>64</v>
      </c>
      <c r="C262" s="7" t="str">
        <f>'[1]V, inciso o) (OP)'!C121</f>
        <v>DOPI-MUN-R33-IH-AD-252-2016</v>
      </c>
      <c r="D262" s="13">
        <f>'[1]V, inciso o) (OP)'!V121</f>
        <v>42699</v>
      </c>
      <c r="E262" s="7" t="str">
        <f>'[1]V, inciso o) (OP)'!AA121</f>
        <v>Construcción de línea de agua potable y drenaje sanitario en la calle Panorama, tramo 1, municipio de Zapopan, Jalisco.</v>
      </c>
      <c r="F262" s="7" t="s">
        <v>747</v>
      </c>
      <c r="G262" s="11">
        <f>'[1]V, inciso o) (OP)'!Y121</f>
        <v>1298415.18</v>
      </c>
      <c r="H262" s="7" t="s">
        <v>891</v>
      </c>
      <c r="I262" s="7" t="str">
        <f>'[1]V, inciso o) (OP)'!M121</f>
        <v>JUAN PABLO</v>
      </c>
      <c r="J262" s="7" t="str">
        <f>'[1]V, inciso o) (OP)'!N121</f>
        <v>VERA</v>
      </c>
      <c r="K262" s="7" t="str">
        <f>'[1]V, inciso o) (OP)'!O121</f>
        <v>TAVARES</v>
      </c>
      <c r="L262" s="7" t="str">
        <f>'[1]V, inciso o) (OP)'!P121</f>
        <v>LIZETTE CONSTRUCCIONES, S.A. DE C.V.</v>
      </c>
      <c r="M262" s="7" t="str">
        <f>'[1]V, inciso o) (OP)'!Q121</f>
        <v>LCO080228DN2</v>
      </c>
      <c r="N262" s="11">
        <f>'[1]V, inciso o) (OP)'!Y121</f>
        <v>1298415.18</v>
      </c>
      <c r="O262" s="7" t="s">
        <v>40</v>
      </c>
      <c r="P262" s="7" t="s">
        <v>892</v>
      </c>
      <c r="Q262" s="11">
        <f>N262/362.52</f>
        <v>3581.6373717312149</v>
      </c>
      <c r="R262" s="7" t="s">
        <v>42</v>
      </c>
      <c r="S262" s="15">
        <v>98</v>
      </c>
      <c r="T262" s="7" t="s">
        <v>43</v>
      </c>
      <c r="U262" s="7" t="s">
        <v>44</v>
      </c>
      <c r="V262" s="13">
        <f>'[1]V, inciso o) (OP)'!AD121</f>
        <v>42702</v>
      </c>
      <c r="W262" s="13">
        <f>'[1]V, inciso o) (OP)'!AE121</f>
        <v>42792</v>
      </c>
      <c r="X262" s="7" t="s">
        <v>671</v>
      </c>
      <c r="Y262" s="7" t="s">
        <v>334</v>
      </c>
      <c r="Z262" s="7" t="s">
        <v>133</v>
      </c>
      <c r="AA262" s="7" t="s">
        <v>40</v>
      </c>
      <c r="AB262" s="7" t="s">
        <v>40</v>
      </c>
    </row>
    <row r="263" spans="1:28" ht="69.95" customHeight="1">
      <c r="A263" s="7">
        <v>2016</v>
      </c>
      <c r="B263" s="7" t="s">
        <v>64</v>
      </c>
      <c r="C263" s="7" t="str">
        <f>'[1]V, inciso o) (OP)'!C122</f>
        <v>DOPI-MUN-R33-IH-AD-253-2016</v>
      </c>
      <c r="D263" s="13">
        <f>'[1]V, inciso o) (OP)'!V122</f>
        <v>42699</v>
      </c>
      <c r="E263" s="7"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263" s="7" t="s">
        <v>747</v>
      </c>
      <c r="G263" s="11">
        <f>'[1]V, inciso o) (OP)'!Y122</f>
        <v>1140318.97</v>
      </c>
      <c r="H263" s="7" t="s">
        <v>893</v>
      </c>
      <c r="I263" s="7" t="str">
        <f>'[1]V, inciso o) (OP)'!M122</f>
        <v xml:space="preserve">RICARDO </v>
      </c>
      <c r="J263" s="7" t="str">
        <f>'[1]V, inciso o) (OP)'!N122</f>
        <v>RIZO</v>
      </c>
      <c r="K263" s="7" t="str">
        <f>'[1]V, inciso o) (OP)'!O122</f>
        <v>SOSA</v>
      </c>
      <c r="L263" s="7" t="str">
        <f>'[1]V, inciso o) (OP)'!P122</f>
        <v>NEOINGENIERIA, S.A. DE C.V.</v>
      </c>
      <c r="M263" s="7" t="str">
        <f>'[1]V, inciso o) (OP)'!Q122</f>
        <v>NEO080722M53</v>
      </c>
      <c r="N263" s="11">
        <f>'[1]V, inciso o) (OP)'!Y122</f>
        <v>1140318.97</v>
      </c>
      <c r="O263" s="7" t="s">
        <v>40</v>
      </c>
      <c r="P263" s="7" t="s">
        <v>894</v>
      </c>
      <c r="Q263" s="11">
        <f>N263/318.38</f>
        <v>3581.6287769332243</v>
      </c>
      <c r="R263" s="7" t="s">
        <v>42</v>
      </c>
      <c r="S263" s="15">
        <v>215</v>
      </c>
      <c r="T263" s="7" t="s">
        <v>43</v>
      </c>
      <c r="U263" s="7" t="s">
        <v>584</v>
      </c>
      <c r="V263" s="13">
        <f>'[1]V, inciso o) (OP)'!AD122</f>
        <v>42702</v>
      </c>
      <c r="W263" s="13">
        <f>'[1]V, inciso o) (OP)'!AE122</f>
        <v>42822</v>
      </c>
      <c r="X263" s="7" t="s">
        <v>556</v>
      </c>
      <c r="Y263" s="7" t="s">
        <v>557</v>
      </c>
      <c r="Z263" s="7" t="s">
        <v>558</v>
      </c>
      <c r="AA263" s="7" t="s">
        <v>40</v>
      </c>
      <c r="AB263" s="7" t="s">
        <v>40</v>
      </c>
    </row>
    <row r="264" spans="1:28" ht="69.95" customHeight="1">
      <c r="A264" s="7">
        <v>2016</v>
      </c>
      <c r="B264" s="7" t="s">
        <v>64</v>
      </c>
      <c r="C264" s="7" t="str">
        <f>'[1]V, inciso o) (OP)'!C123</f>
        <v>DOPI-MUN-R33-IH-AD-254-2016</v>
      </c>
      <c r="D264" s="13">
        <f>'[1]V, inciso o) (OP)'!V123</f>
        <v>42699</v>
      </c>
      <c r="E264" s="7" t="str">
        <f>'[1]V, inciso o) (OP)'!AA123</f>
        <v>Construcción de línea agua potable en la calle Miguel Hidalgo, de calle Josefa Ortíz De Domínguez a Cerrada, en la colonia Indígena De Mezquitan I Sección, en el municipio de Zapopan, Jalisco.</v>
      </c>
      <c r="F264" s="7" t="s">
        <v>747</v>
      </c>
      <c r="G264" s="11">
        <f>'[1]V, inciso o) (OP)'!Y123</f>
        <v>1010226.87</v>
      </c>
      <c r="H264" s="7" t="s">
        <v>893</v>
      </c>
      <c r="I264" s="7" t="str">
        <f>'[1]V, inciso o) (OP)'!M123</f>
        <v>GABINO</v>
      </c>
      <c r="J264" s="7" t="str">
        <f>'[1]V, inciso o) (OP)'!N123</f>
        <v>MONTUFAR</v>
      </c>
      <c r="K264" s="7" t="str">
        <f>'[1]V, inciso o) (OP)'!O123</f>
        <v>NUÑEZ</v>
      </c>
      <c r="L264" s="7" t="str">
        <f>'[1]V, inciso o) (OP)'!P123</f>
        <v>DI.COB, S.A. DE C.V.</v>
      </c>
      <c r="M264" s="7" t="str">
        <f>'[1]V, inciso o) (OP)'!Q123</f>
        <v>DCO021029737</v>
      </c>
      <c r="N264" s="11">
        <f>'[1]V, inciso o) (OP)'!Y123</f>
        <v>1010226.87</v>
      </c>
      <c r="O264" s="7" t="s">
        <v>40</v>
      </c>
      <c r="P264" s="7" t="s">
        <v>895</v>
      </c>
      <c r="Q264" s="11">
        <f>N264/841.71</f>
        <v>1200.2077556403035</v>
      </c>
      <c r="R264" s="7" t="s">
        <v>42</v>
      </c>
      <c r="S264" s="15">
        <v>176</v>
      </c>
      <c r="T264" s="7" t="s">
        <v>43</v>
      </c>
      <c r="U264" s="7" t="s">
        <v>584</v>
      </c>
      <c r="V264" s="13">
        <f>'[1]V, inciso o) (OP)'!AD123</f>
        <v>42702</v>
      </c>
      <c r="W264" s="13">
        <f>'[1]V, inciso o) (OP)'!AE123</f>
        <v>42822</v>
      </c>
      <c r="X264" s="7" t="s">
        <v>556</v>
      </c>
      <c r="Y264" s="7" t="s">
        <v>557</v>
      </c>
      <c r="Z264" s="7" t="s">
        <v>558</v>
      </c>
      <c r="AA264" s="7" t="s">
        <v>40</v>
      </c>
      <c r="AB264" s="7" t="s">
        <v>40</v>
      </c>
    </row>
    <row r="265" spans="1:28" ht="69.95" customHeight="1">
      <c r="A265" s="7">
        <v>2016</v>
      </c>
      <c r="B265" s="7" t="s">
        <v>64</v>
      </c>
      <c r="C265" s="7" t="str">
        <f>'[1]V, inciso o) (OP)'!C124</f>
        <v>DOPI-MUN-R33-PAV-AD-255-2016</v>
      </c>
      <c r="D265" s="13">
        <f>'[1]V, inciso o) (OP)'!V124</f>
        <v>42699</v>
      </c>
      <c r="E265" s="7" t="str">
        <f>'[1]V, inciso o) (OP)'!AA124</f>
        <v>Construcción de pavimento zamepado en la calle Laureles, de calle Paseo de los Manzanos a calle Palmeras, en la colonia Lomas de Tabachines  I sección, en el municipio de Zapopan, Jalisco. Frente 1</v>
      </c>
      <c r="F265" s="7" t="s">
        <v>747</v>
      </c>
      <c r="G265" s="11">
        <f>'[1]V, inciso o) (OP)'!Y124</f>
        <v>1494784.36</v>
      </c>
      <c r="H265" s="7" t="s">
        <v>136</v>
      </c>
      <c r="I265" s="7" t="str">
        <f>'[1]V, inciso o) (OP)'!M124</f>
        <v>JOSE GILBERTO</v>
      </c>
      <c r="J265" s="7" t="str">
        <f>'[1]V, inciso o) (OP)'!N124</f>
        <v>LUJAN</v>
      </c>
      <c r="K265" s="7" t="str">
        <f>'[1]V, inciso o) (OP)'!O124</f>
        <v>BARAJAS</v>
      </c>
      <c r="L265" s="7" t="str">
        <f>'[1]V, inciso o) (OP)'!P124</f>
        <v>GILCO INGENIERIA, S.A. DE C.V.</v>
      </c>
      <c r="M265" s="7" t="str">
        <f>'[1]V, inciso o) (OP)'!Q124</f>
        <v>GIN1202272F9</v>
      </c>
      <c r="N265" s="11">
        <f>'[1]V, inciso o) (OP)'!Y124</f>
        <v>1494784.36</v>
      </c>
      <c r="O265" s="7" t="s">
        <v>40</v>
      </c>
      <c r="P265" s="7" t="s">
        <v>896</v>
      </c>
      <c r="Q265" s="11">
        <f>N265/1013.31</f>
        <v>1475.1501120091582</v>
      </c>
      <c r="R265" s="7" t="s">
        <v>42</v>
      </c>
      <c r="S265" s="15">
        <v>356</v>
      </c>
      <c r="T265" s="7" t="s">
        <v>43</v>
      </c>
      <c r="U265" s="7" t="s">
        <v>584</v>
      </c>
      <c r="V265" s="13">
        <f>'[1]V, inciso o) (OP)'!AD124</f>
        <v>42702</v>
      </c>
      <c r="W265" s="13">
        <f>'[1]V, inciso o) (OP)'!AE124</f>
        <v>42822</v>
      </c>
      <c r="X265" s="7" t="s">
        <v>681</v>
      </c>
      <c r="Y265" s="7" t="s">
        <v>682</v>
      </c>
      <c r="Z265" s="7" t="s">
        <v>683</v>
      </c>
      <c r="AA265" s="7" t="s">
        <v>40</v>
      </c>
      <c r="AB265" s="7" t="s">
        <v>40</v>
      </c>
    </row>
    <row r="266" spans="1:28" ht="69.95" customHeight="1">
      <c r="A266" s="7">
        <v>2016</v>
      </c>
      <c r="B266" s="7" t="s">
        <v>64</v>
      </c>
      <c r="C266" s="7" t="str">
        <f>'[1]V, inciso o) (OP)'!C125</f>
        <v>DOPI-MUN-R33-PAV-AD-256-2016</v>
      </c>
      <c r="D266" s="13">
        <f>'[1]V, inciso o) (OP)'!V125</f>
        <v>42699</v>
      </c>
      <c r="E266" s="7"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266" s="7" t="s">
        <v>747</v>
      </c>
      <c r="G266" s="11">
        <f>'[1]V, inciso o) (OP)'!Y125</f>
        <v>1208435.74</v>
      </c>
      <c r="H266" s="7" t="s">
        <v>299</v>
      </c>
      <c r="I266" s="7" t="str">
        <f>'[1]V, inciso o) (OP)'!M125</f>
        <v>AMALIA</v>
      </c>
      <c r="J266" s="7" t="str">
        <f>'[1]V, inciso o) (OP)'!N125</f>
        <v>MORENO</v>
      </c>
      <c r="K266" s="7" t="str">
        <f>'[1]V, inciso o) (OP)'!O125</f>
        <v>MALDONADO</v>
      </c>
      <c r="L266" s="7" t="str">
        <f>'[1]V, inciso o) (OP)'!P125</f>
        <v>GRUPO CONSTRUCTOR LOS MUROS, S.A. DE C.V.</v>
      </c>
      <c r="M266" s="7" t="str">
        <f>'[1]V, inciso o) (OP)'!Q125</f>
        <v>GCM020226F28</v>
      </c>
      <c r="N266" s="11">
        <f>'[1]V, inciso o) (OP)'!Y125</f>
        <v>1208435.74</v>
      </c>
      <c r="O266" s="7" t="s">
        <v>40</v>
      </c>
      <c r="P266" s="7" t="s">
        <v>897</v>
      </c>
      <c r="Q266" s="11">
        <f>N266/819.2</f>
        <v>1475.1412841796873</v>
      </c>
      <c r="R266" s="7" t="s">
        <v>42</v>
      </c>
      <c r="S266" s="15">
        <v>341</v>
      </c>
      <c r="T266" s="7" t="s">
        <v>43</v>
      </c>
      <c r="U266" s="7" t="s">
        <v>584</v>
      </c>
      <c r="V266" s="13">
        <f>'[1]V, inciso o) (OP)'!AD125</f>
        <v>42702</v>
      </c>
      <c r="W266" s="13">
        <f>'[1]V, inciso o) (OP)'!AE125</f>
        <v>42822</v>
      </c>
      <c r="X266" s="7" t="s">
        <v>681</v>
      </c>
      <c r="Y266" s="7" t="s">
        <v>682</v>
      </c>
      <c r="Z266" s="7" t="s">
        <v>683</v>
      </c>
      <c r="AA266" s="7" t="s">
        <v>40</v>
      </c>
      <c r="AB266" s="7" t="s">
        <v>40</v>
      </c>
    </row>
    <row r="267" spans="1:28" ht="69.95" customHeight="1">
      <c r="A267" s="7">
        <v>2016</v>
      </c>
      <c r="B267" s="7" t="s">
        <v>64</v>
      </c>
      <c r="C267" s="7" t="str">
        <f>'[1]V, inciso o) (OP)'!C126</f>
        <v>DOPI-MUN-R33-PAV-AD-257-2016</v>
      </c>
      <c r="D267" s="13">
        <f>'[1]V, inciso o) (OP)'!V126</f>
        <v>42699</v>
      </c>
      <c r="E267" s="7" t="str">
        <f>'[1]V, inciso o) (OP)'!AA126</f>
        <v>Construcción de pavimento zamepado en la calle Laureles, de calle Paseo de los Manzanos a calle Palmeras, en la colonia Lomas de Tabachines  I sección, en el municipio de Zapopan, Jalisco. Frente 2</v>
      </c>
      <c r="F267" s="7" t="s">
        <v>747</v>
      </c>
      <c r="G267" s="11">
        <f>'[1]V, inciso o) (OP)'!Y126</f>
        <v>1524750.48</v>
      </c>
      <c r="H267" s="7" t="s">
        <v>136</v>
      </c>
      <c r="I267" s="7" t="str">
        <f>'[1]V, inciso o) (OP)'!M126</f>
        <v>JOAQUIN</v>
      </c>
      <c r="J267" s="7" t="str">
        <f>'[1]V, inciso o) (OP)'!N126</f>
        <v>RAMIREZ</v>
      </c>
      <c r="K267" s="7" t="str">
        <f>'[1]V, inciso o) (OP)'!O126</f>
        <v>GALLARDO</v>
      </c>
      <c r="L267" s="7" t="str">
        <f>'[1]V, inciso o) (OP)'!P126</f>
        <v>A. &amp; G. URBANIZADORA, S.A. DE C.V.</v>
      </c>
      <c r="M267" s="7" t="str">
        <f>'[1]V, inciso o) (OP)'!Q126</f>
        <v>AUR100826KX0</v>
      </c>
      <c r="N267" s="11">
        <f>'[1]V, inciso o) (OP)'!Y126</f>
        <v>1524750.48</v>
      </c>
      <c r="O267" s="7" t="s">
        <v>40</v>
      </c>
      <c r="P267" s="7" t="s">
        <v>898</v>
      </c>
      <c r="Q267" s="11">
        <f>N267/1033.62</f>
        <v>1475.1557438904047</v>
      </c>
      <c r="R267" s="7" t="s">
        <v>42</v>
      </c>
      <c r="S267" s="15">
        <v>336</v>
      </c>
      <c r="T267" s="7" t="s">
        <v>43</v>
      </c>
      <c r="U267" s="7" t="s">
        <v>584</v>
      </c>
      <c r="V267" s="13">
        <f>'[1]V, inciso o) (OP)'!AD126</f>
        <v>42702</v>
      </c>
      <c r="W267" s="13">
        <f>'[1]V, inciso o) (OP)'!AE126</f>
        <v>42822</v>
      </c>
      <c r="X267" s="7" t="s">
        <v>681</v>
      </c>
      <c r="Y267" s="7" t="s">
        <v>682</v>
      </c>
      <c r="Z267" s="7" t="s">
        <v>683</v>
      </c>
      <c r="AA267" s="7" t="s">
        <v>40</v>
      </c>
      <c r="AB267" s="7" t="s">
        <v>40</v>
      </c>
    </row>
    <row r="268" spans="1:28" ht="69.95" customHeight="1">
      <c r="A268" s="7">
        <v>2016</v>
      </c>
      <c r="B268" s="7" t="s">
        <v>64</v>
      </c>
      <c r="C268" s="7" t="str">
        <f>'[1]V, inciso o) (OP)'!C127</f>
        <v>DOPI-MUN-R33-ELE-AD-258-2016</v>
      </c>
      <c r="D268" s="13">
        <f>'[1]V, inciso o) (OP)'!V127</f>
        <v>42699</v>
      </c>
      <c r="E268" s="7"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268" s="7" t="s">
        <v>747</v>
      </c>
      <c r="G268" s="11">
        <f>'[1]V, inciso o) (OP)'!Y127</f>
        <v>1393254.78</v>
      </c>
      <c r="H268" s="7" t="s">
        <v>508</v>
      </c>
      <c r="I268" s="7" t="str">
        <f>'[1]V, inciso o) (OP)'!M127</f>
        <v>JOSE DE JESUS</v>
      </c>
      <c r="J268" s="7" t="str">
        <f>'[1]V, inciso o) (OP)'!N127</f>
        <v>MARQUEZ</v>
      </c>
      <c r="K268" s="7" t="str">
        <f>'[1]V, inciso o) (OP)'!O127</f>
        <v>AVILA</v>
      </c>
      <c r="L268" s="7" t="str">
        <f>'[1]V, inciso o) (OP)'!P127</f>
        <v>FUTUROBRAS, S.A. DE C.V.</v>
      </c>
      <c r="M268" s="7" t="str">
        <f>'[1]V, inciso o) (OP)'!Q127</f>
        <v>FUT1110275V9</v>
      </c>
      <c r="N268" s="11">
        <f>'[1]V, inciso o) (OP)'!Y127</f>
        <v>1393254.78</v>
      </c>
      <c r="O268" s="7" t="s">
        <v>40</v>
      </c>
      <c r="P268" s="7" t="s">
        <v>899</v>
      </c>
      <c r="Q268" s="11">
        <f>N268/1210</f>
        <v>1151.4502314049587</v>
      </c>
      <c r="R268" s="7" t="s">
        <v>42</v>
      </c>
      <c r="S268" s="15">
        <v>298</v>
      </c>
      <c r="T268" s="7" t="s">
        <v>43</v>
      </c>
      <c r="U268" s="7" t="s">
        <v>584</v>
      </c>
      <c r="V268" s="13">
        <f>'[1]V, inciso o) (OP)'!AD127</f>
        <v>42702</v>
      </c>
      <c r="W268" s="13">
        <f>'[1]V, inciso o) (OP)'!AE127</f>
        <v>42852</v>
      </c>
      <c r="X268" s="7" t="s">
        <v>640</v>
      </c>
      <c r="Y268" s="7" t="s">
        <v>496</v>
      </c>
      <c r="Z268" s="7" t="s">
        <v>749</v>
      </c>
      <c r="AA268" s="7" t="s">
        <v>40</v>
      </c>
      <c r="AB268" s="7" t="s">
        <v>40</v>
      </c>
    </row>
    <row r="269" spans="1:28" ht="69.95" customHeight="1">
      <c r="A269" s="7">
        <v>2016</v>
      </c>
      <c r="B269" s="7" t="s">
        <v>64</v>
      </c>
      <c r="C269" s="7" t="str">
        <f>'[1]V, inciso o) (OP)'!C128</f>
        <v>DOPI-MUN-R33-ELE-AD-259-2016</v>
      </c>
      <c r="D269" s="13">
        <f>'[1]V, inciso o) (OP)'!V128</f>
        <v>42710</v>
      </c>
      <c r="E269" s="7"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269" s="7" t="s">
        <v>747</v>
      </c>
      <c r="G269" s="11">
        <f>'[1]V, inciso o) (OP)'!Y128</f>
        <v>992115.87</v>
      </c>
      <c r="H269" s="7" t="s">
        <v>900</v>
      </c>
      <c r="I269" s="7" t="str">
        <f>'[1]V, inciso o) (OP)'!M128</f>
        <v>RODRIGO</v>
      </c>
      <c r="J269" s="7" t="str">
        <f>'[1]V, inciso o) (OP)'!N128</f>
        <v>SOLIS</v>
      </c>
      <c r="K269" s="7" t="str">
        <f>'[1]V, inciso o) (OP)'!O128</f>
        <v>RUIZ</v>
      </c>
      <c r="L269" s="7" t="str">
        <f>'[1]V, inciso o) (OP)'!P128</f>
        <v>EQUIPO MANTENIMIENTO Y PLANEACION ELECTRICA, S.A. DE C.V.</v>
      </c>
      <c r="M269" s="7" t="str">
        <f>'[1]V, inciso o) (OP)'!Q128</f>
        <v>EMP080630FL0</v>
      </c>
      <c r="N269" s="11">
        <f>'[1]V, inciso o) (OP)'!Y128</f>
        <v>992115.87</v>
      </c>
      <c r="O269" s="7" t="s">
        <v>40</v>
      </c>
      <c r="P269" s="7" t="s">
        <v>901</v>
      </c>
      <c r="Q269" s="11">
        <f>N269/870</f>
        <v>1140.3630689655172</v>
      </c>
      <c r="R269" s="7" t="s">
        <v>42</v>
      </c>
      <c r="S269" s="15">
        <v>586</v>
      </c>
      <c r="T269" s="7" t="s">
        <v>43</v>
      </c>
      <c r="U269" s="7" t="s">
        <v>584</v>
      </c>
      <c r="V269" s="13">
        <f>'[1]V, inciso o) (OP)'!AD128</f>
        <v>42711</v>
      </c>
      <c r="W269" s="13">
        <f>'[1]V, inciso o) (OP)'!AE128</f>
        <v>42794</v>
      </c>
      <c r="X269" s="7" t="s">
        <v>640</v>
      </c>
      <c r="Y269" s="7" t="s">
        <v>496</v>
      </c>
      <c r="Z269" s="7" t="s">
        <v>749</v>
      </c>
      <c r="AA269" s="7" t="s">
        <v>40</v>
      </c>
      <c r="AB269" s="7" t="s">
        <v>40</v>
      </c>
    </row>
    <row r="270" spans="1:28" ht="69.95" customHeight="1">
      <c r="A270" s="7">
        <v>2016</v>
      </c>
      <c r="B270" s="7" t="s">
        <v>64</v>
      </c>
      <c r="C270" s="7" t="str">
        <f>'[1]V, inciso o) (OP)'!C129</f>
        <v>DOPI-MUN-R33-ELE-AD-260-2016</v>
      </c>
      <c r="D270" s="13">
        <f>'[1]V, inciso o) (OP)'!V129</f>
        <v>42710</v>
      </c>
      <c r="E270" s="7" t="str">
        <f>'[1]V, inciso o) (OP)'!AA129</f>
        <v xml:space="preserve">Electrificación de pozo, en la localidad Los Patios, en el municipio de Zapopan, Jalisco. </v>
      </c>
      <c r="F270" s="7" t="s">
        <v>747</v>
      </c>
      <c r="G270" s="11">
        <f>'[1]V, inciso o) (OP)'!Y129</f>
        <v>1502368.1</v>
      </c>
      <c r="H270" s="7" t="s">
        <v>889</v>
      </c>
      <c r="I270" s="7" t="str">
        <f>'[1]V, inciso o) (OP)'!M129</f>
        <v>FAUSTO</v>
      </c>
      <c r="J270" s="7" t="str">
        <f>'[1]V, inciso o) (OP)'!N129</f>
        <v>GARNICA</v>
      </c>
      <c r="K270" s="7" t="str">
        <f>'[1]V, inciso o) (OP)'!O129</f>
        <v>PADILLA</v>
      </c>
      <c r="L270" s="7" t="str">
        <f>'[1]V, inciso o) (OP)'!P129</f>
        <v>FAUSTO GARNICA PADILLA</v>
      </c>
      <c r="M270" s="7" t="str">
        <f>'[1]V, inciso o) (OP)'!Q129</f>
        <v>GAPF5912193V9</v>
      </c>
      <c r="N270" s="11">
        <f>'[1]V, inciso o) (OP)'!Y129</f>
        <v>1502368.1</v>
      </c>
      <c r="O270" s="7" t="s">
        <v>40</v>
      </c>
      <c r="P270" s="7" t="s">
        <v>51</v>
      </c>
      <c r="Q270" s="11">
        <f>N270</f>
        <v>1502368.1</v>
      </c>
      <c r="R270" s="7" t="s">
        <v>42</v>
      </c>
      <c r="S270" s="15">
        <v>39</v>
      </c>
      <c r="T270" s="7" t="s">
        <v>43</v>
      </c>
      <c r="U270" s="7" t="s">
        <v>584</v>
      </c>
      <c r="V270" s="13">
        <f>'[1]V, inciso o) (OP)'!AD129</f>
        <v>42711</v>
      </c>
      <c r="W270" s="13">
        <f>'[1]V, inciso o) (OP)'!AE129</f>
        <v>42861</v>
      </c>
      <c r="X270" s="7" t="s">
        <v>640</v>
      </c>
      <c r="Y270" s="7" t="s">
        <v>496</v>
      </c>
      <c r="Z270" s="7" t="s">
        <v>749</v>
      </c>
      <c r="AA270" s="7" t="s">
        <v>40</v>
      </c>
      <c r="AB270" s="7" t="s">
        <v>40</v>
      </c>
    </row>
    <row r="271" spans="1:28" ht="69.95" customHeight="1">
      <c r="A271" s="7">
        <v>2016</v>
      </c>
      <c r="B271" s="7" t="s">
        <v>64</v>
      </c>
      <c r="C271" s="7" t="str">
        <f>'[1]V, inciso o) (OP)'!C130</f>
        <v>DOPI-MUN-R33-IH-AD-261-2016</v>
      </c>
      <c r="D271" s="13">
        <f>'[1]V, inciso o) (OP)'!V130</f>
        <v>42710</v>
      </c>
      <c r="E271" s="7"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271" s="7" t="s">
        <v>747</v>
      </c>
      <c r="G271" s="11">
        <f>'[1]V, inciso o) (OP)'!Y130</f>
        <v>560225.48</v>
      </c>
      <c r="H271" s="7" t="s">
        <v>902</v>
      </c>
      <c r="I271" s="7" t="str">
        <f>'[1]V, inciso o) (OP)'!M130</f>
        <v>MADELEINE</v>
      </c>
      <c r="J271" s="7" t="str">
        <f>'[1]V, inciso o) (OP)'!N130</f>
        <v xml:space="preserve">GARZA </v>
      </c>
      <c r="K271" s="7" t="str">
        <f>'[1]V, inciso o) (OP)'!O130</f>
        <v>ESTRADA</v>
      </c>
      <c r="L271" s="7" t="str">
        <f>'[1]V, inciso o) (OP)'!P130</f>
        <v>SINERGIA URBANA, S.A. DE C.V.</v>
      </c>
      <c r="M271" s="7" t="str">
        <f>'[1]V, inciso o) (OP)'!Q130</f>
        <v>SUR091203ERA</v>
      </c>
      <c r="N271" s="11">
        <f>'[1]V, inciso o) (OP)'!Y130</f>
        <v>560225.48</v>
      </c>
      <c r="O271" s="7" t="s">
        <v>40</v>
      </c>
      <c r="P271" s="7" t="s">
        <v>903</v>
      </c>
      <c r="Q271" s="11">
        <f>N271/112</f>
        <v>5002.0132142857137</v>
      </c>
      <c r="R271" s="7" t="s">
        <v>42</v>
      </c>
      <c r="S271" s="15">
        <v>125</v>
      </c>
      <c r="T271" s="7" t="s">
        <v>43</v>
      </c>
      <c r="U271" s="7" t="s">
        <v>584</v>
      </c>
      <c r="V271" s="13">
        <f>'[1]V, inciso o) (OP)'!AD130</f>
        <v>42711</v>
      </c>
      <c r="W271" s="13">
        <f>'[1]V, inciso o) (OP)'!AE130</f>
        <v>42771</v>
      </c>
      <c r="X271" s="7" t="s">
        <v>536</v>
      </c>
      <c r="Y271" s="7" t="s">
        <v>383</v>
      </c>
      <c r="Z271" s="7" t="s">
        <v>300</v>
      </c>
      <c r="AA271" s="7" t="s">
        <v>40</v>
      </c>
      <c r="AB271" s="7" t="s">
        <v>40</v>
      </c>
    </row>
    <row r="272" spans="1:28" ht="69.95" customHeight="1">
      <c r="A272" s="7">
        <v>2016</v>
      </c>
      <c r="B272" s="7" t="s">
        <v>64</v>
      </c>
      <c r="C272" s="7" t="str">
        <f>'[1]V, inciso o) (OP)'!C131</f>
        <v>DOPI-MUN-R33-IH-AD-262-2016</v>
      </c>
      <c r="D272" s="13">
        <f>'[1]V, inciso o) (OP)'!V131</f>
        <v>42713</v>
      </c>
      <c r="E272" s="7"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272" s="7" t="s">
        <v>747</v>
      </c>
      <c r="G272" s="11">
        <f>'[1]V, inciso o) (OP)'!Y131</f>
        <v>1337560.18</v>
      </c>
      <c r="H272" s="7" t="s">
        <v>124</v>
      </c>
      <c r="I272" s="7" t="str">
        <f>'[1]V, inciso o) (OP)'!M131</f>
        <v>JUAN</v>
      </c>
      <c r="J272" s="7" t="str">
        <f>'[1]V, inciso o) (OP)'!N131</f>
        <v>PADILLA</v>
      </c>
      <c r="K272" s="7" t="str">
        <f>'[1]V, inciso o) (OP)'!O131</f>
        <v>AILHAUD</v>
      </c>
      <c r="L272" s="7" t="str">
        <f>'[1]V, inciso o) (OP)'!P131</f>
        <v>TRAMA CONSTRUCTORA Y MAQUINARIA, S.A. DE C.V.</v>
      </c>
      <c r="M272" s="7" t="str">
        <f>'[1]V, inciso o) (OP)'!Q131</f>
        <v>TCM0111148H5</v>
      </c>
      <c r="N272" s="11">
        <f>'[1]V, inciso o) (OP)'!Y131</f>
        <v>1337560.18</v>
      </c>
      <c r="O272" s="7" t="s">
        <v>40</v>
      </c>
      <c r="P272" s="7" t="s">
        <v>904</v>
      </c>
      <c r="Q272" s="11">
        <f>N272/1114.44</f>
        <v>1200.2083378198915</v>
      </c>
      <c r="R272" s="7" t="s">
        <v>42</v>
      </c>
      <c r="S272" s="15">
        <v>221</v>
      </c>
      <c r="T272" s="7" t="s">
        <v>43</v>
      </c>
      <c r="U272" s="7" t="s">
        <v>584</v>
      </c>
      <c r="V272" s="13">
        <f>'[1]V, inciso o) (OP)'!AD131</f>
        <v>42716</v>
      </c>
      <c r="W272" s="13">
        <f>'[1]V, inciso o) (OP)'!AE131</f>
        <v>42806</v>
      </c>
      <c r="X272" s="7" t="s">
        <v>671</v>
      </c>
      <c r="Y272" s="7" t="s">
        <v>334</v>
      </c>
      <c r="Z272" s="7" t="s">
        <v>133</v>
      </c>
      <c r="AA272" s="7" t="s">
        <v>40</v>
      </c>
      <c r="AB272" s="7" t="s">
        <v>40</v>
      </c>
    </row>
    <row r="273" spans="1:28" ht="69.95" customHeight="1">
      <c r="A273" s="7">
        <v>2016</v>
      </c>
      <c r="B273" s="7" t="s">
        <v>64</v>
      </c>
      <c r="C273" s="7" t="str">
        <f>'[1]V, inciso o) (OP)'!C132</f>
        <v>DOPI-MUN-R33-PAV-AD-263-2016</v>
      </c>
      <c r="D273" s="13">
        <f>'[1]V, inciso o) (OP)'!V132</f>
        <v>42713</v>
      </c>
      <c r="E273" s="7"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273" s="7" t="s">
        <v>747</v>
      </c>
      <c r="G273" s="11">
        <f>'[1]V, inciso o) (OP)'!Y132</f>
        <v>1510487.16</v>
      </c>
      <c r="H273" s="7" t="s">
        <v>893</v>
      </c>
      <c r="I273" s="7" t="str">
        <f>'[1]V, inciso o) (OP)'!M132</f>
        <v>ROBERTO</v>
      </c>
      <c r="J273" s="7" t="str">
        <f>'[1]V, inciso o) (OP)'!N132</f>
        <v>FLORES</v>
      </c>
      <c r="K273" s="7" t="str">
        <f>'[1]V, inciso o) (OP)'!O132</f>
        <v>ARREOLA</v>
      </c>
      <c r="L273" s="7" t="str">
        <f>'[1]V, inciso o) (OP)'!P132</f>
        <v>ESTUDIOS SISTEMAS Y CONSTRUCCIONES, S.A. DE C.V.</v>
      </c>
      <c r="M273" s="7" t="str">
        <f>'[1]V, inciso o) (OP)'!Q132</f>
        <v>ESC930617KW9</v>
      </c>
      <c r="N273" s="11">
        <f>'[1]V, inciso o) (OP)'!Y132</f>
        <v>1510487.16</v>
      </c>
      <c r="O273" s="7" t="s">
        <v>40</v>
      </c>
      <c r="P273" s="7" t="s">
        <v>905</v>
      </c>
      <c r="Q273" s="11">
        <f>N273/727.89</f>
        <v>2075.1585541771419</v>
      </c>
      <c r="R273" s="7" t="s">
        <v>42</v>
      </c>
      <c r="S273" s="15">
        <v>352</v>
      </c>
      <c r="T273" s="7" t="s">
        <v>43</v>
      </c>
      <c r="U273" s="7" t="s">
        <v>584</v>
      </c>
      <c r="V273" s="13">
        <f>'[1]V, inciso o) (OP)'!AD132</f>
        <v>42716</v>
      </c>
      <c r="W273" s="13">
        <f>'[1]V, inciso o) (OP)'!AE132</f>
        <v>42836</v>
      </c>
      <c r="X273" s="7" t="s">
        <v>681</v>
      </c>
      <c r="Y273" s="7" t="s">
        <v>682</v>
      </c>
      <c r="Z273" s="7" t="s">
        <v>683</v>
      </c>
      <c r="AA273" s="7" t="s">
        <v>40</v>
      </c>
      <c r="AB273" s="7" t="s">
        <v>40</v>
      </c>
    </row>
    <row r="274" spans="1:28" ht="69.95" customHeight="1">
      <c r="A274" s="7">
        <v>2016</v>
      </c>
      <c r="B274" s="7" t="s">
        <v>64</v>
      </c>
      <c r="C274" s="7" t="str">
        <f>'[1]V, inciso o) (OP)'!C133</f>
        <v>DOPI-MUN-R33 BAN-AD-264-2016</v>
      </c>
      <c r="D274" s="13">
        <f>'[1]V, inciso o) (OP)'!V133</f>
        <v>42713</v>
      </c>
      <c r="E274" s="7" t="str">
        <f>'[1]V, inciso o) (OP)'!AA133</f>
        <v>Construcción de puente peatonal en el cruce de la calle Albañiles y calle Mirador, en la colonia Cabañitas, municipio de Zapopan, Jalisco.</v>
      </c>
      <c r="F274" s="7" t="s">
        <v>747</v>
      </c>
      <c r="G274" s="11">
        <f>'[1]V, inciso o) (OP)'!Y133</f>
        <v>1495874.33</v>
      </c>
      <c r="H274" s="7" t="s">
        <v>906</v>
      </c>
      <c r="I274" s="7" t="str">
        <f>'[1]V, inciso o) (OP)'!M133</f>
        <v>BRUNO</v>
      </c>
      <c r="J274" s="7" t="str">
        <f>'[1]V, inciso o) (OP)'!N133</f>
        <v>RUIZ</v>
      </c>
      <c r="K274" s="7" t="str">
        <f>'[1]V, inciso o) (OP)'!O133</f>
        <v>CASTAÑEDA</v>
      </c>
      <c r="L274" s="7" t="str">
        <f>'[1]V, inciso o) (OP)'!P133</f>
        <v>SERVICIOS DE INGENIERIA APLICADA, S.A. DE C.V.</v>
      </c>
      <c r="M274" s="7" t="str">
        <f>'[1]V, inciso o) (OP)'!Q133</f>
        <v>SIA011224UN1</v>
      </c>
      <c r="N274" s="11">
        <f>'[1]V, inciso o) (OP)'!Y133</f>
        <v>1495874.33</v>
      </c>
      <c r="O274" s="7"/>
      <c r="P274" s="7" t="s">
        <v>907</v>
      </c>
      <c r="Q274" s="11">
        <f>N274/20</f>
        <v>74793.71650000001</v>
      </c>
      <c r="R274" s="7" t="s">
        <v>42</v>
      </c>
      <c r="S274" s="15">
        <v>600</v>
      </c>
      <c r="T274" s="7" t="s">
        <v>43</v>
      </c>
      <c r="U274" s="7" t="s">
        <v>584</v>
      </c>
      <c r="V274" s="13">
        <f>'[1]V, inciso o) (OP)'!AD133</f>
        <v>42716</v>
      </c>
      <c r="W274" s="13">
        <f>'[1]V, inciso o) (OP)'!AE133</f>
        <v>42836</v>
      </c>
      <c r="X274" s="7" t="s">
        <v>681</v>
      </c>
      <c r="Y274" s="7" t="s">
        <v>682</v>
      </c>
      <c r="Z274" s="7" t="s">
        <v>683</v>
      </c>
      <c r="AA274" s="7" t="s">
        <v>40</v>
      </c>
      <c r="AB274" s="7" t="s">
        <v>40</v>
      </c>
    </row>
    <row r="275" spans="1:28" ht="69.95" customHeight="1">
      <c r="A275" s="7">
        <v>2016</v>
      </c>
      <c r="B275" s="7" t="s">
        <v>64</v>
      </c>
      <c r="C275" s="7" t="str">
        <f>'[1]V, inciso o) (OP)'!C134</f>
        <v>DOPI-MUN-R33-ELE-AD-265-2016</v>
      </c>
      <c r="D275" s="13">
        <f>'[1]V, inciso o) (OP)'!V134</f>
        <v>42713</v>
      </c>
      <c r="E275" s="7" t="str">
        <f>'[1]V, inciso o) (OP)'!AA134</f>
        <v>Electrificación en la calle La Sidra, de calle Naranjo a 700 m,  en la localidad San Esteban,  en el municipio de Zapopan, Jalisco.</v>
      </c>
      <c r="F275" s="7" t="s">
        <v>747</v>
      </c>
      <c r="G275" s="11">
        <f>'[1]V, inciso o) (OP)'!Y134</f>
        <v>1475654.13</v>
      </c>
      <c r="H275" s="7" t="s">
        <v>908</v>
      </c>
      <c r="I275" s="7" t="str">
        <f>'[1]V, inciso o) (OP)'!M134</f>
        <v xml:space="preserve">HÉCTOR ALEJANDRO </v>
      </c>
      <c r="J275" s="7" t="str">
        <f>'[1]V, inciso o) (OP)'!N134</f>
        <v xml:space="preserve">ORTEGA </v>
      </c>
      <c r="K275" s="7" t="str">
        <f>'[1]V, inciso o) (OP)'!O134</f>
        <v>ROSALES</v>
      </c>
      <c r="L275" s="7" t="str">
        <f>'[1]V, inciso o) (OP)'!P134</f>
        <v>IME SERVICIOS Y SUMINISTROS, S.A. DE C.V.</v>
      </c>
      <c r="M275" s="7" t="str">
        <f>'[1]V, inciso o) (OP)'!Q134</f>
        <v>ISS920330811</v>
      </c>
      <c r="N275" s="11">
        <f>'[1]V, inciso o) (OP)'!Y134</f>
        <v>1475654.13</v>
      </c>
      <c r="O275" s="7" t="s">
        <v>40</v>
      </c>
      <c r="P275" s="7" t="s">
        <v>909</v>
      </c>
      <c r="Q275" s="11">
        <f>N275/1285</f>
        <v>1148.3689727626459</v>
      </c>
      <c r="R275" s="7" t="s">
        <v>42</v>
      </c>
      <c r="S275" s="15">
        <v>3726</v>
      </c>
      <c r="T275" s="7" t="s">
        <v>43</v>
      </c>
      <c r="U275" s="7" t="s">
        <v>584</v>
      </c>
      <c r="V275" s="13">
        <f>'[1]V, inciso o) (OP)'!AD134</f>
        <v>42716</v>
      </c>
      <c r="W275" s="13">
        <f>'[1]V, inciso o) (OP)'!AE134</f>
        <v>42866</v>
      </c>
      <c r="X275" s="7" t="s">
        <v>640</v>
      </c>
      <c r="Y275" s="7" t="s">
        <v>496</v>
      </c>
      <c r="Z275" s="7" t="s">
        <v>749</v>
      </c>
      <c r="AA275" s="7" t="s">
        <v>40</v>
      </c>
      <c r="AB275" s="7" t="s">
        <v>40</v>
      </c>
    </row>
    <row r="276" spans="1:28" ht="69.95" customHeight="1">
      <c r="A276" s="7">
        <v>2016</v>
      </c>
      <c r="B276" s="7" t="s">
        <v>64</v>
      </c>
      <c r="C276" s="7" t="str">
        <f>'[1]V, inciso o) (OP)'!C135</f>
        <v>DOPI-MUN-R33-ELE-AD-266-2016</v>
      </c>
      <c r="D276" s="13">
        <f>'[1]V, inciso o) (OP)'!V135</f>
        <v>42713</v>
      </c>
      <c r="E276" s="7" t="str">
        <f>'[1]V, inciso o) (OP)'!AA135</f>
        <v xml:space="preserve">Línea de electrificación de pozo, en la localidad Milpillas Mesa De San Juan, en el municipio de Zapopan, Jalisco. </v>
      </c>
      <c r="F276" s="7" t="s">
        <v>747</v>
      </c>
      <c r="G276" s="11">
        <f>'[1]V, inciso o) (OP)'!Y135</f>
        <v>1497365.47</v>
      </c>
      <c r="H276" s="7" t="s">
        <v>910</v>
      </c>
      <c r="I276" s="7" t="str">
        <f>'[1]V, inciso o) (OP)'!M135</f>
        <v>JOSUE FERNANDO RAFAEL</v>
      </c>
      <c r="J276" s="7" t="str">
        <f>'[1]V, inciso o) (OP)'!N135</f>
        <v>ESCANES</v>
      </c>
      <c r="K276" s="7" t="str">
        <f>'[1]V, inciso o) (OP)'!O135</f>
        <v>TAMES</v>
      </c>
      <c r="L276" s="7" t="str">
        <f>'[1]V, inciso o) (OP)'!P135</f>
        <v>JALCO ILUMINACION, S.A. DE C.V.</v>
      </c>
      <c r="M276" s="7" t="str">
        <f>'[1]V, inciso o) (OP)'!Q135</f>
        <v>JIL9410139F9</v>
      </c>
      <c r="N276" s="11">
        <f>'[1]V, inciso o) (OP)'!Y135</f>
        <v>1497365.47</v>
      </c>
      <c r="O276" s="7" t="s">
        <v>40</v>
      </c>
      <c r="P276" s="7" t="s">
        <v>51</v>
      </c>
      <c r="Q276" s="11">
        <f>N276</f>
        <v>1497365.47</v>
      </c>
      <c r="R276" s="7" t="s">
        <v>42</v>
      </c>
      <c r="S276" s="15">
        <v>86</v>
      </c>
      <c r="T276" s="7" t="s">
        <v>43</v>
      </c>
      <c r="U276" s="7" t="s">
        <v>584</v>
      </c>
      <c r="V276" s="13">
        <f>'[1]V, inciso o) (OP)'!AD135</f>
        <v>42716</v>
      </c>
      <c r="W276" s="13">
        <f>'[1]V, inciso o) (OP)'!AE135</f>
        <v>42866</v>
      </c>
      <c r="X276" s="7" t="s">
        <v>640</v>
      </c>
      <c r="Y276" s="7" t="s">
        <v>496</v>
      </c>
      <c r="Z276" s="7" t="s">
        <v>749</v>
      </c>
      <c r="AA276" s="7" t="s">
        <v>40</v>
      </c>
      <c r="AB276" s="7" t="s">
        <v>40</v>
      </c>
    </row>
    <row r="277" spans="1:28" ht="69.95" customHeight="1">
      <c r="A277" s="7">
        <v>2016</v>
      </c>
      <c r="B277" s="7" t="s">
        <v>64</v>
      </c>
      <c r="C277" s="7" t="str">
        <f>'[1]V, inciso o) (OP)'!C136</f>
        <v>DOPI-MUN-RM-IM-AD-267-2016</v>
      </c>
      <c r="D277" s="13">
        <f>'[1]V, inciso o) (OP)'!V136</f>
        <v>42713</v>
      </c>
      <c r="E277" s="7"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277" s="7" t="s">
        <v>184</v>
      </c>
      <c r="G277" s="11">
        <f>'[1]V, inciso o) (OP)'!Y136</f>
        <v>1390897.36</v>
      </c>
      <c r="H277" s="7" t="s">
        <v>911</v>
      </c>
      <c r="I277" s="7" t="str">
        <f>'[1]V, inciso o) (OP)'!M136</f>
        <v xml:space="preserve">RAFAEL </v>
      </c>
      <c r="J277" s="7" t="str">
        <f>'[1]V, inciso o) (OP)'!N136</f>
        <v>ARREGUIN</v>
      </c>
      <c r="K277" s="7" t="str">
        <f>'[1]V, inciso o) (OP)'!O136</f>
        <v>RENTERIA</v>
      </c>
      <c r="L277" s="7" t="str">
        <f>'[1]V, inciso o) (OP)'!P136</f>
        <v xml:space="preserve">ARH DESARROLLOS INMOBILIARIOS, S.A. DE C.V. </v>
      </c>
      <c r="M277" s="7" t="str">
        <f>'[1]V, inciso o) (OP)'!Q136</f>
        <v>ADI130522MB7</v>
      </c>
      <c r="N277" s="11">
        <f>'[1]V, inciso o) (OP)'!Y136</f>
        <v>1390897.36</v>
      </c>
      <c r="O277" s="7" t="s">
        <v>40</v>
      </c>
      <c r="P277" s="7" t="s">
        <v>912</v>
      </c>
      <c r="Q277" s="11">
        <f>N277/1380</f>
        <v>1007.8966376811595</v>
      </c>
      <c r="R277" s="7" t="s">
        <v>42</v>
      </c>
      <c r="S277" s="15">
        <v>1263</v>
      </c>
      <c r="T277" s="7" t="s">
        <v>43</v>
      </c>
      <c r="U277" s="7" t="s">
        <v>584</v>
      </c>
      <c r="V277" s="13">
        <f>'[1]V, inciso o) (OP)'!AD136</f>
        <v>42716</v>
      </c>
      <c r="W277" s="13">
        <f>'[1]V, inciso o) (OP)'!AE136</f>
        <v>42746</v>
      </c>
      <c r="X277" s="7" t="s">
        <v>842</v>
      </c>
      <c r="Y277" s="7" t="s">
        <v>519</v>
      </c>
      <c r="Z277" s="7" t="s">
        <v>63</v>
      </c>
      <c r="AA277" s="7" t="s">
        <v>40</v>
      </c>
      <c r="AB277" s="7" t="s">
        <v>40</v>
      </c>
    </row>
    <row r="278" spans="1:28" ht="69.95" customHeight="1">
      <c r="A278" s="7">
        <v>2016</v>
      </c>
      <c r="B278" s="7" t="s">
        <v>64</v>
      </c>
      <c r="C278" s="7" t="str">
        <f>'[1]V, inciso o) (OP)'!C137</f>
        <v>DOPI-MUN-RM-IM-AD-268-2016</v>
      </c>
      <c r="D278" s="13">
        <f>'[1]V, inciso o) (OP)'!V137</f>
        <v>42713</v>
      </c>
      <c r="E278" s="7"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278" s="7" t="s">
        <v>184</v>
      </c>
      <c r="G278" s="11">
        <f>'[1]V, inciso o) (OP)'!Y137</f>
        <v>1472678.88</v>
      </c>
      <c r="H278" s="7" t="s">
        <v>913</v>
      </c>
      <c r="I278" s="7" t="str">
        <f>'[1]V, inciso o) (OP)'!M137</f>
        <v xml:space="preserve">GUILLERMO </v>
      </c>
      <c r="J278" s="7" t="str">
        <f>'[1]V, inciso o) (OP)'!N137</f>
        <v>RODRIGUEZ</v>
      </c>
      <c r="K278" s="7" t="str">
        <f>'[1]V, inciso o) (OP)'!O137</f>
        <v>MEZA</v>
      </c>
      <c r="L278" s="7" t="str">
        <f>'[1]V, inciso o) (OP)'!P137</f>
        <v>CORPORATIVO ALMIRA DE JALISCO, S.A. DE C.V.</v>
      </c>
      <c r="M278" s="7" t="str">
        <f>'[1]V, inciso o) (OP)'!Q137</f>
        <v>CAJ1208151M8</v>
      </c>
      <c r="N278" s="11">
        <f>'[1]V, inciso o) (OP)'!Y137</f>
        <v>1472678.88</v>
      </c>
      <c r="O278" s="7" t="s">
        <v>40</v>
      </c>
      <c r="P278" s="7" t="s">
        <v>914</v>
      </c>
      <c r="Q278" s="11">
        <f>N278/1461.14</f>
        <v>1007.8971761775051</v>
      </c>
      <c r="R278" s="7" t="s">
        <v>42</v>
      </c>
      <c r="S278" s="15">
        <v>1158</v>
      </c>
      <c r="T278" s="7" t="s">
        <v>43</v>
      </c>
      <c r="U278" s="7" t="s">
        <v>584</v>
      </c>
      <c r="V278" s="13">
        <f>'[1]V, inciso o) (OP)'!AD137</f>
        <v>42716</v>
      </c>
      <c r="W278" s="13">
        <f>'[1]V, inciso o) (OP)'!AE137</f>
        <v>42776</v>
      </c>
      <c r="X278" s="7" t="s">
        <v>842</v>
      </c>
      <c r="Y278" s="7" t="s">
        <v>519</v>
      </c>
      <c r="Z278" s="7" t="s">
        <v>63</v>
      </c>
      <c r="AA278" s="7" t="s">
        <v>40</v>
      </c>
      <c r="AB278" s="7" t="s">
        <v>40</v>
      </c>
    </row>
    <row r="279" spans="1:28" ht="69.95" customHeight="1">
      <c r="A279" s="7">
        <v>2016</v>
      </c>
      <c r="B279" s="7" t="s">
        <v>64</v>
      </c>
      <c r="C279" s="7" t="str">
        <f>'[1]V, inciso o) (OP)'!C138</f>
        <v>DOPI-MUN-RM-PROY-AD-269-2016</v>
      </c>
      <c r="D279" s="13">
        <f>'[1]V, inciso o) (OP)'!V138</f>
        <v>42713</v>
      </c>
      <c r="E279" s="7" t="str">
        <f>'[1]V, inciso o) (OP)'!AA138</f>
        <v>Diagnóstico, diseño y proyectos hidráulicos 2016, segunda etapa, de diferentes redes de agua potable y alcantarillado, municipio de Zapopan Jalisco.</v>
      </c>
      <c r="F279" s="7" t="s">
        <v>184</v>
      </c>
      <c r="G279" s="11">
        <f>'[1]V, inciso o) (OP)'!Y138</f>
        <v>1095388.1499999999</v>
      </c>
      <c r="H279" s="7" t="s">
        <v>582</v>
      </c>
      <c r="I279" s="7" t="str">
        <f>'[1]V, inciso o) (OP)'!M138</f>
        <v xml:space="preserve">RODOLFO </v>
      </c>
      <c r="J279" s="7" t="str">
        <f>'[1]V, inciso o) (OP)'!N138</f>
        <v xml:space="preserve">VELAZQUEZ </v>
      </c>
      <c r="K279" s="7" t="str">
        <f>'[1]V, inciso o) (OP)'!O138</f>
        <v>ORDOÑEZ</v>
      </c>
      <c r="L279" s="7" t="str">
        <f>'[1]V, inciso o) (OP)'!P138</f>
        <v>VELAZQUEZ INGENIERIA ECOLOGICA, S.A. DE C.V.</v>
      </c>
      <c r="M279" s="7" t="str">
        <f>'[1]V, inciso o) (OP)'!Q138</f>
        <v>VIE110125RL4</v>
      </c>
      <c r="N279" s="11">
        <f>'[1]V, inciso o) (OP)'!Y138</f>
        <v>1095388.1499999999</v>
      </c>
      <c r="O279" s="7" t="s">
        <v>40</v>
      </c>
      <c r="P279" s="7" t="s">
        <v>855</v>
      </c>
      <c r="Q279" s="11">
        <f>N279</f>
        <v>1095388.1499999999</v>
      </c>
      <c r="R279" s="7" t="s">
        <v>232</v>
      </c>
      <c r="S279" s="15" t="s">
        <v>232</v>
      </c>
      <c r="T279" s="7" t="s">
        <v>43</v>
      </c>
      <c r="U279" s="7" t="s">
        <v>584</v>
      </c>
      <c r="V279" s="13">
        <f>'[1]V, inciso o) (OP)'!AD138</f>
        <v>42716</v>
      </c>
      <c r="W279" s="13">
        <f>'[1]V, inciso o) (OP)'!AE138</f>
        <v>42866</v>
      </c>
      <c r="X279" s="7" t="s">
        <v>915</v>
      </c>
      <c r="Y279" s="7" t="s">
        <v>916</v>
      </c>
      <c r="Z279" s="7" t="s">
        <v>245</v>
      </c>
      <c r="AA279" s="7" t="s">
        <v>40</v>
      </c>
      <c r="AB279" s="7" t="s">
        <v>40</v>
      </c>
    </row>
    <row r="280" spans="1:28" ht="69.95" customHeight="1">
      <c r="A280" s="7">
        <v>2016</v>
      </c>
      <c r="B280" s="7" t="s">
        <v>64</v>
      </c>
      <c r="C280" s="7" t="str">
        <f>'[1]V, inciso o) (OP)'!C139</f>
        <v>DOPI-MUN-RM-IM-AD-270-2016</v>
      </c>
      <c r="D280" s="13">
        <f>'[1]V, inciso o) (OP)'!V139</f>
        <v>42713</v>
      </c>
      <c r="E280" s="7" t="str">
        <f>'[1]V, inciso o) (OP)'!AA139</f>
        <v>Rehabilitación de baños públicos en el Centro Acuatico Zapopan, Unidad Deportiva Francisco Villa y en la Unidad Deportiva Base Aérea, Municipio de Zapopan, Jalisco.</v>
      </c>
      <c r="F280" s="7" t="s">
        <v>184</v>
      </c>
      <c r="G280" s="11">
        <f>'[1]V, inciso o) (OP)'!Y139</f>
        <v>1485215.47</v>
      </c>
      <c r="H280" s="7" t="s">
        <v>582</v>
      </c>
      <c r="I280" s="7" t="str">
        <f>'[1]V, inciso o) (OP)'!M139</f>
        <v xml:space="preserve">JUAN RAUL </v>
      </c>
      <c r="J280" s="7" t="str">
        <f>'[1]V, inciso o) (OP)'!N139</f>
        <v>RODRIGUEZ</v>
      </c>
      <c r="K280" s="7" t="str">
        <f>'[1]V, inciso o) (OP)'!O139</f>
        <v>GUERRERO</v>
      </c>
      <c r="L280" s="7" t="str">
        <f>'[1]V, inciso o) (OP)'!P139</f>
        <v xml:space="preserve">SUMA TERRA OBRAS Y PROYECTOS, S.A. DE C.V. </v>
      </c>
      <c r="M280" s="7" t="str">
        <f>'[1]V, inciso o) (OP)'!Q139</f>
        <v>STO0707062J9</v>
      </c>
      <c r="N280" s="11">
        <f>'[1]V, inciso o) (OP)'!Y139</f>
        <v>1485215.47</v>
      </c>
      <c r="O280" s="7" t="s">
        <v>40</v>
      </c>
      <c r="P280" s="7">
        <v>115.21</v>
      </c>
      <c r="Q280" s="11">
        <f>N280/115.21</f>
        <v>12891.376356219078</v>
      </c>
      <c r="R280" s="7" t="s">
        <v>42</v>
      </c>
      <c r="S280" s="15">
        <v>1865</v>
      </c>
      <c r="T280" s="7" t="s">
        <v>43</v>
      </c>
      <c r="U280" s="7" t="s">
        <v>584</v>
      </c>
      <c r="V280" s="13">
        <f>'[1]V, inciso o) (OP)'!AD139</f>
        <v>42716</v>
      </c>
      <c r="W280" s="13">
        <f>'[1]V, inciso o) (OP)'!AE139</f>
        <v>42806</v>
      </c>
      <c r="X280" s="7" t="s">
        <v>686</v>
      </c>
      <c r="Y280" s="7" t="s">
        <v>687</v>
      </c>
      <c r="Z280" s="7" t="s">
        <v>268</v>
      </c>
      <c r="AA280" s="7" t="s">
        <v>40</v>
      </c>
      <c r="AB280" s="7" t="s">
        <v>40</v>
      </c>
    </row>
    <row r="281" spans="1:28" ht="69.95" customHeight="1">
      <c r="A281" s="7">
        <v>2016</v>
      </c>
      <c r="B281" s="7" t="s">
        <v>64</v>
      </c>
      <c r="C281" s="7" t="str">
        <f>'[1]V, inciso o) (OP)'!C140</f>
        <v>DOPI-MUN-RM-IM-AD-272-2016</v>
      </c>
      <c r="D281" s="13">
        <f>'[1]V, inciso o) (OP)'!V140</f>
        <v>42713</v>
      </c>
      <c r="E281" s="7" t="str">
        <f>'[1]V, inciso o) (OP)'!AA140</f>
        <v>Rehabilitación de baños públicos en la Unidad Deportiva El Vergel, Unidad Deportiva Santa Margarita "Las Margaritas" y en la Unidad Deportiva Santa Ana Tepetitlán, municipio de Zapopan, Jalisco</v>
      </c>
      <c r="F281" s="7" t="s">
        <v>184</v>
      </c>
      <c r="G281" s="11">
        <f>'[1]V, inciso o) (OP)'!Y140</f>
        <v>1450236.87</v>
      </c>
      <c r="H281" s="7" t="s">
        <v>917</v>
      </c>
      <c r="I281" s="7" t="str">
        <f>'[1]V, inciso o) (OP)'!M140</f>
        <v xml:space="preserve">ARTURO </v>
      </c>
      <c r="J281" s="7" t="str">
        <f>'[1]V, inciso o) (OP)'!N140</f>
        <v>DISTANCIA</v>
      </c>
      <c r="K281" s="7" t="str">
        <f>'[1]V, inciso o) (OP)'!O140</f>
        <v>SANCHEZ</v>
      </c>
      <c r="L281" s="7" t="str">
        <f>'[1]V, inciso o) (OP)'!P140</f>
        <v>JAVAX CONSULTORES, S.A. DE C.V.</v>
      </c>
      <c r="M281" s="7" t="str">
        <f>'[1]V, inciso o) (OP)'!Q140</f>
        <v>JCO160413SK4</v>
      </c>
      <c r="N281" s="11">
        <f>'[1]V, inciso o) (OP)'!Y140</f>
        <v>1450236.87</v>
      </c>
      <c r="O281" s="7" t="s">
        <v>40</v>
      </c>
      <c r="P281" s="7">
        <v>89.68</v>
      </c>
      <c r="Q281" s="11">
        <f>N281/89.68</f>
        <v>16171.240744870651</v>
      </c>
      <c r="R281" s="7" t="s">
        <v>42</v>
      </c>
      <c r="S281" s="15">
        <v>6522</v>
      </c>
      <c r="T281" s="7" t="s">
        <v>43</v>
      </c>
      <c r="U281" s="7" t="s">
        <v>584</v>
      </c>
      <c r="V281" s="13">
        <f>'[1]V, inciso o) (OP)'!AD140</f>
        <v>42716</v>
      </c>
      <c r="W281" s="13">
        <f>'[1]V, inciso o) (OP)'!AE140</f>
        <v>42806</v>
      </c>
      <c r="X281" s="7" t="s">
        <v>686</v>
      </c>
      <c r="Y281" s="7" t="s">
        <v>687</v>
      </c>
      <c r="Z281" s="7" t="s">
        <v>268</v>
      </c>
      <c r="AA281" s="9" t="s">
        <v>1312</v>
      </c>
      <c r="AB281" s="7" t="s">
        <v>40</v>
      </c>
    </row>
    <row r="282" spans="1:28" ht="69.95" customHeight="1">
      <c r="A282" s="7">
        <v>2016</v>
      </c>
      <c r="B282" s="7" t="s">
        <v>64</v>
      </c>
      <c r="C282" s="7" t="str">
        <f>'[1]V, inciso o) (OP)'!C141</f>
        <v>DOPI-MUN-RM-ELE-AD-274-2016</v>
      </c>
      <c r="D282" s="13">
        <f>'[1]V, inciso o) (OP)'!V141</f>
        <v>42713</v>
      </c>
      <c r="E282" s="7" t="str">
        <f>'[1]V, inciso o) (OP)'!AA141</f>
        <v>Suministro e instalación de sistema de pararrayos en el Centro Cultural Constitución, municipio de Zapopan, Jalisco</v>
      </c>
      <c r="F282" s="7" t="s">
        <v>184</v>
      </c>
      <c r="G282" s="11">
        <f>'[1]V, inciso o) (OP)'!Y141</f>
        <v>569255.19400000002</v>
      </c>
      <c r="H282" s="7" t="s">
        <v>707</v>
      </c>
      <c r="I282" s="7" t="str">
        <f>'[1]V, inciso o) (OP)'!M141</f>
        <v>PIA LORENA</v>
      </c>
      <c r="J282" s="7" t="str">
        <f>'[1]V, inciso o) (OP)'!N141</f>
        <v>BUENROSTRO</v>
      </c>
      <c r="K282" s="7" t="str">
        <f>'[1]V, inciso o) (OP)'!O141</f>
        <v>AHUED</v>
      </c>
      <c r="L282" s="7" t="str">
        <f>'[1]V, inciso o) (OP)'!P141</f>
        <v>BIRMEK CONSTRUCCIONES, S.A. DE C.V.</v>
      </c>
      <c r="M282" s="7" t="str">
        <f>'[1]V, inciso o) (OP)'!Q141</f>
        <v>BCO070129512</v>
      </c>
      <c r="N282" s="11">
        <f>'[1]V, inciso o) (OP)'!Y141</f>
        <v>569255.19400000002</v>
      </c>
      <c r="O282" s="7" t="s">
        <v>40</v>
      </c>
      <c r="P282" s="7" t="s">
        <v>51</v>
      </c>
      <c r="Q282" s="11">
        <f>N282</f>
        <v>569255.19400000002</v>
      </c>
      <c r="R282" s="7" t="s">
        <v>42</v>
      </c>
      <c r="S282" s="15">
        <v>25652</v>
      </c>
      <c r="T282" s="7" t="s">
        <v>43</v>
      </c>
      <c r="U282" s="7" t="s">
        <v>44</v>
      </c>
      <c r="V282" s="13">
        <f>'[1]V, inciso o) (OP)'!AD141</f>
        <v>42716</v>
      </c>
      <c r="W282" s="13">
        <f>'[1]V, inciso o) (OP)'!AE141</f>
        <v>42766</v>
      </c>
      <c r="X282" s="7" t="s">
        <v>650</v>
      </c>
      <c r="Y282" s="7" t="s">
        <v>651</v>
      </c>
      <c r="Z282" s="7" t="s">
        <v>652</v>
      </c>
      <c r="AA282" s="9" t="s">
        <v>1313</v>
      </c>
      <c r="AB282" s="7" t="s">
        <v>40</v>
      </c>
    </row>
    <row r="283" spans="1:28" ht="69.95" customHeight="1">
      <c r="A283" s="7">
        <v>2016</v>
      </c>
      <c r="B283" s="7" t="s">
        <v>64</v>
      </c>
      <c r="C283" s="7" t="str">
        <f>'[1]V, inciso o) (OP)'!C142</f>
        <v>DOPI-MUN-RM-PAV-AD-275-2016</v>
      </c>
      <c r="D283" s="13">
        <f>'[1]V, inciso o) (OP)'!V142</f>
        <v>42713</v>
      </c>
      <c r="E283" s="7" t="str">
        <f>'[1]V, inciso o) (OP)'!AA142</f>
        <v>Pavimentación con concreto asfáltico en el retorno Periférico Sur hacía Av, Santa Esther y en el retorno Periférico Norte hacía Av. Juan Pablo II, municipio de Zapopan, Jalisco</v>
      </c>
      <c r="F283" s="7" t="s">
        <v>184</v>
      </c>
      <c r="G283" s="11">
        <f>'[1]V, inciso o) (OP)'!Y142</f>
        <v>876527.94</v>
      </c>
      <c r="H283" s="7" t="s">
        <v>844</v>
      </c>
      <c r="I283" s="7" t="str">
        <f>'[1]V, inciso o) (OP)'!M142</f>
        <v>JESUS DAVID</v>
      </c>
      <c r="J283" s="7" t="str">
        <f>'[1]V, inciso o) (OP)'!N142</f>
        <v xml:space="preserve">GARZA </v>
      </c>
      <c r="K283" s="7" t="str">
        <f>'[1]V, inciso o) (OP)'!O142</f>
        <v>GARCIA</v>
      </c>
      <c r="L283" s="7" t="str">
        <f>'[1]V, inciso o) (OP)'!P142</f>
        <v>CONSTRUCCION GG, S.A. DE C.V.</v>
      </c>
      <c r="M283" s="7" t="str">
        <f>'[1]V, inciso o) (OP)'!Q142</f>
        <v>CGG040518F81</v>
      </c>
      <c r="N283" s="11">
        <f>'[1]V, inciso o) (OP)'!Y142</f>
        <v>876527.94</v>
      </c>
      <c r="O283" s="7" t="s">
        <v>40</v>
      </c>
      <c r="P283" s="7" t="s">
        <v>918</v>
      </c>
      <c r="Q283" s="11">
        <f>N283/1270</f>
        <v>690.17948031496064</v>
      </c>
      <c r="R283" s="7" t="s">
        <v>42</v>
      </c>
      <c r="S283" s="15">
        <v>258974</v>
      </c>
      <c r="T283" s="7" t="s">
        <v>43</v>
      </c>
      <c r="U283" s="7" t="s">
        <v>44</v>
      </c>
      <c r="V283" s="13">
        <f>'[1]V, inciso o) (OP)'!AD142</f>
        <v>42716</v>
      </c>
      <c r="W283" s="13">
        <f>'[1]V, inciso o) (OP)'!AE142</f>
        <v>42766</v>
      </c>
      <c r="X283" s="7" t="s">
        <v>846</v>
      </c>
      <c r="Y283" s="7" t="s">
        <v>847</v>
      </c>
      <c r="Z283" s="7" t="s">
        <v>848</v>
      </c>
      <c r="AA283" s="7" t="s">
        <v>40</v>
      </c>
      <c r="AB283" s="7" t="s">
        <v>40</v>
      </c>
    </row>
    <row r="284" spans="1:28" ht="69.95" customHeight="1">
      <c r="A284" s="7">
        <v>2016</v>
      </c>
      <c r="B284" s="7" t="s">
        <v>64</v>
      </c>
      <c r="C284" s="7" t="str">
        <f>'[1]V, inciso o) (OP)'!C143</f>
        <v>DOPI-MUN-RM-IH-AD-277-2016</v>
      </c>
      <c r="D284" s="13">
        <f>'[1]V, inciso o) (OP)'!V143</f>
        <v>42699</v>
      </c>
      <c r="E284" s="7" t="str">
        <f>'[1]V, inciso o) (OP)'!AA143</f>
        <v xml:space="preserve">Construcción de red de drenaje sanitario en la calle Malinalli, de la calle Cholollan a la calle Delli, colonia Mesa Colorada, municipio de Zapopan, Jalisco </v>
      </c>
      <c r="F284" s="7" t="s">
        <v>184</v>
      </c>
      <c r="G284" s="11">
        <f>'[1]V, inciso o) (OP)'!Y143</f>
        <v>924106.84</v>
      </c>
      <c r="H284" s="7" t="s">
        <v>919</v>
      </c>
      <c r="I284" s="7" t="str">
        <f>'[1]V, inciso o) (OP)'!M143</f>
        <v>JOSE ANTONIO</v>
      </c>
      <c r="J284" s="7" t="str">
        <f>'[1]V, inciso o) (OP)'!N143</f>
        <v>ALVAREZ</v>
      </c>
      <c r="K284" s="7" t="str">
        <f>'[1]V, inciso o) (OP)'!O143</f>
        <v>ZULOAGA</v>
      </c>
      <c r="L284" s="7" t="str">
        <f>'[1]V, inciso o) (OP)'!P143</f>
        <v>GRUPO DESARROLLADOR ALZU, S.A. DE C.V.</v>
      </c>
      <c r="M284" s="7" t="str">
        <f>'[1]V, inciso o) (OP)'!Q143</f>
        <v>GDA150928286</v>
      </c>
      <c r="N284" s="11">
        <f>'[1]V, inciso o) (OP)'!Y143</f>
        <v>924106.84</v>
      </c>
      <c r="O284" s="7" t="s">
        <v>40</v>
      </c>
      <c r="P284" s="7" t="s">
        <v>920</v>
      </c>
      <c r="Q284" s="11">
        <f>N284/660</f>
        <v>1400.1618787878788</v>
      </c>
      <c r="R284" s="7" t="s">
        <v>42</v>
      </c>
      <c r="S284" s="15">
        <v>342</v>
      </c>
      <c r="T284" s="7" t="s">
        <v>43</v>
      </c>
      <c r="U284" s="7" t="s">
        <v>44</v>
      </c>
      <c r="V284" s="13">
        <f>'[1]V, inciso o) (OP)'!AD143</f>
        <v>42702</v>
      </c>
      <c r="W284" s="13">
        <f>'[1]V, inciso o) (OP)'!AE143</f>
        <v>42750</v>
      </c>
      <c r="X284" s="7" t="s">
        <v>556</v>
      </c>
      <c r="Y284" s="7" t="s">
        <v>557</v>
      </c>
      <c r="Z284" s="7" t="s">
        <v>558</v>
      </c>
      <c r="AA284" s="7" t="s">
        <v>40</v>
      </c>
      <c r="AB284" s="7" t="s">
        <v>40</v>
      </c>
    </row>
    <row r="285" spans="1:28" ht="69.95" customHeight="1">
      <c r="A285" s="7">
        <v>2016</v>
      </c>
      <c r="B285" s="7" t="s">
        <v>64</v>
      </c>
      <c r="C285" s="7" t="str">
        <f>'[1]V, inciso o) (OP)'!C144</f>
        <v>DOPI-MUN-RM-IH-AD-278-2016</v>
      </c>
      <c r="D285" s="13">
        <f>'[1]V, inciso o) (OP)'!V144</f>
        <v>42706</v>
      </c>
      <c r="E285" s="7" t="str">
        <f>'[1]V, inciso o) (OP)'!AA144</f>
        <v>Instalación de tomas domiciliarias en la colonia Marcelino García Barragán, municipio de Zapopan, Jalisco</v>
      </c>
      <c r="F285" s="7" t="s">
        <v>184</v>
      </c>
      <c r="G285" s="11">
        <f>'[1]V, inciso o) (OP)'!Y144</f>
        <v>626297.09</v>
      </c>
      <c r="H285" s="7" t="s">
        <v>921</v>
      </c>
      <c r="I285" s="7" t="str">
        <f>'[1]V, inciso o) (OP)'!M144</f>
        <v>JAVIER</v>
      </c>
      <c r="J285" s="7" t="str">
        <f>'[1]V, inciso o) (OP)'!N144</f>
        <v xml:space="preserve">ÁVILA </v>
      </c>
      <c r="K285" s="7" t="str">
        <f>'[1]V, inciso o) (OP)'!O144</f>
        <v>FLORES</v>
      </c>
      <c r="L285" s="7" t="str">
        <f>'[1]V, inciso o) (OP)'!P144</f>
        <v>SAVHO CONSULTORÍA Y CONSTRUCCIÓN, S.A. DE C.V.</v>
      </c>
      <c r="M285" s="7" t="str">
        <f>'[1]V, inciso o) (OP)'!Q144</f>
        <v>SCC060622HZ3</v>
      </c>
      <c r="N285" s="11">
        <f>'[1]V, inciso o) (OP)'!Y144</f>
        <v>626297.09</v>
      </c>
      <c r="O285" s="7" t="s">
        <v>40</v>
      </c>
      <c r="P285" s="7" t="s">
        <v>922</v>
      </c>
      <c r="Q285" s="11">
        <f>N285/447</f>
        <v>1401.112058165548</v>
      </c>
      <c r="R285" s="7" t="s">
        <v>42</v>
      </c>
      <c r="S285" s="15">
        <v>185</v>
      </c>
      <c r="T285" s="7" t="s">
        <v>43</v>
      </c>
      <c r="U285" s="7" t="s">
        <v>44</v>
      </c>
      <c r="V285" s="13">
        <f>'[1]V, inciso o) (OP)'!AD144</f>
        <v>42709</v>
      </c>
      <c r="W285" s="13">
        <f>'[1]V, inciso o) (OP)'!AE144</f>
        <v>42754</v>
      </c>
      <c r="X285" s="7" t="s">
        <v>544</v>
      </c>
      <c r="Y285" s="7" t="s">
        <v>545</v>
      </c>
      <c r="Z285" s="7" t="s">
        <v>212</v>
      </c>
      <c r="AA285" s="7" t="s">
        <v>40</v>
      </c>
      <c r="AB285" s="7" t="s">
        <v>40</v>
      </c>
    </row>
    <row r="286" spans="1:28" ht="69.95" customHeight="1">
      <c r="A286" s="7">
        <v>2016</v>
      </c>
      <c r="B286" s="7" t="s">
        <v>64</v>
      </c>
      <c r="C286" s="7" t="str">
        <f>'[1]V, inciso o) (OP)'!C145</f>
        <v>DOPI-MUN-RM-SERV-AD-279-2016</v>
      </c>
      <c r="D286" s="13">
        <f>'[1]V, inciso o) (OP)'!V145</f>
        <v>42720</v>
      </c>
      <c r="E286" s="7" t="str">
        <f>'[1]V, inciso o) (OP)'!AA145</f>
        <v>Servicios de consultoría para la elaboración de bases, coordinación técnica del proceso de licitación, contratación y supervisión técnica de la ejecución del complejo C4 Zapopan, municipio de Zapopan, Jalisco</v>
      </c>
      <c r="F286" s="7" t="s">
        <v>67</v>
      </c>
      <c r="G286" s="11">
        <f>'[1]V, inciso o) (OP)'!Y145</f>
        <v>1214979.8</v>
      </c>
      <c r="H286" s="7" t="s">
        <v>231</v>
      </c>
      <c r="I286" s="7" t="str">
        <f>'[1]V, inciso o) (OP)'!M145</f>
        <v>DANIEL</v>
      </c>
      <c r="J286" s="7" t="str">
        <f>'[1]V, inciso o) (OP)'!N145</f>
        <v>SEGURA</v>
      </c>
      <c r="K286" s="7" t="str">
        <f>'[1]V, inciso o) (OP)'!O145</f>
        <v>URBANO</v>
      </c>
      <c r="L286" s="7" t="str">
        <f>'[1]V, inciso o) (OP)'!P145</f>
        <v>SEGURA URBANO  DANIEL</v>
      </c>
      <c r="M286" s="7" t="str">
        <f>'[1]V, inciso o) (OP)'!Q145</f>
        <v>SEUD690208177</v>
      </c>
      <c r="N286" s="11">
        <f>'[1]V, inciso o) (OP)'!Y145</f>
        <v>1214979.8</v>
      </c>
      <c r="O286" s="7" t="s">
        <v>40</v>
      </c>
      <c r="P286" s="7" t="s">
        <v>923</v>
      </c>
      <c r="Q286" s="11">
        <f>N286</f>
        <v>1214979.8</v>
      </c>
      <c r="R286" s="7" t="s">
        <v>232</v>
      </c>
      <c r="S286" s="15" t="s">
        <v>232</v>
      </c>
      <c r="T286" s="7" t="s">
        <v>43</v>
      </c>
      <c r="U286" s="7" t="s">
        <v>584</v>
      </c>
      <c r="V286" s="13">
        <f>'[1]V, inciso o) (OP)'!AD145</f>
        <v>42723</v>
      </c>
      <c r="W286" s="13">
        <f>'[1]V, inciso o) (OP)'!AE145</f>
        <v>42886</v>
      </c>
      <c r="X286" s="7" t="s">
        <v>924</v>
      </c>
      <c r="Y286" s="7" t="s">
        <v>925</v>
      </c>
      <c r="Z286" s="7" t="s">
        <v>263</v>
      </c>
      <c r="AA286" s="7" t="s">
        <v>40</v>
      </c>
      <c r="AB286" s="7" t="s">
        <v>40</v>
      </c>
    </row>
    <row r="287" spans="1:28" ht="69.95" customHeight="1">
      <c r="A287" s="7">
        <v>2016</v>
      </c>
      <c r="B287" s="7" t="s">
        <v>64</v>
      </c>
      <c r="C287" s="7" t="str">
        <f>'[1]V, inciso o) (OP)'!C146</f>
        <v>DOPI-MUN-R33-IH-AD-280-2016</v>
      </c>
      <c r="D287" s="13">
        <f>'[1]V, inciso o) (OP)'!V146</f>
        <v>42720</v>
      </c>
      <c r="E287" s="7" t="str">
        <f>'[1]V, inciso o) (OP)'!AA146</f>
        <v>Construcción de línea de agua potable en la colonia Prados de Santa Lucía, primera etapa, municipio de Zapopan, Jalisco.</v>
      </c>
      <c r="F287" s="7" t="s">
        <v>747</v>
      </c>
      <c r="G287" s="11">
        <f>'[1]V, inciso o) (OP)'!Y146</f>
        <v>825634.87</v>
      </c>
      <c r="H287" s="7" t="s">
        <v>926</v>
      </c>
      <c r="I287" s="7" t="str">
        <f>'[1]V, inciso o) (OP)'!M146</f>
        <v xml:space="preserve">RODOLFO </v>
      </c>
      <c r="J287" s="7" t="str">
        <f>'[1]V, inciso o) (OP)'!N146</f>
        <v xml:space="preserve">VELAZQUEZ </v>
      </c>
      <c r="K287" s="7" t="str">
        <f>'[1]V, inciso o) (OP)'!O146</f>
        <v>ORDOÑEZ</v>
      </c>
      <c r="L287" s="7" t="str">
        <f>'[1]V, inciso o) (OP)'!P146</f>
        <v>VELAZQUEZ INGENIERIA ECOLOGICA, S.A. DE C.V.</v>
      </c>
      <c r="M287" s="7" t="str">
        <f>'[1]V, inciso o) (OP)'!Q146</f>
        <v>VIE110125RL4</v>
      </c>
      <c r="N287" s="11">
        <f>'[1]V, inciso o) (OP)'!Y146</f>
        <v>825634.87</v>
      </c>
      <c r="O287" s="7" t="s">
        <v>40</v>
      </c>
      <c r="P287" s="7" t="s">
        <v>927</v>
      </c>
      <c r="Q287" s="11">
        <f>N287/564</f>
        <v>1463.8916134751773</v>
      </c>
      <c r="R287" s="7" t="s">
        <v>42</v>
      </c>
      <c r="S287" s="15">
        <v>2049</v>
      </c>
      <c r="T287" s="7" t="s">
        <v>43</v>
      </c>
      <c r="U287" s="7" t="s">
        <v>584</v>
      </c>
      <c r="V287" s="13">
        <f>'[1]V, inciso o) (OP)'!AD146</f>
        <v>42723</v>
      </c>
      <c r="W287" s="13">
        <f>'[1]V, inciso o) (OP)'!AE146</f>
        <v>42873</v>
      </c>
      <c r="X287" s="7" t="s">
        <v>671</v>
      </c>
      <c r="Y287" s="7" t="s">
        <v>334</v>
      </c>
      <c r="Z287" s="7" t="s">
        <v>133</v>
      </c>
      <c r="AA287" s="7" t="s">
        <v>40</v>
      </c>
      <c r="AB287" s="7" t="s">
        <v>40</v>
      </c>
    </row>
    <row r="288" spans="1:28" ht="69.95" customHeight="1">
      <c r="A288" s="7">
        <v>2016</v>
      </c>
      <c r="B288" s="7" t="s">
        <v>64</v>
      </c>
      <c r="C288" s="7" t="str">
        <f>'[1]V, inciso o) (OP)'!C147</f>
        <v>DOPI-MUN-R33-PAV-AD-281-2016</v>
      </c>
      <c r="D288" s="13">
        <f>'[1]V, inciso o) (OP)'!V147</f>
        <v>42720</v>
      </c>
      <c r="E288" s="7" t="str">
        <f>'[1]V, inciso o) (OP)'!AA147</f>
        <v>Pavimentación con concreto hidráulico en la calle Manzanos, colonia Agua Fría, incluye: agua potable, drenaje sanitario, guarniciones, banquetas, accesibilidad y servicios complementarios, en el municipio de Zapopan, Jalisco, frente 1.</v>
      </c>
      <c r="F288" s="7" t="s">
        <v>747</v>
      </c>
      <c r="G288" s="11">
        <f>'[1]V, inciso o) (OP)'!Y147</f>
        <v>1502354.73</v>
      </c>
      <c r="H288" s="7" t="s">
        <v>928</v>
      </c>
      <c r="I288" s="7" t="str">
        <f>'[1]V, inciso o) (OP)'!M147</f>
        <v>RAUL</v>
      </c>
      <c r="J288" s="7" t="str">
        <f>'[1]V, inciso o) (OP)'!N147</f>
        <v xml:space="preserve">ORTEGA </v>
      </c>
      <c r="K288" s="7" t="str">
        <f>'[1]V, inciso o) (OP)'!O147</f>
        <v>JARA</v>
      </c>
      <c r="L288" s="7" t="str">
        <f>'[1]V, inciso o) (OP)'!P147</f>
        <v>CONSTRUCCIONES ANAYARI, S.A. DE C.V.</v>
      </c>
      <c r="M288" s="7" t="str">
        <f>'[1]V, inciso o) (OP)'!Q147</f>
        <v>CAN030528ME0</v>
      </c>
      <c r="N288" s="11">
        <f>'[1]V, inciso o) (OP)'!Y147</f>
        <v>1502354.73</v>
      </c>
      <c r="O288" s="7" t="s">
        <v>40</v>
      </c>
      <c r="P288" s="7" t="s">
        <v>929</v>
      </c>
      <c r="Q288" s="11">
        <f>N288/1031</f>
        <v>1457.1820853540253</v>
      </c>
      <c r="R288" s="7" t="s">
        <v>42</v>
      </c>
      <c r="S288" s="15">
        <v>2754</v>
      </c>
      <c r="T288" s="7" t="s">
        <v>43</v>
      </c>
      <c r="U288" s="7" t="s">
        <v>584</v>
      </c>
      <c r="V288" s="13">
        <f>'[1]V, inciso o) (OP)'!AD147</f>
        <v>42723</v>
      </c>
      <c r="W288" s="13">
        <f>'[1]V, inciso o) (OP)'!AE147</f>
        <v>42873</v>
      </c>
      <c r="X288" s="7" t="s">
        <v>681</v>
      </c>
      <c r="Y288" s="7" t="s">
        <v>682</v>
      </c>
      <c r="Z288" s="7" t="s">
        <v>683</v>
      </c>
      <c r="AA288" s="7" t="s">
        <v>40</v>
      </c>
      <c r="AB288" s="7" t="s">
        <v>40</v>
      </c>
    </row>
    <row r="289" spans="1:28" ht="69.95" customHeight="1">
      <c r="A289" s="7">
        <v>2016</v>
      </c>
      <c r="B289" s="7" t="s">
        <v>64</v>
      </c>
      <c r="C289" s="7" t="str">
        <f>'[1]V, inciso o) (OP)'!C148</f>
        <v>DOPI-MUN-R33-PAV-AD-282-2016</v>
      </c>
      <c r="D289" s="13">
        <f>'[1]V, inciso o) (OP)'!V148</f>
        <v>42720</v>
      </c>
      <c r="E289" s="7" t="str">
        <f>'[1]V, inciso o) (OP)'!AA148</f>
        <v>Pavimentación con concreto hidráulico en la calle Manzanos, colonia Agua Fría, incluye: agua potable, drenaje sanitario, guarniciones, banquetas, accesibilidad y servicios complementarios, en el municipio de Zapopan, Jalisco, frente 2.</v>
      </c>
      <c r="F289" s="7" t="s">
        <v>747</v>
      </c>
      <c r="G289" s="11">
        <f>'[1]V, inciso o) (OP)'!Y148</f>
        <v>1495225.08</v>
      </c>
      <c r="H289" s="7" t="s">
        <v>928</v>
      </c>
      <c r="I289" s="7" t="str">
        <f>'[1]V, inciso o) (OP)'!M148</f>
        <v>CARLOS</v>
      </c>
      <c r="J289" s="7" t="str">
        <f>'[1]V, inciso o) (OP)'!N148</f>
        <v>PEREZ</v>
      </c>
      <c r="K289" s="7" t="str">
        <f>'[1]V, inciso o) (OP)'!O148</f>
        <v>CRUZ</v>
      </c>
      <c r="L289" s="7" t="str">
        <f>'[1]V, inciso o) (OP)'!P148</f>
        <v>CONSTRUCTORA PECRU, S.A. DE C.V.</v>
      </c>
      <c r="M289" s="7" t="str">
        <f>'[1]V, inciso o) (OP)'!Q148</f>
        <v>CPE070123PD4</v>
      </c>
      <c r="N289" s="11">
        <f>'[1]V, inciso o) (OP)'!Y148</f>
        <v>1495225.08</v>
      </c>
      <c r="O289" s="7" t="s">
        <v>40</v>
      </c>
      <c r="P289" s="7" t="s">
        <v>930</v>
      </c>
      <c r="Q289" s="11">
        <f>N289/1027</f>
        <v>1455.915365141188</v>
      </c>
      <c r="R289" s="7" t="s">
        <v>42</v>
      </c>
      <c r="S289" s="15">
        <v>2754</v>
      </c>
      <c r="T289" s="7" t="s">
        <v>43</v>
      </c>
      <c r="U289" s="7" t="s">
        <v>584</v>
      </c>
      <c r="V289" s="13">
        <f>'[1]V, inciso o) (OP)'!AD148</f>
        <v>42723</v>
      </c>
      <c r="W289" s="13">
        <f>'[1]V, inciso o) (OP)'!AE148</f>
        <v>42873</v>
      </c>
      <c r="X289" s="7" t="s">
        <v>681</v>
      </c>
      <c r="Y289" s="7" t="s">
        <v>682</v>
      </c>
      <c r="Z289" s="7" t="s">
        <v>683</v>
      </c>
      <c r="AA289" s="7" t="s">
        <v>40</v>
      </c>
      <c r="AB289" s="7" t="s">
        <v>40</v>
      </c>
    </row>
    <row r="290" spans="1:28" ht="69.95" customHeight="1">
      <c r="A290" s="7">
        <v>2016</v>
      </c>
      <c r="B290" s="7" t="s">
        <v>64</v>
      </c>
      <c r="C290" s="7" t="str">
        <f>'[1]V, inciso o) (OP)'!C149</f>
        <v>DOPI-MUN-R33-IH-AD-283-2016</v>
      </c>
      <c r="D290" s="13">
        <f>'[1]V, inciso o) (OP)'!V149</f>
        <v>42720</v>
      </c>
      <c r="E290" s="7" t="str">
        <f>'[1]V, inciso o) (OP)'!AA149</f>
        <v>Construcción de línea drenaje sanitario en la calle Miguel Hidalgo, de calle Josefa Ortíz de Domínguez a Cerrada, en la colonia Indígena de Mezquitan Sección I, en el municipio de Zapopan, Jalisco.</v>
      </c>
      <c r="F290" s="7" t="s">
        <v>747</v>
      </c>
      <c r="G290" s="11">
        <f>'[1]V, inciso o) (OP)'!Y149</f>
        <v>702114.36</v>
      </c>
      <c r="H290" s="7" t="s">
        <v>931</v>
      </c>
      <c r="I290" s="7" t="str">
        <f>'[1]V, inciso o) (OP)'!M149</f>
        <v>ABIMAEL</v>
      </c>
      <c r="J290" s="7" t="str">
        <f>'[1]V, inciso o) (OP)'!N149</f>
        <v>MONTUFAR</v>
      </c>
      <c r="K290" s="7" t="str">
        <f>'[1]V, inciso o) (OP)'!O149</f>
        <v>LOPEZ</v>
      </c>
      <c r="L290" s="7" t="str">
        <f>'[1]V, inciso o) (OP)'!P149</f>
        <v>CONSTRUCTORA ACUIFERO, S.A. DE C.V.</v>
      </c>
      <c r="M290" s="7" t="str">
        <f>'[1]V, inciso o) (OP)'!Q149</f>
        <v>CAC1308225S7</v>
      </c>
      <c r="N290" s="11">
        <f>'[1]V, inciso o) (OP)'!Y149</f>
        <v>702114.36</v>
      </c>
      <c r="O290" s="7" t="s">
        <v>40</v>
      </c>
      <c r="P290" s="7" t="s">
        <v>932</v>
      </c>
      <c r="Q290" s="11">
        <f>N290/355</f>
        <v>1977.7869295774647</v>
      </c>
      <c r="R290" s="7" t="s">
        <v>42</v>
      </c>
      <c r="S290" s="15">
        <v>344</v>
      </c>
      <c r="T290" s="7" t="s">
        <v>43</v>
      </c>
      <c r="U290" s="7" t="s">
        <v>584</v>
      </c>
      <c r="V290" s="13">
        <f>'[1]V, inciso o) (OP)'!AD149</f>
        <v>42723</v>
      </c>
      <c r="W290" s="13">
        <f>'[1]V, inciso o) (OP)'!AE149</f>
        <v>42873</v>
      </c>
      <c r="X290" s="7" t="s">
        <v>671</v>
      </c>
      <c r="Y290" s="7" t="s">
        <v>334</v>
      </c>
      <c r="Z290" s="7" t="s">
        <v>133</v>
      </c>
      <c r="AA290" s="7" t="s">
        <v>40</v>
      </c>
      <c r="AB290" s="7" t="s">
        <v>40</v>
      </c>
    </row>
    <row r="291" spans="1:28" ht="69.95" customHeight="1">
      <c r="A291" s="7">
        <v>2017</v>
      </c>
      <c r="B291" s="7" t="s">
        <v>296</v>
      </c>
      <c r="C291" s="7" t="str">
        <f>'[1]V, inciso p) (OP)'!D148</f>
        <v>DOPI-MUN-RM-PAV-CI-001-2017</v>
      </c>
      <c r="D291" s="13">
        <f>'[1]V, inciso p) (OP)'!AD148</f>
        <v>42790</v>
      </c>
      <c r="E291" s="7" t="str">
        <f>'[1]V, inciso p) (OP)'!AL148</f>
        <v>Rehabilitación del camino a Copalita en el tramo de la Carretera a Colotlán a Copalita (Km. 0+000 al Km. 2+000), muncipio de Zapopan, Jalisco.</v>
      </c>
      <c r="F291" s="7" t="s">
        <v>67</v>
      </c>
      <c r="G291" s="11">
        <f>'[1]V, inciso p) (OP)'!AG148</f>
        <v>5476517.9699999997</v>
      </c>
      <c r="H291" s="7" t="s">
        <v>933</v>
      </c>
      <c r="I291" s="7" t="str">
        <f>'[1]V, inciso p) (OP)'!T148</f>
        <v>Antonio</v>
      </c>
      <c r="J291" s="7" t="str">
        <f>'[1]V, inciso p) (OP)'!U148</f>
        <v>Chávez</v>
      </c>
      <c r="K291" s="7" t="str">
        <f>'[1]V, inciso p) (OP)'!V148</f>
        <v>Navarro</v>
      </c>
      <c r="L291" s="7" t="str">
        <f>'[1]V, inciso p) (OP)'!W148</f>
        <v>Constructora Industrial Chávez S.A. de C.V.</v>
      </c>
      <c r="M291" s="7" t="str">
        <f>'[1]V, inciso p) (OP)'!X148</f>
        <v>CIC960718BW4</v>
      </c>
      <c r="N291" s="11">
        <f>G291</f>
        <v>5476517.9699999997</v>
      </c>
      <c r="O291" s="7" t="s">
        <v>40</v>
      </c>
      <c r="P291" s="7" t="s">
        <v>934</v>
      </c>
      <c r="Q291" s="11">
        <f>N291/17660</f>
        <v>310.10860532276331</v>
      </c>
      <c r="R291" s="7" t="s">
        <v>42</v>
      </c>
      <c r="S291" s="15">
        <v>1456</v>
      </c>
      <c r="T291" s="7" t="s">
        <v>43</v>
      </c>
      <c r="U291" s="7" t="s">
        <v>584</v>
      </c>
      <c r="V291" s="13">
        <f>'[1]V, inciso p) (OP)'!AM148</f>
        <v>42791</v>
      </c>
      <c r="W291" s="13">
        <f>'[1]V, inciso p) (OP)'!AN148</f>
        <v>42835</v>
      </c>
      <c r="X291" s="7" t="s">
        <v>935</v>
      </c>
      <c r="Y291" s="7" t="s">
        <v>641</v>
      </c>
      <c r="Z291" s="7" t="s">
        <v>167</v>
      </c>
      <c r="AA291" s="7" t="s">
        <v>40</v>
      </c>
      <c r="AB291" s="7" t="s">
        <v>40</v>
      </c>
    </row>
    <row r="292" spans="1:28" ht="69.95" customHeight="1">
      <c r="A292" s="7">
        <v>2017</v>
      </c>
      <c r="B292" s="7" t="s">
        <v>296</v>
      </c>
      <c r="C292" s="7" t="str">
        <f>'[1]V, inciso p) (OP)'!D149</f>
        <v>DOPI-MUN-RM-ELE-CI-002-2017</v>
      </c>
      <c r="D292" s="13">
        <f>'[1]V, inciso p) (OP)'!AD149</f>
        <v>42790</v>
      </c>
      <c r="E292" s="7" t="str">
        <f>'[1]V, inciso p) (OP)'!AL149</f>
        <v>Primera etapa de la rehabilitación de la red de media y baja tensión, alumbrado público, en la colonia Constitución, municipio de Zapopan, Jalisco.</v>
      </c>
      <c r="F292" s="7" t="s">
        <v>67</v>
      </c>
      <c r="G292" s="11">
        <f>'[1]V, inciso p) (OP)'!AG149</f>
        <v>4994034.3099999996</v>
      </c>
      <c r="H292" s="7" t="str">
        <f>'[1]V, inciso p) (OP)'!AS149</f>
        <v>Col. Constitución</v>
      </c>
      <c r="I292" s="7" t="str">
        <f>'[1]V, inciso p) (OP)'!T149</f>
        <v>Pia Lorena</v>
      </c>
      <c r="J292" s="7" t="str">
        <f>'[1]V, inciso p) (OP)'!U149</f>
        <v>Buenrostro</v>
      </c>
      <c r="K292" s="7" t="str">
        <f>'[1]V, inciso p) (OP)'!V149</f>
        <v>Ahued</v>
      </c>
      <c r="L292" s="7" t="str">
        <f>'[1]V, inciso p) (OP)'!W149</f>
        <v>Birmek Construcciones, S.A. de C.V.</v>
      </c>
      <c r="M292" s="7" t="str">
        <f>'[1]V, inciso p) (OP)'!X149</f>
        <v>BCO070129512</v>
      </c>
      <c r="N292" s="11">
        <f t="shared" ref="N292:N293" si="7">G292</f>
        <v>4994034.3099999996</v>
      </c>
      <c r="O292" s="7" t="s">
        <v>40</v>
      </c>
      <c r="P292" s="7" t="s">
        <v>936</v>
      </c>
      <c r="Q292" s="11">
        <f>N292/1700</f>
        <v>2937.6672411764703</v>
      </c>
      <c r="R292" s="7" t="s">
        <v>42</v>
      </c>
      <c r="S292" s="15">
        <v>25400</v>
      </c>
      <c r="T292" s="7" t="s">
        <v>43</v>
      </c>
      <c r="U292" s="7" t="s">
        <v>584</v>
      </c>
      <c r="V292" s="13">
        <f>'[1]V, inciso p) (OP)'!AM149</f>
        <v>42791</v>
      </c>
      <c r="W292" s="13">
        <f>'[1]V, inciso p) (OP)'!AN149</f>
        <v>42835</v>
      </c>
      <c r="X292" s="7" t="s">
        <v>937</v>
      </c>
      <c r="Y292" s="7" t="s">
        <v>88</v>
      </c>
      <c r="Z292" s="7" t="s">
        <v>89</v>
      </c>
      <c r="AA292" s="7" t="s">
        <v>40</v>
      </c>
      <c r="AB292" s="7" t="s">
        <v>40</v>
      </c>
    </row>
    <row r="293" spans="1:28" ht="69.95" customHeight="1">
      <c r="A293" s="7">
        <v>2017</v>
      </c>
      <c r="B293" s="7" t="s">
        <v>296</v>
      </c>
      <c r="C293" s="7" t="str">
        <f>'[1]V, inciso p) (OP)'!D150</f>
        <v>DOPI-MUN-RM-EP-CI-003-2017</v>
      </c>
      <c r="D293" s="13">
        <f>'[1]V, inciso p) (OP)'!AD150</f>
        <v>42790</v>
      </c>
      <c r="E293" s="7" t="str">
        <f>'[1]V, inciso p) (OP)'!AL150</f>
        <v>Rehabilitación de la Unidad Administrativa Las Aguilas (cubierta, pintura, instalaciones eléctricas, instalaciones hidráulicas, nave central, impermeabilización, accesibilidad, baños, puertas de acceso principal), municipio de Zapopan, Jalisco.</v>
      </c>
      <c r="F293" s="7" t="s">
        <v>67</v>
      </c>
      <c r="G293" s="11">
        <f>'[1]V, inciso p) (OP)'!AG150</f>
        <v>2493488.7200000002</v>
      </c>
      <c r="H293" s="7" t="str">
        <f>'[1]V, inciso p) (OP)'!AS150</f>
        <v>Col. Las Aguilas</v>
      </c>
      <c r="I293" s="7" t="str">
        <f>'[1]V, inciso p) (OP)'!T150</f>
        <v xml:space="preserve">Eduardo </v>
      </c>
      <c r="J293" s="7" t="str">
        <f>'[1]V, inciso p) (OP)'!U150</f>
        <v>Plascencia</v>
      </c>
      <c r="K293" s="7" t="str">
        <f>'[1]V, inciso p) (OP)'!V150</f>
        <v>Macias</v>
      </c>
      <c r="L293" s="7" t="str">
        <f>'[1]V, inciso p) (OP)'!W150</f>
        <v>Constructora y Edificadora Plasma, S.A. de C.V.</v>
      </c>
      <c r="M293" s="7" t="str">
        <f>'[1]V, inciso p) (OP)'!X150</f>
        <v>CEP080129EK6</v>
      </c>
      <c r="N293" s="11">
        <f t="shared" si="7"/>
        <v>2493488.7200000002</v>
      </c>
      <c r="O293" s="7" t="s">
        <v>40</v>
      </c>
      <c r="P293" s="7" t="s">
        <v>938</v>
      </c>
      <c r="Q293" s="11">
        <f>N293/691</f>
        <v>3608.5220260492042</v>
      </c>
      <c r="R293" s="7" t="s">
        <v>42</v>
      </c>
      <c r="S293" s="15">
        <v>279130</v>
      </c>
      <c r="T293" s="7" t="s">
        <v>43</v>
      </c>
      <c r="U293" s="7" t="s">
        <v>584</v>
      </c>
      <c r="V293" s="13">
        <f>'[1]V, inciso p) (OP)'!AM150</f>
        <v>42791</v>
      </c>
      <c r="W293" s="13">
        <f>'[1]V, inciso p) (OP)'!AN150</f>
        <v>42850</v>
      </c>
      <c r="X293" s="7" t="s">
        <v>937</v>
      </c>
      <c r="Y293" s="7" t="s">
        <v>88</v>
      </c>
      <c r="Z293" s="7" t="s">
        <v>89</v>
      </c>
      <c r="AA293" s="7" t="s">
        <v>40</v>
      </c>
      <c r="AB293" s="7" t="s">
        <v>40</v>
      </c>
    </row>
    <row r="294" spans="1:28" ht="69.95" customHeight="1">
      <c r="A294" s="7">
        <v>2017</v>
      </c>
      <c r="B294" s="7" t="s">
        <v>64</v>
      </c>
      <c r="C294" s="7" t="str">
        <f>'[1]V, inciso o) (OP)'!C150</f>
        <v>DOPI-MUN-FORTA-PROY-AD-005-2017</v>
      </c>
      <c r="D294" s="13">
        <f>'[1]V, inciso o) (OP)'!V150</f>
        <v>42793</v>
      </c>
      <c r="E294" s="7" t="str">
        <f>'[1]V, inciso o) (OP)'!AA150</f>
        <v>Elaboración de proyectos arquitectónicos en diferentes obras del programa 2017, municipio de Zapopan, Jalisco.</v>
      </c>
      <c r="F294" s="7" t="s">
        <v>939</v>
      </c>
      <c r="G294" s="11">
        <f>'[1]V, inciso o) (OP)'!Y150</f>
        <v>1496360.35</v>
      </c>
      <c r="H294" s="7" t="s">
        <v>582</v>
      </c>
      <c r="I294" s="7" t="str">
        <f>'[1]V, inciso o) (OP)'!M150</f>
        <v>Juan Francisco</v>
      </c>
      <c r="J294" s="7" t="str">
        <f>'[1]V, inciso o) (OP)'!N150</f>
        <v>Toscano</v>
      </c>
      <c r="K294" s="7" t="str">
        <f>'[1]V, inciso o) (OP)'!O150</f>
        <v>Lases</v>
      </c>
      <c r="L294" s="7" t="str">
        <f>'[1]V, inciso o) (OP)'!P150</f>
        <v>Infografía Digital de Occidente, S. A. de C. V. PCZ-178/2016</v>
      </c>
      <c r="M294" s="7" t="str">
        <f>'[1]V, inciso o) (OP)'!Q150</f>
        <v>IDO100427QG2</v>
      </c>
      <c r="N294" s="11">
        <f>G294</f>
        <v>1496360.35</v>
      </c>
      <c r="O294" s="7" t="s">
        <v>40</v>
      </c>
      <c r="P294" s="7" t="s">
        <v>940</v>
      </c>
      <c r="Q294" s="11">
        <f>N294/21</f>
        <v>71255.254761904769</v>
      </c>
      <c r="R294" s="7" t="s">
        <v>232</v>
      </c>
      <c r="S294" s="15" t="s">
        <v>232</v>
      </c>
      <c r="T294" s="7" t="s">
        <v>43</v>
      </c>
      <c r="U294" s="7" t="s">
        <v>584</v>
      </c>
      <c r="V294" s="13">
        <f>'[1]V, inciso o) (OP)'!AD150</f>
        <v>42795</v>
      </c>
      <c r="W294" s="13">
        <f>'[1]V, inciso o) (OP)'!AE150</f>
        <v>42947</v>
      </c>
      <c r="X294" s="7" t="s">
        <v>924</v>
      </c>
      <c r="Y294" s="7" t="s">
        <v>925</v>
      </c>
      <c r="Z294" s="7" t="s">
        <v>263</v>
      </c>
      <c r="AA294" s="7" t="s">
        <v>40</v>
      </c>
      <c r="AB294" s="7" t="s">
        <v>40</v>
      </c>
    </row>
    <row r="295" spans="1:28" ht="69.95" customHeight="1">
      <c r="A295" s="7">
        <v>2017</v>
      </c>
      <c r="B295" s="7" t="s">
        <v>64</v>
      </c>
      <c r="C295" s="7" t="str">
        <f>'[1]V, inciso o) (OP)'!C151</f>
        <v>DOPI-MUN-RM-IH-AD-008-2017</v>
      </c>
      <c r="D295" s="13">
        <f>'[1]V, inciso o) (OP)'!V154</f>
        <v>42793</v>
      </c>
      <c r="E295" s="7" t="str">
        <f>'[1]V, inciso o) (OP)'!AA151</f>
        <v>Rehabilitación de líneas de agua potable y alcantarillado sanitario, en la Av. Ángel Leaño, tramo zona del Nixticuil, municipio de Zapopan, Jalisco.</v>
      </c>
      <c r="F295" s="7" t="s">
        <v>67</v>
      </c>
      <c r="G295" s="11">
        <f>'[1]V, inciso o) (OP)'!Y151</f>
        <v>1485041.89</v>
      </c>
      <c r="H295" s="7" t="s">
        <v>941</v>
      </c>
      <c r="I295" s="7" t="str">
        <f>'[1]V, inciso o) (OP)'!M151</f>
        <v>Edwin</v>
      </c>
      <c r="J295" s="7" t="str">
        <f>'[1]V, inciso o) (OP)'!N151</f>
        <v>Aguiar</v>
      </c>
      <c r="K295" s="7" t="str">
        <f>'[1]V, inciso o) (OP)'!O151</f>
        <v>Escatel</v>
      </c>
      <c r="L295" s="7" t="str">
        <f>'[1]V, inciso o) (OP)'!P151</f>
        <v>Manjarrez Urbanizaciones, S.A. de C.V. PCZ-093/2016</v>
      </c>
      <c r="M295" s="7" t="str">
        <f>'[1]V, inciso o) (OP)'!Q151</f>
        <v>MUR090325P33</v>
      </c>
      <c r="N295" s="11">
        <f t="shared" ref="N295:N349" si="8">G295</f>
        <v>1485041.89</v>
      </c>
      <c r="O295" s="7" t="s">
        <v>40</v>
      </c>
      <c r="P295" s="7" t="s">
        <v>942</v>
      </c>
      <c r="Q295" s="11">
        <f>N295/600</f>
        <v>2475.0698166666666</v>
      </c>
      <c r="R295" s="7" t="s">
        <v>42</v>
      </c>
      <c r="S295" s="15">
        <v>3189</v>
      </c>
      <c r="T295" s="7" t="s">
        <v>43</v>
      </c>
      <c r="U295" s="7" t="s">
        <v>584</v>
      </c>
      <c r="V295" s="13">
        <f>'[1]V, inciso o) (OP)'!AD151</f>
        <v>42793</v>
      </c>
      <c r="W295" s="13">
        <f>'[1]V, inciso o) (OP)'!AE151</f>
        <v>42858</v>
      </c>
      <c r="X295" s="7" t="s">
        <v>591</v>
      </c>
      <c r="Y295" s="7" t="s">
        <v>355</v>
      </c>
      <c r="Z295" s="7" t="s">
        <v>47</v>
      </c>
      <c r="AA295" s="7" t="s">
        <v>40</v>
      </c>
      <c r="AB295" s="7" t="s">
        <v>40</v>
      </c>
    </row>
    <row r="296" spans="1:28" ht="69.95" customHeight="1">
      <c r="A296" s="7">
        <v>2017</v>
      </c>
      <c r="B296" s="7" t="s">
        <v>64</v>
      </c>
      <c r="C296" s="7" t="str">
        <f>'[1]V, inciso o) (OP)'!C152</f>
        <v>DOPI-MUN-FORTA-SER-AD-009-2017</v>
      </c>
      <c r="D296" s="13">
        <f>'[1]V, inciso o) (OP)'!V155</f>
        <v>42811</v>
      </c>
      <c r="E296" s="7" t="str">
        <f>'[1]V, inciso o) (OP)'!AA152</f>
        <v>Elaboración de peritajes estructurales en infraestructura urbana, municipio de Zapopan, Jalisco.</v>
      </c>
      <c r="F296" s="7" t="s">
        <v>939</v>
      </c>
      <c r="G296" s="11">
        <f>'[1]V, inciso o) (OP)'!Y152</f>
        <v>985746.57</v>
      </c>
      <c r="H296" s="7" t="s">
        <v>582</v>
      </c>
      <c r="I296" s="7" t="str">
        <f>'[1]V, inciso o) (OP)'!M152</f>
        <v>Héctor Manuel</v>
      </c>
      <c r="J296" s="7" t="str">
        <f>'[1]V, inciso o) (OP)'!N152</f>
        <v>Zepeda</v>
      </c>
      <c r="K296" s="7" t="str">
        <f>'[1]V, inciso o) (OP)'!O152</f>
        <v>Angulo</v>
      </c>
      <c r="L296" s="7" t="str">
        <f>'[1]V, inciso o) (OP)'!P152</f>
        <v>Colegio de Ingenieros Civiles del Estado de Jalisco, A. C. PCZ-480/2017</v>
      </c>
      <c r="M296" s="7" t="str">
        <f>'[1]V, inciso o) (OP)'!Q152</f>
        <v>CIC680115AK4</v>
      </c>
      <c r="N296" s="11">
        <f t="shared" si="8"/>
        <v>985746.57</v>
      </c>
      <c r="O296" s="7" t="s">
        <v>40</v>
      </c>
      <c r="P296" s="7" t="s">
        <v>231</v>
      </c>
      <c r="Q296" s="11" t="s">
        <v>231</v>
      </c>
      <c r="R296" s="7" t="s">
        <v>232</v>
      </c>
      <c r="S296" s="15" t="s">
        <v>232</v>
      </c>
      <c r="T296" s="7" t="s">
        <v>43</v>
      </c>
      <c r="U296" s="7" t="s">
        <v>584</v>
      </c>
      <c r="V296" s="13">
        <f>'[1]V, inciso o) (OP)'!AD152</f>
        <v>42814</v>
      </c>
      <c r="W296" s="13">
        <f>'[1]V, inciso o) (OP)'!AE152</f>
        <v>42977</v>
      </c>
      <c r="X296" s="7" t="s">
        <v>943</v>
      </c>
      <c r="Y296" s="7" t="s">
        <v>763</v>
      </c>
      <c r="Z296" s="7" t="s">
        <v>764</v>
      </c>
      <c r="AA296" s="7" t="s">
        <v>40</v>
      </c>
      <c r="AB296" s="7" t="s">
        <v>40</v>
      </c>
    </row>
    <row r="297" spans="1:28" ht="69.95" customHeight="1">
      <c r="A297" s="7">
        <v>2017</v>
      </c>
      <c r="B297" s="7" t="s">
        <v>64</v>
      </c>
      <c r="C297" s="7" t="str">
        <f>'[1]V, inciso o) (OP)'!C153</f>
        <v>DOPI-MUN-FORTA-PROY-AD-010-2017</v>
      </c>
      <c r="D297" s="13">
        <f>'[1]V, inciso o) (OP)'!V156</f>
        <v>42797</v>
      </c>
      <c r="E297" s="7" t="str">
        <f>'[1]V, inciso o) (OP)'!AA153</f>
        <v>Diagnóstico, diseño y proyectos de infraestructura eléctrica 2017, primera etapa, municipio de Zapopan, Jalisco.</v>
      </c>
      <c r="F297" s="7" t="s">
        <v>939</v>
      </c>
      <c r="G297" s="11">
        <f>'[1]V, inciso o) (OP)'!Y153</f>
        <v>1002698.13</v>
      </c>
      <c r="H297" s="7" t="s">
        <v>231</v>
      </c>
      <c r="I297" s="7" t="str">
        <f>'[1]V, inciso o) (OP)'!M153</f>
        <v>Pia Lorena</v>
      </c>
      <c r="J297" s="7" t="str">
        <f>'[1]V, inciso o) (OP)'!N153</f>
        <v>Buenrostro</v>
      </c>
      <c r="K297" s="7" t="str">
        <f>'[1]V, inciso o) (OP)'!O153</f>
        <v>Ahued</v>
      </c>
      <c r="L297" s="7" t="str">
        <f>'[1]V, inciso o) (OP)'!P153</f>
        <v>Birmek Construcciones, S.A. de C.V.</v>
      </c>
      <c r="M297" s="7" t="str">
        <f>'[1]V, inciso o) (OP)'!Q153</f>
        <v>BCO070129512</v>
      </c>
      <c r="N297" s="11">
        <f t="shared" si="8"/>
        <v>1002698.13</v>
      </c>
      <c r="O297" s="7" t="s">
        <v>40</v>
      </c>
      <c r="P297" s="7" t="s">
        <v>231</v>
      </c>
      <c r="Q297" s="11" t="s">
        <v>231</v>
      </c>
      <c r="R297" s="7" t="s">
        <v>232</v>
      </c>
      <c r="S297" s="15" t="s">
        <v>232</v>
      </c>
      <c r="T297" s="7" t="s">
        <v>43</v>
      </c>
      <c r="U297" s="7" t="s">
        <v>584</v>
      </c>
      <c r="V297" s="13">
        <f>'[1]V, inciso o) (OP)'!AD153</f>
        <v>42814</v>
      </c>
      <c r="W297" s="13">
        <f>'[1]V, inciso o) (OP)'!AE153</f>
        <v>42977</v>
      </c>
      <c r="X297" s="7" t="s">
        <v>944</v>
      </c>
      <c r="Y297" s="7" t="s">
        <v>496</v>
      </c>
      <c r="Z297" s="7" t="s">
        <v>497</v>
      </c>
      <c r="AA297" s="7" t="s">
        <v>40</v>
      </c>
      <c r="AB297" s="7" t="s">
        <v>40</v>
      </c>
    </row>
    <row r="298" spans="1:28" ht="69.95" customHeight="1">
      <c r="A298" s="7">
        <v>2017</v>
      </c>
      <c r="B298" s="7" t="s">
        <v>64</v>
      </c>
      <c r="C298" s="7" t="str">
        <f>'[1]V, inciso o) (OP)'!C154</f>
        <v>DOPI-MUN-FORTA-PROY-AD-011-2017</v>
      </c>
      <c r="D298" s="13">
        <f>'[1]V, inciso o) (OP)'!V157</f>
        <v>42811</v>
      </c>
      <c r="E298" s="7" t="str">
        <f>'[1]V, inciso o) (OP)'!AA154</f>
        <v>Proyecto ejecutivo para la construcción de ciclovia y rehabilitación de banquetas en la Glorieta Chapalita y la Av. Guadalupe de la Glorieta Chapalita a la Av. Niño Obrero, municipio de Zapopan, Jalisco.</v>
      </c>
      <c r="F298" s="7" t="s">
        <v>939</v>
      </c>
      <c r="G298" s="11">
        <f>'[1]V, inciso o) (OP)'!Y154</f>
        <v>472500.2</v>
      </c>
      <c r="H298" s="7" t="s">
        <v>945</v>
      </c>
      <c r="I298" s="7" t="str">
        <f>'[1]V, inciso o) (OP)'!M154</f>
        <v xml:space="preserve">Rene </v>
      </c>
      <c r="J298" s="7" t="str">
        <f>'[1]V, inciso o) (OP)'!N154</f>
        <v>Caro</v>
      </c>
      <c r="K298" s="7" t="str">
        <f>'[1]V, inciso o) (OP)'!O154</f>
        <v>Gómez</v>
      </c>
      <c r="L298" s="7" t="str">
        <f>'[1]V, inciso o) (OP)'!P154</f>
        <v>Rene Caro Gómez</v>
      </c>
      <c r="M298" s="7" t="str">
        <f>'[1]V, inciso o) (OP)'!Q154</f>
        <v>CAGR720818NC1</v>
      </c>
      <c r="N298" s="11">
        <f t="shared" si="8"/>
        <v>472500.2</v>
      </c>
      <c r="O298" s="7" t="s">
        <v>40</v>
      </c>
      <c r="P298" s="7" t="s">
        <v>946</v>
      </c>
      <c r="Q298" s="11">
        <f>N298</f>
        <v>472500.2</v>
      </c>
      <c r="R298" s="7" t="s">
        <v>232</v>
      </c>
      <c r="S298" s="15" t="s">
        <v>232</v>
      </c>
      <c r="T298" s="7" t="s">
        <v>43</v>
      </c>
      <c r="U298" s="7" t="s">
        <v>584</v>
      </c>
      <c r="V298" s="13">
        <f>'[1]V, inciso o) (OP)'!AD154</f>
        <v>42795</v>
      </c>
      <c r="W298" s="13">
        <f>'[1]V, inciso o) (OP)'!AE154</f>
        <v>42886</v>
      </c>
      <c r="X298" s="7" t="s">
        <v>924</v>
      </c>
      <c r="Y298" s="7" t="s">
        <v>925</v>
      </c>
      <c r="Z298" s="7" t="s">
        <v>263</v>
      </c>
      <c r="AA298" s="7" t="s">
        <v>40</v>
      </c>
      <c r="AB298" s="7" t="s">
        <v>40</v>
      </c>
    </row>
    <row r="299" spans="1:28" ht="69.95" customHeight="1">
      <c r="A299" s="7">
        <v>2017</v>
      </c>
      <c r="B299" s="7" t="s">
        <v>64</v>
      </c>
      <c r="C299" s="7" t="str">
        <f>'[1]V, inciso o) (OP)'!C155</f>
        <v>DOPI-MUN-FORTA-ID-AD-012-2017</v>
      </c>
      <c r="D299" s="13">
        <f>'[1]V, inciso o) (OP)'!V158</f>
        <v>42811</v>
      </c>
      <c r="E299" s="7" t="str">
        <f>'[1]V, inciso o) (OP)'!AA155</f>
        <v>Construcción de Skatepark en la Unidad Deportiva Santa Margarita, municipio de Zapopan, Jalisco.</v>
      </c>
      <c r="F299" s="7" t="s">
        <v>939</v>
      </c>
      <c r="G299" s="11">
        <f>'[1]V, inciso o) (OP)'!Y155</f>
        <v>1045280.32</v>
      </c>
      <c r="H299" s="7" t="s">
        <v>853</v>
      </c>
      <c r="I299" s="7" t="str">
        <f>'[1]V, inciso o) (OP)'!M155</f>
        <v>DAVID</v>
      </c>
      <c r="J299" s="7" t="str">
        <f>'[1]V, inciso o) (OP)'!N155</f>
        <v>LEDESMA</v>
      </c>
      <c r="K299" s="7" t="str">
        <f>'[1]V, inciso o) (OP)'!O155</f>
        <v>MARTIN DEL CAMPO</v>
      </c>
      <c r="L299" s="7" t="str">
        <f>'[1]V, inciso o) (OP)'!P155</f>
        <v>David Ledesma Martin Del Campo</v>
      </c>
      <c r="M299" s="7" t="str">
        <f>'[1]V, inciso o) (OP)'!Q155</f>
        <v>LEMD880217U53</v>
      </c>
      <c r="N299" s="11">
        <f t="shared" si="8"/>
        <v>1045280.32</v>
      </c>
      <c r="O299" s="7" t="s">
        <v>40</v>
      </c>
      <c r="P299" s="7" t="s">
        <v>947</v>
      </c>
      <c r="Q299" s="11">
        <f>N299/490</f>
        <v>2133.2251428571426</v>
      </c>
      <c r="R299" s="7" t="s">
        <v>42</v>
      </c>
      <c r="S299" s="15">
        <v>6963</v>
      </c>
      <c r="T299" s="7" t="s">
        <v>43</v>
      </c>
      <c r="U299" s="7" t="s">
        <v>584</v>
      </c>
      <c r="V299" s="13">
        <f>'[1]V, inciso o) (OP)'!AD155</f>
        <v>42814</v>
      </c>
      <c r="W299" s="13">
        <f>'[1]V, inciso o) (OP)'!AE155</f>
        <v>42886</v>
      </c>
      <c r="X299" s="7" t="s">
        <v>948</v>
      </c>
      <c r="Y299" s="7" t="s">
        <v>847</v>
      </c>
      <c r="Z299" s="7" t="s">
        <v>848</v>
      </c>
      <c r="AA299" s="7" t="s">
        <v>40</v>
      </c>
      <c r="AB299" s="7" t="s">
        <v>40</v>
      </c>
    </row>
    <row r="300" spans="1:28" ht="69.95" customHeight="1">
      <c r="A300" s="7">
        <v>2017</v>
      </c>
      <c r="B300" s="7" t="s">
        <v>64</v>
      </c>
      <c r="C300" s="7" t="str">
        <f>'[1]V, inciso o) (OP)'!C156</f>
        <v>DOPI-MUN-FORTA-ELE-AD-013-2017</v>
      </c>
      <c r="D300" s="13">
        <f>'[1]V, inciso o) (OP)'!V159</f>
        <v>42811</v>
      </c>
      <c r="E300" s="7" t="str">
        <f>'[1]V, inciso o) (OP)'!AA156</f>
        <v>Instalación de la media tensión, equipos de medición y alimentación a tableros en la Unidad Deportiva El Polvorín, municipio de Zapopan, Jalisco.</v>
      </c>
      <c r="F300" s="7" t="s">
        <v>939</v>
      </c>
      <c r="G300" s="11">
        <f>'[1]V, inciso o) (OP)'!Y156</f>
        <v>603813.25</v>
      </c>
      <c r="H300" s="7" t="s">
        <v>289</v>
      </c>
      <c r="I300" s="7" t="str">
        <f>'[1]V, inciso o) (OP)'!M156</f>
        <v>FAUSTO</v>
      </c>
      <c r="J300" s="7" t="str">
        <f>'[1]V, inciso o) (OP)'!N156</f>
        <v>GARNICA</v>
      </c>
      <c r="K300" s="7" t="str">
        <f>'[1]V, inciso o) (OP)'!O156</f>
        <v>PADILLA</v>
      </c>
      <c r="L300" s="7" t="str">
        <f>'[1]V, inciso o) (OP)'!P156</f>
        <v>Fausto Garnica Padilla</v>
      </c>
      <c r="M300" s="7" t="str">
        <f>'[1]V, inciso o) (OP)'!Q156</f>
        <v>GAPF5912193V9</v>
      </c>
      <c r="N300" s="11">
        <f t="shared" si="8"/>
        <v>603813.25</v>
      </c>
      <c r="O300" s="7" t="s">
        <v>40</v>
      </c>
      <c r="P300" s="7" t="s">
        <v>949</v>
      </c>
      <c r="Q300" s="11">
        <f>N300/80</f>
        <v>7547.6656249999996</v>
      </c>
      <c r="R300" s="7" t="s">
        <v>42</v>
      </c>
      <c r="S300" s="15">
        <v>2184</v>
      </c>
      <c r="T300" s="7" t="s">
        <v>43</v>
      </c>
      <c r="U300" s="7" t="s">
        <v>584</v>
      </c>
      <c r="V300" s="13">
        <f>'[1]V, inciso o) (OP)'!AD156</f>
        <v>42800</v>
      </c>
      <c r="W300" s="13">
        <f>'[1]V, inciso o) (OP)'!AE156</f>
        <v>42886</v>
      </c>
      <c r="X300" s="7" t="s">
        <v>950</v>
      </c>
      <c r="Y300" s="7" t="s">
        <v>305</v>
      </c>
      <c r="Z300" s="7" t="s">
        <v>254</v>
      </c>
      <c r="AA300" s="7" t="s">
        <v>40</v>
      </c>
      <c r="AB300" s="7" t="s">
        <v>40</v>
      </c>
    </row>
    <row r="301" spans="1:28" ht="69.95" customHeight="1">
      <c r="A301" s="7">
        <v>2017</v>
      </c>
      <c r="B301" s="7" t="s">
        <v>64</v>
      </c>
      <c r="C301" s="7" t="str">
        <f>'[1]V, inciso o) (OP)'!C157</f>
        <v>DOPI-MUN-FORTA-ELE-AD-014-2017</v>
      </c>
      <c r="D301" s="13">
        <f>'[1]V, inciso o) (OP)'!V160</f>
        <v>42811</v>
      </c>
      <c r="E301" s="7" t="str">
        <f>'[1]V, inciso o) (OP)'!AA157</f>
        <v>Alumbrado en andadores, canchas y áreas comunes en la Unidad Deportiva El Polvorín, municipio de Zapopan, Jalisco.</v>
      </c>
      <c r="F301" s="7" t="s">
        <v>939</v>
      </c>
      <c r="G301" s="11">
        <f>'[1]V, inciso o) (OP)'!Y157</f>
        <v>1377688.14</v>
      </c>
      <c r="H301" s="7" t="s">
        <v>289</v>
      </c>
      <c r="I301" s="7" t="str">
        <f>'[1]V, inciso o) (OP)'!M157</f>
        <v>HECTOR MANUEL</v>
      </c>
      <c r="J301" s="7" t="str">
        <f>'[1]V, inciso o) (OP)'!N157</f>
        <v>ALVAREZ</v>
      </c>
      <c r="K301" s="7" t="str">
        <f>'[1]V, inciso o) (OP)'!O157</f>
        <v>ORGANISTA</v>
      </c>
      <c r="L301" s="7" t="str">
        <f>'[1]V, inciso o) (OP)'!P157</f>
        <v>Acaspoluca Consultoría y Construcción, S. A. de C. V.</v>
      </c>
      <c r="M301" s="7" t="str">
        <f>'[1]V, inciso o) (OP)'!Q157</f>
        <v>ACC0202071Z6</v>
      </c>
      <c r="N301" s="11">
        <f t="shared" si="8"/>
        <v>1377688.14</v>
      </c>
      <c r="O301" s="7" t="s">
        <v>40</v>
      </c>
      <c r="P301" s="7" t="s">
        <v>951</v>
      </c>
      <c r="Q301" s="11">
        <f>N301/40</f>
        <v>34442.203499999996</v>
      </c>
      <c r="R301" s="7" t="s">
        <v>42</v>
      </c>
      <c r="S301" s="15">
        <v>2184</v>
      </c>
      <c r="T301" s="7" t="s">
        <v>43</v>
      </c>
      <c r="U301" s="7" t="s">
        <v>584</v>
      </c>
      <c r="V301" s="13">
        <f>'[1]V, inciso o) (OP)'!AD157</f>
        <v>42814</v>
      </c>
      <c r="W301" s="13">
        <f>'[1]V, inciso o) (OP)'!AE157</f>
        <v>42886</v>
      </c>
      <c r="X301" s="7" t="s">
        <v>950</v>
      </c>
      <c r="Y301" s="7" t="s">
        <v>305</v>
      </c>
      <c r="Z301" s="7" t="s">
        <v>254</v>
      </c>
      <c r="AA301" s="9" t="s">
        <v>1314</v>
      </c>
      <c r="AB301" s="7" t="s">
        <v>40</v>
      </c>
    </row>
    <row r="302" spans="1:28" ht="69.95" customHeight="1">
      <c r="A302" s="7">
        <v>2017</v>
      </c>
      <c r="B302" s="7" t="s">
        <v>64</v>
      </c>
      <c r="C302" s="7" t="str">
        <f>'[1]V, inciso o) (OP)'!C158</f>
        <v>DOPI-MUN-FORTA-ID-AD-015-2017</v>
      </c>
      <c r="D302" s="13">
        <f>'[1]V, inciso o) (OP)'!V161</f>
        <v>42811</v>
      </c>
      <c r="E302" s="7" t="str">
        <f>'[1]V, inciso o) (OP)'!AA158</f>
        <v>Construcción cancha de voleibol de playa, rehabilitación de andador, instalaciones para la operación, mobiliario urbano y obra  complementaria en la Unidad Deportiva El Polvorín, municipio de Zapopan, Jalisco.</v>
      </c>
      <c r="F302" s="7" t="s">
        <v>939</v>
      </c>
      <c r="G302" s="11">
        <f>'[1]V, inciso o) (OP)'!Y158</f>
        <v>1502150.14</v>
      </c>
      <c r="H302" s="7" t="s">
        <v>289</v>
      </c>
      <c r="I302" s="7" t="str">
        <f>'[1]V, inciso o) (OP)'!M158</f>
        <v>MARIA EUGENIA</v>
      </c>
      <c r="J302" s="7" t="str">
        <f>'[1]V, inciso o) (OP)'!N158</f>
        <v xml:space="preserve">CORTES </v>
      </c>
      <c r="K302" s="7" t="str">
        <f>'[1]V, inciso o) (OP)'!O158</f>
        <v>GONZALEZ</v>
      </c>
      <c r="L302" s="7" t="str">
        <f>'[1]V, inciso o) (OP)'!P158</f>
        <v>Aspavi, S. A. de C. V.</v>
      </c>
      <c r="M302" s="7" t="str">
        <f>'[1]V, inciso o) (OP)'!Q158</f>
        <v>ASP100215RH9</v>
      </c>
      <c r="N302" s="11">
        <f t="shared" si="8"/>
        <v>1502150.14</v>
      </c>
      <c r="O302" s="7" t="s">
        <v>40</v>
      </c>
      <c r="P302" s="7" t="s">
        <v>952</v>
      </c>
      <c r="Q302" s="11">
        <f>N302/504</f>
        <v>2980.4566269841266</v>
      </c>
      <c r="R302" s="7" t="s">
        <v>42</v>
      </c>
      <c r="S302" s="15">
        <v>2184</v>
      </c>
      <c r="T302" s="7" t="s">
        <v>43</v>
      </c>
      <c r="U302" s="7" t="s">
        <v>584</v>
      </c>
      <c r="V302" s="13">
        <f>'[1]V, inciso o) (OP)'!AD158</f>
        <v>42814</v>
      </c>
      <c r="W302" s="13">
        <f>'[1]V, inciso o) (OP)'!AE158</f>
        <v>42886</v>
      </c>
      <c r="X302" s="7" t="s">
        <v>950</v>
      </c>
      <c r="Y302" s="7" t="s">
        <v>305</v>
      </c>
      <c r="Z302" s="7" t="s">
        <v>254</v>
      </c>
      <c r="AA302" s="7" t="s">
        <v>40</v>
      </c>
      <c r="AB302" s="7" t="s">
        <v>40</v>
      </c>
    </row>
    <row r="303" spans="1:28" ht="69.95" customHeight="1">
      <c r="A303" s="7">
        <v>2017</v>
      </c>
      <c r="B303" s="7" t="s">
        <v>64</v>
      </c>
      <c r="C303" s="7" t="str">
        <f>'[1]V, inciso o) (OP)'!C159</f>
        <v>DOPI-MUN-FORTA-BAN-AD-016-2017</v>
      </c>
      <c r="D303" s="13">
        <f>'[1]V, inciso o) (OP)'!V162</f>
        <v>42804</v>
      </c>
      <c r="E303" s="7" t="str">
        <f>'[1]V, inciso o) (OP)'!AA159</f>
        <v>Construcción y rehabilitación de guarniciones, banquetas, obra complementaria en camellones en diferentes zonas del municipio de Zapopan, Jalisco, frente 1.</v>
      </c>
      <c r="F303" s="7" t="s">
        <v>939</v>
      </c>
      <c r="G303" s="11">
        <f>'[1]V, inciso o) (OP)'!Y159</f>
        <v>1415754.87</v>
      </c>
      <c r="H303" s="7" t="s">
        <v>582</v>
      </c>
      <c r="I303" s="7" t="str">
        <f>'[1]V, inciso o) (OP)'!M159</f>
        <v>REGINO</v>
      </c>
      <c r="J303" s="7" t="str">
        <f>'[1]V, inciso o) (OP)'!N159</f>
        <v>RUIZ DEL CAMPO</v>
      </c>
      <c r="K303" s="7" t="str">
        <f>'[1]V, inciso o) (OP)'!O159</f>
        <v>MEDINA</v>
      </c>
      <c r="L303" s="7" t="str">
        <f>'[1]V, inciso o) (OP)'!P159</f>
        <v>Regino Ruiz del Campo Medina</v>
      </c>
      <c r="M303" s="7" t="str">
        <f>'[1]V, inciso o) (OP)'!Q159</f>
        <v>RUMR771116UA8</v>
      </c>
      <c r="N303" s="11">
        <f t="shared" si="8"/>
        <v>1415754.87</v>
      </c>
      <c r="O303" s="7" t="s">
        <v>40</v>
      </c>
      <c r="P303" s="7" t="s">
        <v>953</v>
      </c>
      <c r="Q303" s="11">
        <f>N303/1136</f>
        <v>1246.2630897887325</v>
      </c>
      <c r="R303" s="7" t="s">
        <v>42</v>
      </c>
      <c r="S303" s="15">
        <v>1465</v>
      </c>
      <c r="T303" s="7" t="s">
        <v>43</v>
      </c>
      <c r="U303" s="7" t="s">
        <v>584</v>
      </c>
      <c r="V303" s="13">
        <f>'[1]V, inciso o) (OP)'!AD159</f>
        <v>42814</v>
      </c>
      <c r="W303" s="13">
        <f>'[1]V, inciso o) (OP)'!AE159</f>
        <v>42916</v>
      </c>
      <c r="X303" s="7" t="s">
        <v>954</v>
      </c>
      <c r="Y303" s="7" t="s">
        <v>814</v>
      </c>
      <c r="Z303" s="7" t="s">
        <v>268</v>
      </c>
      <c r="AA303" s="7" t="s">
        <v>40</v>
      </c>
      <c r="AB303" s="7" t="s">
        <v>40</v>
      </c>
    </row>
    <row r="304" spans="1:28" ht="69.95" customHeight="1">
      <c r="A304" s="7">
        <v>2017</v>
      </c>
      <c r="B304" s="7" t="s">
        <v>64</v>
      </c>
      <c r="C304" s="7" t="str">
        <f>'[1]V, inciso o) (OP)'!C160</f>
        <v>DOPI-MUN-FORTA-BAN-AD-017-2017</v>
      </c>
      <c r="D304" s="13">
        <f>'[1]V, inciso o) (OP)'!V163</f>
        <v>42804</v>
      </c>
      <c r="E304" s="7" t="str">
        <f>'[1]V, inciso o) (OP)'!AA160</f>
        <v xml:space="preserve">Peatonalización, construcción de banquetas, sustitución de guarniciones, bolardos, primera etapa en la colonia Constitución, municipio de Zapopan, Jalisco.  </v>
      </c>
      <c r="F304" s="7" t="s">
        <v>939</v>
      </c>
      <c r="G304" s="11">
        <f>'[1]V, inciso o) (OP)'!Y160</f>
        <v>1358967.17</v>
      </c>
      <c r="H304" s="7" t="s">
        <v>582</v>
      </c>
      <c r="I304" s="7" t="str">
        <f>'[1]V, inciso o) (OP)'!M160</f>
        <v>SERGIO CESAR</v>
      </c>
      <c r="J304" s="7" t="str">
        <f>'[1]V, inciso o) (OP)'!N160</f>
        <v>DIAZ</v>
      </c>
      <c r="K304" s="7" t="str">
        <f>'[1]V, inciso o) (OP)'!O160</f>
        <v>QUIROZ</v>
      </c>
      <c r="L304" s="7" t="str">
        <f>'[1]V, inciso o) (OP)'!P160</f>
        <v>Transcreto, S. A. de C. V.</v>
      </c>
      <c r="M304" s="7" t="str">
        <f>'[1]V, inciso o) (OP)'!Q160</f>
        <v>TRA750528286</v>
      </c>
      <c r="N304" s="11">
        <f t="shared" si="8"/>
        <v>1358967.17</v>
      </c>
      <c r="O304" s="7" t="s">
        <v>40</v>
      </c>
      <c r="P304" s="7" t="s">
        <v>955</v>
      </c>
      <c r="Q304" s="11">
        <f>N304/5662</f>
        <v>240.01539561992229</v>
      </c>
      <c r="R304" s="7" t="s">
        <v>42</v>
      </c>
      <c r="S304" s="15">
        <v>12983</v>
      </c>
      <c r="T304" s="7" t="s">
        <v>43</v>
      </c>
      <c r="U304" s="7" t="s">
        <v>584</v>
      </c>
      <c r="V304" s="13">
        <f>'[1]V, inciso o) (OP)'!AD160</f>
        <v>42814</v>
      </c>
      <c r="W304" s="13">
        <f>'[1]V, inciso o) (OP)'!AE160</f>
        <v>42855</v>
      </c>
      <c r="X304" s="7" t="s">
        <v>956</v>
      </c>
      <c r="Y304" s="7" t="s">
        <v>651</v>
      </c>
      <c r="Z304" s="7" t="s">
        <v>652</v>
      </c>
      <c r="AA304" s="9" t="s">
        <v>1315</v>
      </c>
      <c r="AB304" s="7" t="s">
        <v>40</v>
      </c>
    </row>
    <row r="305" spans="1:28" ht="69.95" customHeight="1">
      <c r="A305" s="7">
        <v>2017</v>
      </c>
      <c r="B305" s="7" t="s">
        <v>64</v>
      </c>
      <c r="C305" s="7" t="str">
        <f>'[1]V, inciso o) (OP)'!C161</f>
        <v>DOPI-MUN-FORTA-BAN-AD-018-2017</v>
      </c>
      <c r="D305" s="13">
        <f>'[1]V, inciso o) (OP)'!V164</f>
        <v>42804</v>
      </c>
      <c r="E305" s="7" t="str">
        <f>'[1]V, inciso o) (OP)'!AA161</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F305" s="7" t="s">
        <v>939</v>
      </c>
      <c r="G305" s="11">
        <f>'[1]V, inciso o) (OP)'!Y161</f>
        <v>1475115.16</v>
      </c>
      <c r="H305" s="7" t="s">
        <v>582</v>
      </c>
      <c r="I305" s="7" t="str">
        <f>'[1]V, inciso o) (OP)'!M161</f>
        <v>GUSTAVO</v>
      </c>
      <c r="J305" s="7" t="str">
        <f>'[1]V, inciso o) (OP)'!N161</f>
        <v>DURAN</v>
      </c>
      <c r="K305" s="7" t="str">
        <f>'[1]V, inciso o) (OP)'!O161</f>
        <v>JIMENEZ</v>
      </c>
      <c r="L305" s="7" t="str">
        <f>'[1]V, inciso o) (OP)'!P161</f>
        <v>Duran Jiménez Arquitectos, S. A. de C. V.</v>
      </c>
      <c r="M305" s="7" t="str">
        <f>'[1]V, inciso o) (OP)'!Q161</f>
        <v>DJA9405184G7</v>
      </c>
      <c r="N305" s="11">
        <f t="shared" si="8"/>
        <v>1475115.16</v>
      </c>
      <c r="O305" s="7" t="s">
        <v>40</v>
      </c>
      <c r="P305" s="7" t="s">
        <v>957</v>
      </c>
      <c r="Q305" s="11">
        <f>N305/6946</f>
        <v>212.36901238122658</v>
      </c>
      <c r="R305" s="7" t="s">
        <v>42</v>
      </c>
      <c r="S305" s="15">
        <v>1315</v>
      </c>
      <c r="T305" s="7" t="s">
        <v>43</v>
      </c>
      <c r="U305" s="7" t="s">
        <v>584</v>
      </c>
      <c r="V305" s="13">
        <f>'[1]V, inciso o) (OP)'!AD161</f>
        <v>42814</v>
      </c>
      <c r="W305" s="13">
        <f>'[1]V, inciso o) (OP)'!AE161</f>
        <v>42916</v>
      </c>
      <c r="X305" s="7" t="s">
        <v>668</v>
      </c>
      <c r="Y305" s="7" t="s">
        <v>88</v>
      </c>
      <c r="Z305" s="7" t="s">
        <v>89</v>
      </c>
      <c r="AA305" s="7" t="s">
        <v>40</v>
      </c>
      <c r="AB305" s="7" t="s">
        <v>40</v>
      </c>
    </row>
    <row r="306" spans="1:28" ht="69.95" customHeight="1">
      <c r="A306" s="7">
        <v>2017</v>
      </c>
      <c r="B306" s="7" t="s">
        <v>64</v>
      </c>
      <c r="C306" s="7" t="str">
        <f>'[1]V, inciso o) (OP)'!C162</f>
        <v>DOPI-MUN-FORTA-DES-AD-019-2017</v>
      </c>
      <c r="D306" s="13">
        <f>'[1]V, inciso o) (OP)'!V165</f>
        <v>42804</v>
      </c>
      <c r="E306" s="7" t="str">
        <f>'[1]V, inciso o) (OP)'!AA162</f>
        <v>Desazolve, limpieza, rectificación y obras de protección de cauce y canal del Arroyo La Culebra, en Villas Universidad, Royal Country y Puerta Plata, municipio de Zapopan, Jalisco.</v>
      </c>
      <c r="F306" s="7" t="s">
        <v>939</v>
      </c>
      <c r="G306" s="11">
        <f>'[1]V, inciso o) (OP)'!Y162</f>
        <v>1515350.23</v>
      </c>
      <c r="H306" s="7" t="s">
        <v>958</v>
      </c>
      <c r="I306" s="7" t="str">
        <f>'[1]V, inciso o) (OP)'!M162</f>
        <v>CLARISSA GABRIELA</v>
      </c>
      <c r="J306" s="7" t="str">
        <f>'[1]V, inciso o) (OP)'!N162</f>
        <v>VALDEZ</v>
      </c>
      <c r="K306" s="7" t="str">
        <f>'[1]V, inciso o) (OP)'!O162</f>
        <v>MANJARREZ</v>
      </c>
      <c r="L306" s="7" t="str">
        <f>'[1]V, inciso o) (OP)'!P162</f>
        <v>Tekton Grupo Empresarial, S. A. de C. V.</v>
      </c>
      <c r="M306" s="7" t="str">
        <f>'[1]V, inciso o) (OP)'!Q162</f>
        <v>TGE101215JI6</v>
      </c>
      <c r="N306" s="11">
        <f t="shared" si="8"/>
        <v>1515350.23</v>
      </c>
      <c r="O306" s="7" t="s">
        <v>40</v>
      </c>
      <c r="P306" s="7" t="s">
        <v>959</v>
      </c>
      <c r="Q306" s="11">
        <f>N306/2162</f>
        <v>700.9020490286772</v>
      </c>
      <c r="R306" s="7" t="s">
        <v>42</v>
      </c>
      <c r="S306" s="15">
        <v>4048</v>
      </c>
      <c r="T306" s="7" t="s">
        <v>43</v>
      </c>
      <c r="U306" s="7" t="s">
        <v>584</v>
      </c>
      <c r="V306" s="13">
        <f>'[1]V, inciso o) (OP)'!AD162</f>
        <v>42807</v>
      </c>
      <c r="W306" s="13">
        <f>'[1]V, inciso o) (OP)'!AE162</f>
        <v>42870</v>
      </c>
      <c r="X306" s="7" t="s">
        <v>935</v>
      </c>
      <c r="Y306" s="7" t="s">
        <v>960</v>
      </c>
      <c r="Z306" s="7" t="s">
        <v>462</v>
      </c>
      <c r="AA306" s="7" t="s">
        <v>40</v>
      </c>
      <c r="AB306" s="7" t="s">
        <v>40</v>
      </c>
    </row>
    <row r="307" spans="1:28" ht="69.95" customHeight="1">
      <c r="A307" s="7">
        <v>2017</v>
      </c>
      <c r="B307" s="7" t="s">
        <v>64</v>
      </c>
      <c r="C307" s="7" t="str">
        <f>'[1]V, inciso o) (OP)'!C163</f>
        <v>DOPI-MUN-FORTA-DES-AD-020-2017</v>
      </c>
      <c r="D307" s="13">
        <f>'[1]V, inciso o) (OP)'!V166</f>
        <v>42804</v>
      </c>
      <c r="E307" s="7" t="str">
        <f>'[1]V, inciso o) (OP)'!AA163</f>
        <v>Desazolve, limpieza, rectificación y obras de protección de cauce y canal del Arroyos El Húmedo y El caracol y el canal Las Agujas Poniente, municipio de Zapopan, Jalisco.</v>
      </c>
      <c r="F307" s="7" t="s">
        <v>939</v>
      </c>
      <c r="G307" s="11">
        <f>'[1]V, inciso o) (OP)'!Y163</f>
        <v>1405369.66</v>
      </c>
      <c r="H307" s="7" t="s">
        <v>961</v>
      </c>
      <c r="I307" s="7" t="str">
        <f>'[1]V, inciso o) (OP)'!M163</f>
        <v>JOSE ANTONIO</v>
      </c>
      <c r="J307" s="7" t="str">
        <f>'[1]V, inciso o) (OP)'!N163</f>
        <v>ALVAREZ</v>
      </c>
      <c r="K307" s="7" t="str">
        <f>'[1]V, inciso o) (OP)'!O163</f>
        <v>GARCIA</v>
      </c>
      <c r="L307" s="7" t="str">
        <f>'[1]V, inciso o) (OP)'!P163</f>
        <v>Urcoma 1970, S. A. de C. V.</v>
      </c>
      <c r="M307" s="7" t="str">
        <f>'[1]V, inciso o) (OP)'!Q163</f>
        <v>UMN160125869</v>
      </c>
      <c r="N307" s="11">
        <f t="shared" si="8"/>
        <v>1405369.66</v>
      </c>
      <c r="O307" s="7" t="s">
        <v>40</v>
      </c>
      <c r="P307" s="7" t="s">
        <v>962</v>
      </c>
      <c r="Q307" s="11">
        <f>N307/3645</f>
        <v>385.56094924554179</v>
      </c>
      <c r="R307" s="7" t="s">
        <v>42</v>
      </c>
      <c r="S307" s="15">
        <v>11771</v>
      </c>
      <c r="T307" s="7" t="s">
        <v>43</v>
      </c>
      <c r="U307" s="7" t="s">
        <v>584</v>
      </c>
      <c r="V307" s="13">
        <f>'[1]V, inciso o) (OP)'!AD163</f>
        <v>42807</v>
      </c>
      <c r="W307" s="13">
        <f>'[1]V, inciso o) (OP)'!AE163</f>
        <v>42870</v>
      </c>
      <c r="X307" s="7" t="s">
        <v>963</v>
      </c>
      <c r="Y307" s="7" t="s">
        <v>545</v>
      </c>
      <c r="Z307" s="7" t="s">
        <v>212</v>
      </c>
      <c r="AA307" s="7" t="s">
        <v>40</v>
      </c>
      <c r="AB307" s="7" t="s">
        <v>40</v>
      </c>
    </row>
    <row r="308" spans="1:28" ht="69.95" customHeight="1">
      <c r="A308" s="7">
        <v>2017</v>
      </c>
      <c r="B308" s="7" t="s">
        <v>64</v>
      </c>
      <c r="C308" s="7" t="str">
        <f>'[1]V, inciso o) (OP)'!C164</f>
        <v>DOPI-MUN-FORTA-DES-AD-021-2017</v>
      </c>
      <c r="D308" s="13">
        <f>'[1]V, inciso o) (OP)'!V167</f>
        <v>42804</v>
      </c>
      <c r="E308" s="7" t="str">
        <f>'[1]V, inciso o) (OP)'!AA164</f>
        <v>Desazolve, limpieza, rectificación, obras de protección y adecuaciones pluviales en el canal Las Agujas Oriente, municipio de Zapopan, Jalisco.</v>
      </c>
      <c r="F308" s="7" t="s">
        <v>939</v>
      </c>
      <c r="G308" s="11">
        <f>'[1]V, inciso o) (OP)'!Y164</f>
        <v>1452877.98</v>
      </c>
      <c r="H308" s="7" t="s">
        <v>961</v>
      </c>
      <c r="I308" s="7" t="str">
        <f>'[1]V, inciso o) (OP)'!M164</f>
        <v>JOSE ANTONIO</v>
      </c>
      <c r="J308" s="7" t="str">
        <f>'[1]V, inciso o) (OP)'!N164</f>
        <v>ALVAREZ</v>
      </c>
      <c r="K308" s="7" t="str">
        <f>'[1]V, inciso o) (OP)'!O164</f>
        <v>ZULOAGA</v>
      </c>
      <c r="L308" s="7" t="str">
        <f>'[1]V, inciso o) (OP)'!P164</f>
        <v>Grupo Desarrollador Alzu, S. A. de C. V.</v>
      </c>
      <c r="M308" s="7" t="str">
        <f>'[1]V, inciso o) (OP)'!Q164</f>
        <v>GDA150928286</v>
      </c>
      <c r="N308" s="11">
        <f t="shared" si="8"/>
        <v>1452877.98</v>
      </c>
      <c r="O308" s="7" t="s">
        <v>40</v>
      </c>
      <c r="P308" s="7" t="s">
        <v>964</v>
      </c>
      <c r="Q308" s="11">
        <f>N308/260</f>
        <v>5587.9922307692304</v>
      </c>
      <c r="R308" s="7" t="s">
        <v>42</v>
      </c>
      <c r="S308" s="15">
        <v>5836</v>
      </c>
      <c r="T308" s="7" t="s">
        <v>43</v>
      </c>
      <c r="U308" s="7" t="s">
        <v>584</v>
      </c>
      <c r="V308" s="13">
        <f>'[1]V, inciso o) (OP)'!AD164</f>
        <v>42807</v>
      </c>
      <c r="W308" s="13">
        <f>'[1]V, inciso o) (OP)'!AE164</f>
        <v>42870</v>
      </c>
      <c r="X308" s="7" t="s">
        <v>963</v>
      </c>
      <c r="Y308" s="7" t="s">
        <v>545</v>
      </c>
      <c r="Z308" s="7" t="s">
        <v>212</v>
      </c>
      <c r="AA308" s="7" t="s">
        <v>40</v>
      </c>
      <c r="AB308" s="7" t="s">
        <v>40</v>
      </c>
    </row>
    <row r="309" spans="1:28" ht="69.95" customHeight="1">
      <c r="A309" s="7">
        <v>2017</v>
      </c>
      <c r="B309" s="7" t="s">
        <v>64</v>
      </c>
      <c r="C309" s="7" t="str">
        <f>'[1]V, inciso o) (OP)'!C165</f>
        <v>DOPI-MUN-FORTA-DES-AD-022-2017</v>
      </c>
      <c r="D309" s="13">
        <f>'[1]V, inciso o) (OP)'!V168</f>
        <v>42804</v>
      </c>
      <c r="E309" s="7" t="str">
        <f>'[1]V, inciso o) (OP)'!AA165</f>
        <v>Desazolve, limpieza, rectificación y obras de protección en los Arroyos Seco y El Garabato, municipio de Zapopan, Jalisco.</v>
      </c>
      <c r="F309" s="7" t="s">
        <v>939</v>
      </c>
      <c r="G309" s="11">
        <f>'[1]V, inciso o) (OP)'!Y165</f>
        <v>1383674.16</v>
      </c>
      <c r="H309" s="7" t="s">
        <v>965</v>
      </c>
      <c r="I309" s="7" t="str">
        <f>'[1]V, inciso o) (OP)'!M165</f>
        <v xml:space="preserve">GUILLERMO ALBERTO </v>
      </c>
      <c r="J309" s="7" t="str">
        <f>'[1]V, inciso o) (OP)'!N165</f>
        <v>RODRIGUEZ</v>
      </c>
      <c r="K309" s="7" t="str">
        <f>'[1]V, inciso o) (OP)'!O165</f>
        <v>ALLENDE</v>
      </c>
      <c r="L309" s="7" t="str">
        <f>'[1]V, inciso o) (OP)'!P165</f>
        <v>Grupo Constructor MR de Jalisco, S. A. de C. V.</v>
      </c>
      <c r="M309" s="7" t="str">
        <f>'[1]V, inciso o) (OP)'!Q165</f>
        <v>GCM121112J86</v>
      </c>
      <c r="N309" s="11">
        <f t="shared" si="8"/>
        <v>1383674.16</v>
      </c>
      <c r="O309" s="7" t="s">
        <v>40</v>
      </c>
      <c r="P309" s="7" t="s">
        <v>966</v>
      </c>
      <c r="Q309" s="11">
        <f>N309/4523</f>
        <v>305.9195578156091</v>
      </c>
      <c r="R309" s="7" t="s">
        <v>42</v>
      </c>
      <c r="S309" s="15">
        <v>13284</v>
      </c>
      <c r="T309" s="7" t="s">
        <v>43</v>
      </c>
      <c r="U309" s="7" t="s">
        <v>584</v>
      </c>
      <c r="V309" s="13">
        <f>'[1]V, inciso o) (OP)'!AD165</f>
        <v>42807</v>
      </c>
      <c r="W309" s="13">
        <f>'[1]V, inciso o) (OP)'!AE165</f>
        <v>42870</v>
      </c>
      <c r="X309" s="7" t="s">
        <v>967</v>
      </c>
      <c r="Y309" s="7" t="s">
        <v>383</v>
      </c>
      <c r="Z309" s="7" t="s">
        <v>300</v>
      </c>
      <c r="AA309" s="7" t="s">
        <v>40</v>
      </c>
      <c r="AB309" s="7" t="s">
        <v>40</v>
      </c>
    </row>
    <row r="310" spans="1:28" ht="69.95" customHeight="1">
      <c r="A310" s="7">
        <v>2017</v>
      </c>
      <c r="B310" s="7" t="s">
        <v>64</v>
      </c>
      <c r="C310" s="7" t="str">
        <f>'[1]V, inciso o) (OP)'!C166</f>
        <v>DOPI-MUN-FORTA-DES-AD-023-2017</v>
      </c>
      <c r="D310" s="13">
        <f>'[1]V, inciso o) (OP)'!V169</f>
        <v>42811</v>
      </c>
      <c r="E310" s="7" t="str">
        <f>'[1]V, inciso o) (OP)'!AA166</f>
        <v>Desazolve, limpieza, rectificación, obras de protección y colocación de Gaviones en el Arroyo La Campana frente 1, municipio de Zapopan, Jalisco.</v>
      </c>
      <c r="F310" s="7" t="s">
        <v>939</v>
      </c>
      <c r="G310" s="11">
        <f>'[1]V, inciso o) (OP)'!Y166</f>
        <v>1475823.51</v>
      </c>
      <c r="H310" s="7" t="s">
        <v>968</v>
      </c>
      <c r="I310" s="7" t="str">
        <f>'[1]V, inciso o) (OP)'!M166</f>
        <v>OSCAR LUIS</v>
      </c>
      <c r="J310" s="7" t="str">
        <f>'[1]V, inciso o) (OP)'!N166</f>
        <v>CHAVEZ</v>
      </c>
      <c r="K310" s="7" t="str">
        <f>'[1]V, inciso o) (OP)'!O166</f>
        <v>GONZALEZ</v>
      </c>
      <c r="L310" s="7" t="str">
        <f>'[1]V, inciso o) (OP)'!P166</f>
        <v>Euro Trade, S. A. de C. V.</v>
      </c>
      <c r="M310" s="7" t="str">
        <f>'[1]V, inciso o) (OP)'!Q166</f>
        <v>ETR070417NS8</v>
      </c>
      <c r="N310" s="11">
        <f t="shared" si="8"/>
        <v>1475823.51</v>
      </c>
      <c r="O310" s="7" t="s">
        <v>40</v>
      </c>
      <c r="P310" s="7" t="s">
        <v>942</v>
      </c>
      <c r="Q310" s="11">
        <f>N310/600</f>
        <v>2459.7058499999998</v>
      </c>
      <c r="R310" s="7" t="s">
        <v>42</v>
      </c>
      <c r="S310" s="15">
        <v>2093</v>
      </c>
      <c r="T310" s="7" t="s">
        <v>43</v>
      </c>
      <c r="U310" s="7" t="s">
        <v>584</v>
      </c>
      <c r="V310" s="13">
        <f>'[1]V, inciso o) (OP)'!AD166</f>
        <v>42807</v>
      </c>
      <c r="W310" s="13">
        <f>'[1]V, inciso o) (OP)'!AE166</f>
        <v>42870</v>
      </c>
      <c r="X310" s="7" t="s">
        <v>793</v>
      </c>
      <c r="Y310" s="7" t="s">
        <v>76</v>
      </c>
      <c r="Z310" s="7" t="s">
        <v>344</v>
      </c>
      <c r="AA310" s="7" t="s">
        <v>40</v>
      </c>
      <c r="AB310" s="7" t="s">
        <v>40</v>
      </c>
    </row>
    <row r="311" spans="1:28" ht="69.95" customHeight="1">
      <c r="A311" s="7">
        <v>2017</v>
      </c>
      <c r="B311" s="7" t="s">
        <v>64</v>
      </c>
      <c r="C311" s="7" t="str">
        <f>'[1]V, inciso o) (OP)'!C167</f>
        <v>DOPI-MUN-FORTA-OC-024-AD-2017</v>
      </c>
      <c r="D311" s="13">
        <f>'[1]V, inciso o) (OP)'!V170</f>
        <v>42811</v>
      </c>
      <c r="E311" s="7" t="str">
        <f>'[1]V, inciso o) (OP)'!AA167</f>
        <v>Obras emergentes de reparación y reconstrucción de infraestructura urbana pluvial y sanitaria, en el municipio de Zapopan, frente 1.</v>
      </c>
      <c r="F311" s="7" t="s">
        <v>939</v>
      </c>
      <c r="G311" s="11">
        <f>'[1]V, inciso o) (OP)'!Y167</f>
        <v>1350254.48</v>
      </c>
      <c r="H311" s="7" t="s">
        <v>582</v>
      </c>
      <c r="I311" s="7" t="str">
        <f>'[1]V, inciso o) (OP)'!M167</f>
        <v>ELBA</v>
      </c>
      <c r="J311" s="7" t="str">
        <f>'[1]V, inciso o) (OP)'!N167</f>
        <v xml:space="preserve">GONZÁLEZ </v>
      </c>
      <c r="K311" s="7" t="str">
        <f>'[1]V, inciso o) (OP)'!O167</f>
        <v>AGUIRRE</v>
      </c>
      <c r="L311" s="7" t="str">
        <f>'[1]V, inciso o) (OP)'!P167</f>
        <v>GA Urbanización, S. A. de C. V.</v>
      </c>
      <c r="M311" s="7" t="str">
        <f>'[1]V, inciso o) (OP)'!Q167</f>
        <v>GUR120612P22</v>
      </c>
      <c r="N311" s="11">
        <f t="shared" si="8"/>
        <v>1350254.48</v>
      </c>
      <c r="O311" s="7" t="s">
        <v>40</v>
      </c>
      <c r="P311" s="7" t="s">
        <v>969</v>
      </c>
      <c r="Q311" s="11">
        <f>N311/643</f>
        <v>2099.9292068429236</v>
      </c>
      <c r="R311" s="7" t="s">
        <v>42</v>
      </c>
      <c r="S311" s="15">
        <v>4588</v>
      </c>
      <c r="T311" s="7" t="s">
        <v>43</v>
      </c>
      <c r="U311" s="7" t="s">
        <v>584</v>
      </c>
      <c r="V311" s="13">
        <f>'[1]V, inciso o) (OP)'!AD167</f>
        <v>42807</v>
      </c>
      <c r="W311" s="13">
        <f>'[1]V, inciso o) (OP)'!AE167</f>
        <v>42931</v>
      </c>
      <c r="X311" s="7" t="s">
        <v>948</v>
      </c>
      <c r="Y311" s="7" t="s">
        <v>847</v>
      </c>
      <c r="Z311" s="7" t="s">
        <v>848</v>
      </c>
      <c r="AA311" s="7" t="s">
        <v>40</v>
      </c>
      <c r="AB311" s="7" t="s">
        <v>40</v>
      </c>
    </row>
    <row r="312" spans="1:28" ht="69.95" customHeight="1">
      <c r="A312" s="7">
        <v>2017</v>
      </c>
      <c r="B312" s="7" t="s">
        <v>64</v>
      </c>
      <c r="C312" s="7" t="str">
        <f>'[1]V, inciso o) (OP)'!C168</f>
        <v>DOPI-MUN-FORTA-OC-AD-025-2017</v>
      </c>
      <c r="D312" s="13">
        <f>'[1]V, inciso o) (OP)'!V171</f>
        <v>42811</v>
      </c>
      <c r="E312" s="7" t="str">
        <f>'[1]V, inciso o) (OP)'!AA168</f>
        <v>Construcción de cárcamos para el manejo de filtraciones de lixiviados en el relleno sanitario Picachos, municipio de Zapopan, Jalisco.</v>
      </c>
      <c r="F312" s="7" t="s">
        <v>939</v>
      </c>
      <c r="G312" s="11">
        <f>'[1]V, inciso o) (OP)'!Y168</f>
        <v>1510624.8</v>
      </c>
      <c r="H312" s="7" t="s">
        <v>970</v>
      </c>
      <c r="I312" s="7" t="str">
        <f>'[1]V, inciso o) (OP)'!M168</f>
        <v>GUSTAVO ALEJANDRO</v>
      </c>
      <c r="J312" s="7" t="str">
        <f>'[1]V, inciso o) (OP)'!N168</f>
        <v>LEDEZMA</v>
      </c>
      <c r="K312" s="7" t="str">
        <f>'[1]V, inciso o) (OP)'!O168</f>
        <v xml:space="preserve"> CERVANTES</v>
      </c>
      <c r="L312" s="7" t="str">
        <f>'[1]V, inciso o) (OP)'!P168</f>
        <v>Edificaciones y Proyectos Roca, S. A. de C. V.</v>
      </c>
      <c r="M312" s="7" t="str">
        <f>'[1]V, inciso o) (OP)'!Q168</f>
        <v>EPR131016I71</v>
      </c>
      <c r="N312" s="11">
        <f t="shared" si="8"/>
        <v>1510624.8</v>
      </c>
      <c r="O312" s="7" t="s">
        <v>40</v>
      </c>
      <c r="P312" s="7" t="s">
        <v>971</v>
      </c>
      <c r="Q312" s="11">
        <f>N312/3</f>
        <v>503541.60000000003</v>
      </c>
      <c r="R312" s="7" t="s">
        <v>42</v>
      </c>
      <c r="S312" s="15">
        <v>1332272</v>
      </c>
      <c r="T312" s="7" t="s">
        <v>43</v>
      </c>
      <c r="U312" s="7" t="s">
        <v>584</v>
      </c>
      <c r="V312" s="13">
        <f>'[1]V, inciso o) (OP)'!AD168</f>
        <v>42807</v>
      </c>
      <c r="W312" s="13">
        <f>'[1]V, inciso o) (OP)'!AE168</f>
        <v>42870</v>
      </c>
      <c r="X312" s="7" t="s">
        <v>699</v>
      </c>
      <c r="Y312" s="7" t="s">
        <v>513</v>
      </c>
      <c r="Z312" s="7" t="s">
        <v>280</v>
      </c>
      <c r="AA312" s="7" t="s">
        <v>40</v>
      </c>
      <c r="AB312" s="7" t="s">
        <v>40</v>
      </c>
    </row>
    <row r="313" spans="1:28" ht="69.95" customHeight="1">
      <c r="A313" s="7">
        <v>2017</v>
      </c>
      <c r="B313" s="7" t="s">
        <v>64</v>
      </c>
      <c r="C313" s="7" t="str">
        <f>'[1]V, inciso o) (OP)'!C169</f>
        <v>DOPI-MUN-FORTA-OC-AD-026-2017</v>
      </c>
      <c r="D313" s="13">
        <f>'[1]V, inciso o) (OP)'!V172</f>
        <v>42797</v>
      </c>
      <c r="E313" s="7" t="str">
        <f>'[1]V, inciso o) (OP)'!AA169</f>
        <v>Trabajos de rehabilitación (manga con curado ultravioleta) de colector sanitario López Mateos - Pinar de la Calma, para evitar socavaciones, en el tramo de Av. Galileo Galilei a La Glorieta Las Fuentes, municipio de Zapopan, Jalisco.</v>
      </c>
      <c r="F313" s="7" t="s">
        <v>939</v>
      </c>
      <c r="G313" s="11">
        <f>'[1]V, inciso o) (OP)'!Y169</f>
        <v>917334.92</v>
      </c>
      <c r="H313" s="7" t="s">
        <v>972</v>
      </c>
      <c r="I313" s="7" t="str">
        <f>'[1]V, inciso o) (OP)'!M169</f>
        <v>MARÍA RAQUEL</v>
      </c>
      <c r="J313" s="7" t="str">
        <f>'[1]V, inciso o) (OP)'!N169</f>
        <v>ROMO</v>
      </c>
      <c r="K313" s="7" t="str">
        <f>'[1]V, inciso o) (OP)'!O169</f>
        <v>LÓPEZ</v>
      </c>
      <c r="L313" s="7" t="str">
        <f>'[1]V, inciso o) (OP)'!P169</f>
        <v>B&amp;G Construcción y Rehabilitación de Redes, S. A. de C. V.</v>
      </c>
      <c r="M313" s="7" t="str">
        <f>'[1]V, inciso o) (OP)'!Q169</f>
        <v>BCR080530NPA</v>
      </c>
      <c r="N313" s="11">
        <f t="shared" si="8"/>
        <v>917334.92</v>
      </c>
      <c r="O313" s="7" t="s">
        <v>40</v>
      </c>
      <c r="P313" s="7" t="s">
        <v>973</v>
      </c>
      <c r="Q313" s="11">
        <f>N313/93</f>
        <v>9863.8163440860226</v>
      </c>
      <c r="R313" s="7" t="s">
        <v>42</v>
      </c>
      <c r="S313" s="15">
        <v>6285</v>
      </c>
      <c r="T313" s="7" t="s">
        <v>43</v>
      </c>
      <c r="U313" s="7" t="s">
        <v>584</v>
      </c>
      <c r="V313" s="13">
        <f>'[1]V, inciso o) (OP)'!AD169</f>
        <v>42814</v>
      </c>
      <c r="W313" s="13">
        <f>'[1]V, inciso o) (OP)'!AE169</f>
        <v>42885</v>
      </c>
      <c r="X313" s="7" t="s">
        <v>974</v>
      </c>
      <c r="Y313" s="7" t="s">
        <v>975</v>
      </c>
      <c r="Z313" s="7" t="s">
        <v>976</v>
      </c>
      <c r="AA313" s="7" t="s">
        <v>40</v>
      </c>
      <c r="AB313" s="7" t="s">
        <v>40</v>
      </c>
    </row>
    <row r="314" spans="1:28" ht="69.95" customHeight="1">
      <c r="A314" s="7">
        <v>2017</v>
      </c>
      <c r="B314" s="7" t="s">
        <v>64</v>
      </c>
      <c r="C314" s="7" t="str">
        <f>'[1]V, inciso o) (OP)'!C170</f>
        <v>DOPI-MUN-FORTA-IE-AD-027-2017</v>
      </c>
      <c r="D314" s="13">
        <f>'[1]V, inciso o) (OP)'!V173</f>
        <v>42811</v>
      </c>
      <c r="E314" s="7" t="str">
        <f>'[1]V, inciso o) (OP)'!AA170</f>
        <v>Suministro y colocación de estructuras de protección de rayos ultravioleta en los planteles educativos: Primaria Diego Rivera (14DPR3789G) y Escuela Alfredo V. Bonfil (14EPR1115G), municipio de Zapopan, Jalisco.</v>
      </c>
      <c r="F314" s="7" t="s">
        <v>939</v>
      </c>
      <c r="G314" s="11">
        <f>'[1]V, inciso o) (OP)'!Y170</f>
        <v>1357288.84</v>
      </c>
      <c r="H314" s="7" t="s">
        <v>977</v>
      </c>
      <c r="I314" s="7" t="str">
        <f>'[1]V, inciso o) (OP)'!M170</f>
        <v xml:space="preserve">ALEJANDRO LUIS </v>
      </c>
      <c r="J314" s="7" t="str">
        <f>'[1]V, inciso o) (OP)'!N170</f>
        <v xml:space="preserve">VAIDOVITS </v>
      </c>
      <c r="K314" s="7" t="str">
        <f>'[1]V, inciso o) (OP)'!O170</f>
        <v xml:space="preserve"> SCHNURER</v>
      </c>
      <c r="L314" s="7" t="str">
        <f>'[1]V, inciso o) (OP)'!P170</f>
        <v>Promaco de México, S. A. de C. V.</v>
      </c>
      <c r="M314" s="7" t="str">
        <f>'[1]V, inciso o) (OP)'!Q170</f>
        <v>PME930817EV7</v>
      </c>
      <c r="N314" s="11">
        <f t="shared" si="8"/>
        <v>1357288.84</v>
      </c>
      <c r="O314" s="7" t="s">
        <v>40</v>
      </c>
      <c r="P314" s="7" t="s">
        <v>978</v>
      </c>
      <c r="Q314" s="11">
        <f>N314/963</f>
        <v>1409.4380477673938</v>
      </c>
      <c r="R314" s="7" t="s">
        <v>42</v>
      </c>
      <c r="S314" s="15">
        <v>759</v>
      </c>
      <c r="T314" s="7" t="s">
        <v>43</v>
      </c>
      <c r="U314" s="7" t="s">
        <v>584</v>
      </c>
      <c r="V314" s="13">
        <f>'[1]V, inciso o) (OP)'!AD170</f>
        <v>42814</v>
      </c>
      <c r="W314" s="13">
        <f>'[1]V, inciso o) (OP)'!AE170</f>
        <v>42901</v>
      </c>
      <c r="X314" s="7" t="s">
        <v>937</v>
      </c>
      <c r="Y314" s="7" t="s">
        <v>88</v>
      </c>
      <c r="Z314" s="7" t="s">
        <v>89</v>
      </c>
      <c r="AA314" s="9" t="s">
        <v>1316</v>
      </c>
      <c r="AB314" s="7" t="s">
        <v>40</v>
      </c>
    </row>
    <row r="315" spans="1:28" ht="69.95" customHeight="1">
      <c r="A315" s="7">
        <v>2017</v>
      </c>
      <c r="B315" s="7" t="s">
        <v>64</v>
      </c>
      <c r="C315" s="7" t="str">
        <f>'[1]V, inciso o) (OP)'!C171</f>
        <v>DOPI-MUN-FORTA-IE-AD-028-2017</v>
      </c>
      <c r="D315" s="13">
        <f>'[1]V, inciso o) (OP)'!V174</f>
        <v>42811</v>
      </c>
      <c r="E315" s="7" t="s">
        <v>979</v>
      </c>
      <c r="F315" s="7" t="s">
        <v>939</v>
      </c>
      <c r="G315" s="11">
        <f>'[1]V, inciso o) (OP)'!Y171</f>
        <v>1374368.14</v>
      </c>
      <c r="H315" s="7" t="s">
        <v>80</v>
      </c>
      <c r="I315" s="7" t="str">
        <f>'[1]V, inciso o) (OP)'!M171</f>
        <v>ARTURO RAFAEL</v>
      </c>
      <c r="J315" s="7" t="str">
        <f>'[1]V, inciso o) (OP)'!N171</f>
        <v>SALAZAR</v>
      </c>
      <c r="K315" s="7" t="str">
        <f>'[1]V, inciso o) (OP)'!O171</f>
        <v>MARTIN DEL CAMPO</v>
      </c>
      <c r="L315" s="7" t="str">
        <f>'[1]V, inciso o) (OP)'!P171</f>
        <v>Kalmani Constructora, S. A. de C. V.</v>
      </c>
      <c r="M315" s="7" t="str">
        <f>'[1]V, inciso o) (OP)'!Q171</f>
        <v>KCO030922UM6</v>
      </c>
      <c r="N315" s="11">
        <f t="shared" si="8"/>
        <v>1374368.14</v>
      </c>
      <c r="O315" s="7" t="s">
        <v>40</v>
      </c>
      <c r="P315" s="7" t="s">
        <v>980</v>
      </c>
      <c r="Q315" s="11">
        <f>N315/975</f>
        <v>1409.6083487179485</v>
      </c>
      <c r="R315" s="7" t="s">
        <v>42</v>
      </c>
      <c r="S315" s="15">
        <v>1372</v>
      </c>
      <c r="T315" s="7" t="s">
        <v>43</v>
      </c>
      <c r="U315" s="7" t="s">
        <v>584</v>
      </c>
      <c r="V315" s="13">
        <f>'[1]V, inciso o) (OP)'!AD171</f>
        <v>42814</v>
      </c>
      <c r="W315" s="13">
        <f>'[1]V, inciso o) (OP)'!AE171</f>
        <v>42901</v>
      </c>
      <c r="X315" s="7" t="s">
        <v>937</v>
      </c>
      <c r="Y315" s="7" t="s">
        <v>88</v>
      </c>
      <c r="Z315" s="7" t="s">
        <v>89</v>
      </c>
      <c r="AA315" s="7" t="s">
        <v>40</v>
      </c>
      <c r="AB315" s="7" t="s">
        <v>40</v>
      </c>
    </row>
    <row r="316" spans="1:28" ht="69.95" customHeight="1">
      <c r="A316" s="7">
        <v>2017</v>
      </c>
      <c r="B316" s="7" t="s">
        <v>64</v>
      </c>
      <c r="C316" s="7" t="str">
        <f>'[1]V, inciso o) (OP)'!C172</f>
        <v>DOPI-MUN-FORTA-CAL-AD-029-2017</v>
      </c>
      <c r="D316" s="13">
        <f>'[1]V, inciso o) (OP)'!V175</f>
        <v>42811</v>
      </c>
      <c r="E316" s="7" t="str">
        <f>'[1]V, inciso o) (OP)'!AA172</f>
        <v>Control de calidad de diferentes obras 2017 del municipio de Zapopan, Jalisco, etapa 1.</v>
      </c>
      <c r="F316" s="7" t="s">
        <v>939</v>
      </c>
      <c r="G316" s="11">
        <f>'[1]V, inciso o) (OP)'!Y172</f>
        <v>975338.12</v>
      </c>
      <c r="H316" s="7" t="s">
        <v>231</v>
      </c>
      <c r="I316" s="7" t="str">
        <f>'[1]V, inciso o) (OP)'!M172</f>
        <v>RICARDO</v>
      </c>
      <c r="J316" s="7" t="str">
        <f>'[1]V, inciso o) (OP)'!N172</f>
        <v>MEZA</v>
      </c>
      <c r="K316" s="7" t="str">
        <f>'[1]V, inciso o) (OP)'!O172</f>
        <v>PONCE</v>
      </c>
      <c r="L316" s="7" t="str">
        <f>'[1]V, inciso o) (OP)'!P172</f>
        <v>CME Calidad, Modelo de Eficacia, S. A. de C. V.</v>
      </c>
      <c r="M316" s="7" t="str">
        <f>'[1]V, inciso o) (OP)'!Q172</f>
        <v>CCM1405243C4</v>
      </c>
      <c r="N316" s="11">
        <f t="shared" si="8"/>
        <v>975338.12</v>
      </c>
      <c r="O316" s="7" t="s">
        <v>40</v>
      </c>
      <c r="P316" s="7" t="s">
        <v>231</v>
      </c>
      <c r="Q316" s="11" t="s">
        <v>231</v>
      </c>
      <c r="R316" s="7" t="s">
        <v>232</v>
      </c>
      <c r="S316" s="15" t="s">
        <v>232</v>
      </c>
      <c r="T316" s="7" t="s">
        <v>43</v>
      </c>
      <c r="U316" s="7" t="s">
        <v>584</v>
      </c>
      <c r="V316" s="13">
        <f>'[1]V, inciso o) (OP)'!AD172</f>
        <v>42800</v>
      </c>
      <c r="W316" s="13">
        <f>'[1]V, inciso o) (OP)'!AE172</f>
        <v>42978</v>
      </c>
      <c r="X316" s="7" t="s">
        <v>981</v>
      </c>
      <c r="Y316" s="7" t="s">
        <v>595</v>
      </c>
      <c r="Z316" s="7" t="s">
        <v>596</v>
      </c>
      <c r="AA316" s="7" t="s">
        <v>40</v>
      </c>
      <c r="AB316" s="7" t="s">
        <v>40</v>
      </c>
    </row>
    <row r="317" spans="1:28" ht="69.95" customHeight="1">
      <c r="A317" s="7">
        <v>2017</v>
      </c>
      <c r="B317" s="7" t="s">
        <v>64</v>
      </c>
      <c r="C317" s="7" t="str">
        <f>'[1]V, inciso o) (OP)'!C173</f>
        <v>DOPI-MUN-RM-PAV-AD-030-2017</v>
      </c>
      <c r="D317" s="13">
        <f>'[1]V, inciso o) (OP)'!V176</f>
        <v>42811</v>
      </c>
      <c r="E317" s="7" t="str">
        <f>'[1]V, inciso o) (OP)'!AA173</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F317" s="7" t="s">
        <v>67</v>
      </c>
      <c r="G317" s="11">
        <f>'[1]V, inciso o) (OP)'!Y173</f>
        <v>1115083.45</v>
      </c>
      <c r="H317" s="7" t="s">
        <v>982</v>
      </c>
      <c r="I317" s="7" t="str">
        <f>'[1]V, inciso o) (OP)'!M173</f>
        <v>JOSE DE JESUS</v>
      </c>
      <c r="J317" s="7" t="str">
        <f>'[1]V, inciso o) (OP)'!N173</f>
        <v xml:space="preserve">CASTILLO </v>
      </c>
      <c r="K317" s="7" t="str">
        <f>'[1]V, inciso o) (OP)'!O173</f>
        <v>CARRILLO</v>
      </c>
      <c r="L317" s="7" t="str">
        <f>'[1]V, inciso o) (OP)'!P173</f>
        <v>Mapa Obras y Pavimentos, S.A. de C.V.</v>
      </c>
      <c r="M317" s="7" t="str">
        <f>'[1]V, inciso o) (OP)'!Q173</f>
        <v>MOP080610I53</v>
      </c>
      <c r="N317" s="11">
        <f t="shared" si="8"/>
        <v>1115083.45</v>
      </c>
      <c r="O317" s="7" t="s">
        <v>40</v>
      </c>
      <c r="P317" s="7" t="s">
        <v>983</v>
      </c>
      <c r="Q317" s="11">
        <f>N317/4800</f>
        <v>232.30905208333331</v>
      </c>
      <c r="R317" s="7" t="s">
        <v>42</v>
      </c>
      <c r="S317" s="15">
        <v>6694</v>
      </c>
      <c r="T317" s="7" t="s">
        <v>43</v>
      </c>
      <c r="U317" s="7" t="s">
        <v>584</v>
      </c>
      <c r="V317" s="13">
        <f>'[1]V, inciso o) (OP)'!AD173</f>
        <v>42814</v>
      </c>
      <c r="W317" s="13">
        <f>'[1]V, inciso o) (OP)'!AE173</f>
        <v>42855</v>
      </c>
      <c r="X317" s="7" t="s">
        <v>530</v>
      </c>
      <c r="Y317" s="7" t="s">
        <v>343</v>
      </c>
      <c r="Z317" s="7" t="s">
        <v>344</v>
      </c>
      <c r="AA317" s="7" t="s">
        <v>40</v>
      </c>
      <c r="AB317" s="7" t="s">
        <v>40</v>
      </c>
    </row>
    <row r="318" spans="1:28" ht="69.95" customHeight="1">
      <c r="A318" s="7">
        <v>2017</v>
      </c>
      <c r="B318" s="7" t="s">
        <v>64</v>
      </c>
      <c r="C318" s="7" t="str">
        <f>'[1]V, inciso o) (OP)'!C174</f>
        <v>DOPI-MUN-RM-PAV-AD-031-2017</v>
      </c>
      <c r="D318" s="13">
        <f>'[1]V, inciso o) (OP)'!V177</f>
        <v>42811</v>
      </c>
      <c r="E318" s="7" t="str">
        <f>'[1]V, inciso o) (OP)'!AA174</f>
        <v>Pavimentación, sello y bacheo en las calles Río Tuito, Río Lerma y Río Tequila en el tramo comprendido de Av. Tabachines a Av. Sierra de Tapalpa; y  calle Encinos de Av. Patria a calle Río Cihutatlán, en la colonia Loma Bonita Ejidal, municipio de Zapopan, Jalisco.</v>
      </c>
      <c r="F318" s="7" t="s">
        <v>67</v>
      </c>
      <c r="G318" s="11">
        <f>'[1]V, inciso o) (OP)'!Y174</f>
        <v>1498750.24</v>
      </c>
      <c r="H318" s="7" t="s">
        <v>984</v>
      </c>
      <c r="I318" s="7" t="str">
        <f>'[1]V, inciso o) (OP)'!M174</f>
        <v>DAVID EDUARDO</v>
      </c>
      <c r="J318" s="7" t="str">
        <f>'[1]V, inciso o) (OP)'!N174</f>
        <v>LARA</v>
      </c>
      <c r="K318" s="7" t="str">
        <f>'[1]V, inciso o) (OP)'!O174</f>
        <v>OCHOA</v>
      </c>
      <c r="L318" s="7" t="str">
        <f>'[1]V, inciso o) (OP)'!P174</f>
        <v>Construcciones Icu, S. A. de C. V</v>
      </c>
      <c r="M318" s="7" t="str">
        <f>'[1]V, inciso o) (OP)'!Q174</f>
        <v>CIC080626ER2</v>
      </c>
      <c r="N318" s="11">
        <f t="shared" si="8"/>
        <v>1498750.24</v>
      </c>
      <c r="O318" s="7" t="s">
        <v>40</v>
      </c>
      <c r="P318" s="7" t="s">
        <v>985</v>
      </c>
      <c r="Q318" s="11">
        <f>N318/4000</f>
        <v>374.68756000000002</v>
      </c>
      <c r="R318" s="7" t="s">
        <v>42</v>
      </c>
      <c r="S318" s="15">
        <v>10549</v>
      </c>
      <c r="T318" s="7" t="s">
        <v>43</v>
      </c>
      <c r="U318" s="7" t="s">
        <v>584</v>
      </c>
      <c r="V318" s="13">
        <f>'[1]V, inciso o) (OP)'!AD174</f>
        <v>42814</v>
      </c>
      <c r="W318" s="13">
        <f>'[1]V, inciso o) (OP)'!AE174</f>
        <v>42855</v>
      </c>
      <c r="X318" s="7" t="s">
        <v>571</v>
      </c>
      <c r="Y318" s="7" t="s">
        <v>572</v>
      </c>
      <c r="Z318" s="7" t="s">
        <v>573</v>
      </c>
      <c r="AA318" s="7" t="s">
        <v>40</v>
      </c>
      <c r="AB318" s="7" t="s">
        <v>40</v>
      </c>
    </row>
    <row r="319" spans="1:28" ht="69.95" customHeight="1">
      <c r="A319" s="7">
        <v>2017</v>
      </c>
      <c r="B319" s="7" t="s">
        <v>64</v>
      </c>
      <c r="C319" s="7" t="str">
        <f>'[1]V, inciso o) (OP)'!C175</f>
        <v>DOPI-MUN-RM-PAV-AD-032-2017</v>
      </c>
      <c r="D319" s="13">
        <f>'[1]V, inciso o) (OP)'!V178</f>
        <v>42811</v>
      </c>
      <c r="E319" s="7" t="str">
        <f>'[1]V, inciso o) (OP)'!AA175</f>
        <v>Pavimentación con adoquín y empedrado tradicional con material producto de recuperación en diferentes vialidades en el Municipio de Zapopan, Jalisco.</v>
      </c>
      <c r="F319" s="7" t="s">
        <v>67</v>
      </c>
      <c r="G319" s="11">
        <f>'[1]V, inciso o) (OP)'!Y175</f>
        <v>1015789.16</v>
      </c>
      <c r="H319" s="7" t="s">
        <v>582</v>
      </c>
      <c r="I319" s="7" t="str">
        <f>'[1]V, inciso o) (OP)'!M175</f>
        <v>JOSE DE JESUS</v>
      </c>
      <c r="J319" s="7" t="str">
        <f>'[1]V, inciso o) (OP)'!N175</f>
        <v>PALAFOX</v>
      </c>
      <c r="K319" s="7" t="str">
        <f>'[1]V, inciso o) (OP)'!O175</f>
        <v>VILLEGAS</v>
      </c>
      <c r="L319" s="7" t="str">
        <f>'[1]V, inciso o) (OP)'!P175</f>
        <v>Megaenlace Construcciones, S. A. de C. V.</v>
      </c>
      <c r="M319" s="7" t="str">
        <f>'[1]V, inciso o) (OP)'!Q175</f>
        <v>MCO1510113H8</v>
      </c>
      <c r="N319" s="11">
        <f t="shared" si="8"/>
        <v>1015789.16</v>
      </c>
      <c r="O319" s="7" t="s">
        <v>40</v>
      </c>
      <c r="P319" s="7" t="s">
        <v>986</v>
      </c>
      <c r="Q319" s="11">
        <f>N319/4232</f>
        <v>240.02579395085067</v>
      </c>
      <c r="R319" s="7" t="s">
        <v>42</v>
      </c>
      <c r="S319" s="15">
        <v>3523</v>
      </c>
      <c r="T319" s="7" t="s">
        <v>43</v>
      </c>
      <c r="U319" s="7" t="s">
        <v>584</v>
      </c>
      <c r="V319" s="13">
        <f>'[1]V, inciso o) (OP)'!AD175</f>
        <v>42814</v>
      </c>
      <c r="W319" s="13">
        <f>'[1]V, inciso o) (OP)'!AE175</f>
        <v>42901</v>
      </c>
      <c r="X319" s="7" t="s">
        <v>987</v>
      </c>
      <c r="Y319" s="7" t="s">
        <v>132</v>
      </c>
      <c r="Z319" s="7" t="s">
        <v>133</v>
      </c>
      <c r="AA319" s="7" t="s">
        <v>40</v>
      </c>
      <c r="AB319" s="7" t="s">
        <v>40</v>
      </c>
    </row>
    <row r="320" spans="1:28" ht="69.95" customHeight="1">
      <c r="A320" s="7">
        <v>2017</v>
      </c>
      <c r="B320" s="7" t="s">
        <v>64</v>
      </c>
      <c r="C320" s="7" t="str">
        <f>'[1]V, inciso o) (OP)'!C176</f>
        <v>DOPI-MUN-RM-PAV-AD-033-2017</v>
      </c>
      <c r="D320" s="13">
        <f>'[1]V, inciso o) (OP)'!V179</f>
        <v>42811</v>
      </c>
      <c r="E320" s="7" t="str">
        <f>'[1]V, inciso o) (OP)'!AA176</f>
        <v>Rehabilitación de machuelos de concreto hidráulico en la Av. Juan Gil Preciado, tramo 3, municipio de Zapopan, Jalisco.</v>
      </c>
      <c r="F320" s="7" t="s">
        <v>67</v>
      </c>
      <c r="G320" s="11">
        <f>'[1]V, inciso o) (OP)'!Y176</f>
        <v>954124.73</v>
      </c>
      <c r="H320" s="7" t="s">
        <v>396</v>
      </c>
      <c r="I320" s="7" t="str">
        <f>'[1]V, inciso o) (OP)'!M176</f>
        <v>ARTURO</v>
      </c>
      <c r="J320" s="7" t="str">
        <f>'[1]V, inciso o) (OP)'!N176</f>
        <v>SARMIENTO</v>
      </c>
      <c r="K320" s="7" t="str">
        <f>'[1]V, inciso o) (OP)'!O176</f>
        <v>SANCHEZ</v>
      </c>
      <c r="L320" s="7" t="str">
        <f>'[1]V, inciso o) (OP)'!P176</f>
        <v>Construbravo, S. A. de C. V.</v>
      </c>
      <c r="M320" s="7" t="str">
        <f>'[1]V, inciso o) (OP)'!Q176</f>
        <v>CON020208696</v>
      </c>
      <c r="N320" s="11">
        <f t="shared" si="8"/>
        <v>954124.73</v>
      </c>
      <c r="O320" s="7" t="s">
        <v>40</v>
      </c>
      <c r="P320" s="7" t="s">
        <v>988</v>
      </c>
      <c r="Q320" s="11">
        <f>N320/3976</f>
        <v>239.97100855130785</v>
      </c>
      <c r="R320" s="7" t="s">
        <v>42</v>
      </c>
      <c r="S320" s="15">
        <v>9195</v>
      </c>
      <c r="T320" s="7" t="s">
        <v>43</v>
      </c>
      <c r="U320" s="7" t="s">
        <v>584</v>
      </c>
      <c r="V320" s="13">
        <f>'[1]V, inciso o) (OP)'!AD176</f>
        <v>42814</v>
      </c>
      <c r="W320" s="13">
        <f>'[1]V, inciso o) (OP)'!AE176</f>
        <v>42855</v>
      </c>
      <c r="X320" s="7" t="s">
        <v>586</v>
      </c>
      <c r="Y320" s="7" t="s">
        <v>404</v>
      </c>
      <c r="Z320" s="7" t="s">
        <v>405</v>
      </c>
      <c r="AA320" s="7" t="s">
        <v>40</v>
      </c>
      <c r="AB320" s="7" t="s">
        <v>40</v>
      </c>
    </row>
    <row r="321" spans="1:28" ht="69.95" customHeight="1">
      <c r="A321" s="7">
        <v>2017</v>
      </c>
      <c r="B321" s="7" t="s">
        <v>64</v>
      </c>
      <c r="C321" s="7" t="str">
        <f>'[1]V, inciso o) (OP)'!C177</f>
        <v>DOPI-MUN-RM-PAV-AD-034-2017</v>
      </c>
      <c r="D321" s="13">
        <f>'[1]V, inciso o) (OP)'!V180</f>
        <v>42804</v>
      </c>
      <c r="E321" s="7" t="str">
        <f>'[1]V, inciso o) (OP)'!AA177</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F321" s="7" t="s">
        <v>67</v>
      </c>
      <c r="G321" s="11">
        <f>'[1]V, inciso o) (OP)'!Y177</f>
        <v>1401225.41</v>
      </c>
      <c r="H321" s="7" t="s">
        <v>989</v>
      </c>
      <c r="I321" s="7" t="str">
        <f>'[1]V, inciso o) (OP)'!M177</f>
        <v>ANDRES EDUARDO</v>
      </c>
      <c r="J321" s="7" t="str">
        <f>'[1]V, inciso o) (OP)'!N177</f>
        <v>ACEVES</v>
      </c>
      <c r="K321" s="7" t="str">
        <f>'[1]V, inciso o) (OP)'!O177</f>
        <v>CASTAÑEDA</v>
      </c>
      <c r="L321" s="7" t="str">
        <f>'[1]V, inciso o) (OP)'!P177</f>
        <v>Secri Constructora, S. A. de C. V.</v>
      </c>
      <c r="M321" s="7" t="str">
        <f>'[1]V, inciso o) (OP)'!Q177</f>
        <v>SCO100609EVA</v>
      </c>
      <c r="N321" s="11">
        <f t="shared" si="8"/>
        <v>1401225.41</v>
      </c>
      <c r="O321" s="7" t="s">
        <v>40</v>
      </c>
      <c r="P321" s="7" t="s">
        <v>990</v>
      </c>
      <c r="Q321" s="11">
        <f>N321/905</f>
        <v>1548.3153701657457</v>
      </c>
      <c r="R321" s="7" t="s">
        <v>42</v>
      </c>
      <c r="S321" s="15">
        <v>8178</v>
      </c>
      <c r="T321" s="7" t="s">
        <v>43</v>
      </c>
      <c r="U321" s="7" t="s">
        <v>584</v>
      </c>
      <c r="V321" s="13">
        <f>'[1]V, inciso o) (OP)'!AD177</f>
        <v>42814</v>
      </c>
      <c r="W321" s="13">
        <f>'[1]V, inciso o) (OP)'!AE177</f>
        <v>42855</v>
      </c>
      <c r="X321" s="7" t="s">
        <v>963</v>
      </c>
      <c r="Y321" s="7" t="s">
        <v>545</v>
      </c>
      <c r="Z321" s="7" t="s">
        <v>212</v>
      </c>
      <c r="AA321" s="7" t="s">
        <v>40</v>
      </c>
      <c r="AB321" s="7" t="s">
        <v>40</v>
      </c>
    </row>
    <row r="322" spans="1:28" ht="69.95" customHeight="1">
      <c r="A322" s="7">
        <v>2017</v>
      </c>
      <c r="B322" s="7" t="s">
        <v>64</v>
      </c>
      <c r="C322" s="7" t="str">
        <f>'[1]V, inciso o) (OP)'!C178</f>
        <v>DOPI-MUN-RM-PAV-AD-035-2017</v>
      </c>
      <c r="D322" s="13">
        <f>'[1]V, inciso o) (OP)'!V181</f>
        <v>42811</v>
      </c>
      <c r="E322" s="7" t="str">
        <f>'[1]V, inciso o) (OP)'!AA178</f>
        <v>Rehabilitación de la superficie de rodamiento y modificación vial del crucero de Prolongación Guadalupe y Periférico Poniente Manuel Gómez Morín, municipio de Zapopan, Jalisco.</v>
      </c>
      <c r="F322" s="7" t="s">
        <v>67</v>
      </c>
      <c r="G322" s="11">
        <f>'[1]V, inciso o) (OP)'!Y178</f>
        <v>385367</v>
      </c>
      <c r="H322" s="7" t="s">
        <v>991</v>
      </c>
      <c r="I322" s="7" t="str">
        <f>'[1]V, inciso o) (OP)'!M178</f>
        <v>JOSE DANIEL</v>
      </c>
      <c r="J322" s="7" t="str">
        <f>'[1]V, inciso o) (OP)'!N178</f>
        <v xml:space="preserve">MARTINEZ </v>
      </c>
      <c r="K322" s="7" t="str">
        <f>'[1]V, inciso o) (OP)'!O178</f>
        <v>CASILLAS</v>
      </c>
      <c r="L322" s="7" t="str">
        <f>'[1]V, inciso o) (OP)'!P178</f>
        <v>Constructora Tesisteka, S.A. de C.V.</v>
      </c>
      <c r="M322" s="7" t="str">
        <f>'[1]V, inciso o) (OP)'!Q178</f>
        <v>CTE060615JX2</v>
      </c>
      <c r="N322" s="11">
        <f t="shared" si="8"/>
        <v>385367</v>
      </c>
      <c r="O322" s="7" t="s">
        <v>40</v>
      </c>
      <c r="P322" s="7" t="s">
        <v>992</v>
      </c>
      <c r="Q322" s="11">
        <f>N322/250</f>
        <v>1541.4680000000001</v>
      </c>
      <c r="R322" s="7" t="s">
        <v>42</v>
      </c>
      <c r="S322" s="15">
        <v>17992</v>
      </c>
      <c r="T322" s="7" t="s">
        <v>43</v>
      </c>
      <c r="U322" s="7" t="s">
        <v>584</v>
      </c>
      <c r="V322" s="13">
        <f>'[1]V, inciso o) (OP)'!AD178</f>
        <v>42814</v>
      </c>
      <c r="W322" s="13">
        <f>'[1]V, inciso o) (OP)'!AE178</f>
        <v>42870</v>
      </c>
      <c r="X322" s="7" t="s">
        <v>993</v>
      </c>
      <c r="Y322" s="7" t="s">
        <v>383</v>
      </c>
      <c r="Z322" s="7" t="s">
        <v>300</v>
      </c>
      <c r="AA322" s="7" t="s">
        <v>40</v>
      </c>
      <c r="AB322" s="7" t="s">
        <v>40</v>
      </c>
    </row>
    <row r="323" spans="1:28" ht="69.95" customHeight="1">
      <c r="A323" s="7">
        <v>2017</v>
      </c>
      <c r="B323" s="7" t="s">
        <v>64</v>
      </c>
      <c r="C323" s="7" t="str">
        <f>'[1]V, inciso o) (OP)'!C179</f>
        <v>DOPI-MUN-RM-PAV-AD-036-2017</v>
      </c>
      <c r="D323" s="13">
        <f>'[1]V, inciso o) (OP)'!V182</f>
        <v>42811</v>
      </c>
      <c r="E323" s="7" t="str">
        <f>'[1]V, inciso o) (OP)'!AA179</f>
        <v>Obra complementaria en la incorporación de Av. Ecónomos a Periférico Poniente, municipio de Zapopan, Jalisco.</v>
      </c>
      <c r="F323" s="7" t="s">
        <v>67</v>
      </c>
      <c r="G323" s="11">
        <f>'[1]V, inciso o) (OP)'!Y179</f>
        <v>1301166.0900000001</v>
      </c>
      <c r="H323" s="7" t="s">
        <v>994</v>
      </c>
      <c r="I323" s="7" t="str">
        <f>'[1]V, inciso o) (OP)'!M179</f>
        <v>SERGIO CESAR</v>
      </c>
      <c r="J323" s="7" t="str">
        <f>'[1]V, inciso o) (OP)'!N179</f>
        <v>DIAZ</v>
      </c>
      <c r="K323" s="7" t="str">
        <f>'[1]V, inciso o) (OP)'!O179</f>
        <v>QUIROZ</v>
      </c>
      <c r="L323" s="7" t="str">
        <f>'[1]V, inciso o) (OP)'!P179</f>
        <v>Grupo Unicreto de México, S.A. de C.V.</v>
      </c>
      <c r="M323" s="7" t="str">
        <f>'[1]V, inciso o) (OP)'!Q179</f>
        <v>GUM111201IA5</v>
      </c>
      <c r="N323" s="11">
        <f t="shared" si="8"/>
        <v>1301166.0900000001</v>
      </c>
      <c r="O323" s="7" t="s">
        <v>40</v>
      </c>
      <c r="P323" s="7" t="s">
        <v>995</v>
      </c>
      <c r="Q323" s="11">
        <f>N323/950</f>
        <v>1369.6485157894738</v>
      </c>
      <c r="R323" s="7" t="s">
        <v>42</v>
      </c>
      <c r="S323" s="15">
        <v>8546</v>
      </c>
      <c r="T323" s="7" t="s">
        <v>43</v>
      </c>
      <c r="U323" s="7" t="s">
        <v>584</v>
      </c>
      <c r="V323" s="13">
        <f>'[1]V, inciso o) (OP)'!AD179</f>
        <v>42814</v>
      </c>
      <c r="W323" s="13">
        <f>'[1]V, inciso o) (OP)'!AE179</f>
        <v>42865</v>
      </c>
      <c r="X323" s="7" t="s">
        <v>993</v>
      </c>
      <c r="Y323" s="7" t="s">
        <v>383</v>
      </c>
      <c r="Z323" s="7" t="s">
        <v>300</v>
      </c>
      <c r="AA323" s="7" t="s">
        <v>40</v>
      </c>
      <c r="AB323" s="7" t="s">
        <v>40</v>
      </c>
    </row>
    <row r="324" spans="1:28" ht="69.95" customHeight="1">
      <c r="A324" s="7">
        <v>2017</v>
      </c>
      <c r="B324" s="7" t="s">
        <v>64</v>
      </c>
      <c r="C324" s="7" t="str">
        <f>'[1]V, inciso o) (OP)'!C180</f>
        <v>DOPI-MUN-RM-PAV-AD-037-2017</v>
      </c>
      <c r="D324" s="13">
        <f>'[1]V, inciso o) (OP)'!V183</f>
        <v>42804</v>
      </c>
      <c r="E324" s="7" t="str">
        <f>'[1]V, inciso o) (OP)'!AA180</f>
        <v>Construcción de vialidad con concreto hidráulico calle Cuatlicue desde la calle Ozomatlí a la calle Tul, incluye: guarniciones, banquetas, red de agua potable, alcantarillado, servicios complementarios, zona las Mesas, Municipio de Zapopan, Jalisco.</v>
      </c>
      <c r="F324" s="7" t="s">
        <v>67</v>
      </c>
      <c r="G324" s="11">
        <f>'[1]V, inciso o) (OP)'!Y180</f>
        <v>1112558.02</v>
      </c>
      <c r="H324" s="7" t="s">
        <v>919</v>
      </c>
      <c r="I324" s="7" t="str">
        <f>'[1]V, inciso o) (OP)'!M180</f>
        <v>JOSE OMAR</v>
      </c>
      <c r="J324" s="7" t="str">
        <f>'[1]V, inciso o) (OP)'!N180</f>
        <v>FERNANDEZ</v>
      </c>
      <c r="K324" s="7" t="str">
        <f>'[1]V, inciso o) (OP)'!O180</f>
        <v>VAZQUEZ</v>
      </c>
      <c r="L324" s="7" t="str">
        <f>'[1]V, inciso o) (OP)'!P180</f>
        <v>Extra Construcciones, S.A. de C.V.</v>
      </c>
      <c r="M324" s="7" t="str">
        <f>'[1]V, inciso o) (OP)'!Q180</f>
        <v>ECO0908115Z7</v>
      </c>
      <c r="N324" s="11">
        <f t="shared" si="8"/>
        <v>1112558.02</v>
      </c>
      <c r="O324" s="7" t="s">
        <v>40</v>
      </c>
      <c r="P324" s="7" t="s">
        <v>673</v>
      </c>
      <c r="Q324" s="11">
        <f>N324/375</f>
        <v>2966.8213866666665</v>
      </c>
      <c r="R324" s="7" t="s">
        <v>42</v>
      </c>
      <c r="S324" s="15">
        <v>2492</v>
      </c>
      <c r="T324" s="7" t="s">
        <v>43</v>
      </c>
      <c r="U324" s="7" t="s">
        <v>584</v>
      </c>
      <c r="V324" s="13">
        <f>'[1]V, inciso o) (OP)'!AD180</f>
        <v>42807</v>
      </c>
      <c r="W324" s="13">
        <f>'[1]V, inciso o) (OP)'!AE180</f>
        <v>42855</v>
      </c>
      <c r="X324" s="7" t="s">
        <v>556</v>
      </c>
      <c r="Y324" s="7" t="s">
        <v>557</v>
      </c>
      <c r="Z324" s="7" t="s">
        <v>558</v>
      </c>
      <c r="AA324" s="7" t="s">
        <v>40</v>
      </c>
      <c r="AB324" s="7" t="s">
        <v>40</v>
      </c>
    </row>
    <row r="325" spans="1:28" ht="69.95" customHeight="1">
      <c r="A325" s="7">
        <v>2017</v>
      </c>
      <c r="B325" s="7" t="s">
        <v>64</v>
      </c>
      <c r="C325" s="7" t="str">
        <f>'[1]V, inciso o) (OP)'!C181</f>
        <v>DOPI-MUN-RM-IM-AD-038-2017</v>
      </c>
      <c r="D325" s="13">
        <f>'[1]V, inciso o) (OP)'!V184</f>
        <v>42824</v>
      </c>
      <c r="E325" s="7" t="str">
        <f>'[1]V, inciso o) (OP)'!AA181</f>
        <v>Rehabilitación y ampliación de bardas perimetrales de infraestructura hidráulica municipal, primera etapa, municipio de Zapopan, Jalisco.</v>
      </c>
      <c r="F325" s="7" t="s">
        <v>67</v>
      </c>
      <c r="G325" s="11">
        <f>'[1]V, inciso o) (OP)'!Y181</f>
        <v>1215075.44</v>
      </c>
      <c r="H325" s="7" t="s">
        <v>582</v>
      </c>
      <c r="I325" s="7" t="str">
        <f>'[1]V, inciso o) (OP)'!M181</f>
        <v>HUGO ARMANDO</v>
      </c>
      <c r="J325" s="7" t="str">
        <f>'[1]V, inciso o) (OP)'!N181</f>
        <v>PRIETO</v>
      </c>
      <c r="K325" s="7" t="str">
        <f>'[1]V, inciso o) (OP)'!O181</f>
        <v>JIMENEZ</v>
      </c>
      <c r="L325" s="7" t="str">
        <f>'[1]V, inciso o) (OP)'!P181</f>
        <v>Constructora Rural del País, S. A. de C. V.</v>
      </c>
      <c r="M325" s="7" t="str">
        <f>'[1]V, inciso o) (OP)'!Q181</f>
        <v>CRP870708I62</v>
      </c>
      <c r="N325" s="11">
        <f t="shared" si="8"/>
        <v>1215075.44</v>
      </c>
      <c r="O325" s="7" t="s">
        <v>40</v>
      </c>
      <c r="P325" s="7" t="s">
        <v>996</v>
      </c>
      <c r="Q325" s="11">
        <f>N325/129</f>
        <v>9419.1894573643403</v>
      </c>
      <c r="R325" s="7" t="s">
        <v>42</v>
      </c>
      <c r="S325" s="15">
        <v>856</v>
      </c>
      <c r="T325" s="7" t="s">
        <v>43</v>
      </c>
      <c r="U325" s="7" t="s">
        <v>584</v>
      </c>
      <c r="V325" s="13">
        <f>'[1]V, inciso o) (OP)'!AD181</f>
        <v>42814</v>
      </c>
      <c r="W325" s="13">
        <f>'[1]V, inciso o) (OP)'!AE181</f>
        <v>42886</v>
      </c>
      <c r="X325" s="7" t="s">
        <v>950</v>
      </c>
      <c r="Y325" s="7" t="s">
        <v>295</v>
      </c>
      <c r="Z325" s="7" t="s">
        <v>254</v>
      </c>
      <c r="AA325" s="7" t="s">
        <v>40</v>
      </c>
      <c r="AB325" s="7" t="s">
        <v>40</v>
      </c>
    </row>
    <row r="326" spans="1:28" ht="69.95" customHeight="1">
      <c r="A326" s="7">
        <v>2017</v>
      </c>
      <c r="B326" s="7" t="s">
        <v>64</v>
      </c>
      <c r="C326" s="7" t="str">
        <f>'[1]V, inciso o) (OP)'!C182</f>
        <v>DOPI-MUN-RM-ELE-AD-039-2017</v>
      </c>
      <c r="D326" s="13">
        <f>'[1]V, inciso o) (OP)'!V185</f>
        <v>42794</v>
      </c>
      <c r="E326" s="7" t="str">
        <f>'[1]V, inciso o) (OP)'!AA182</f>
        <v>Instalación de la media tensión en la caseta de vigilancia del parque metropolitano, municipio de Zapopan, Jalisco.</v>
      </c>
      <c r="F326" s="7" t="s">
        <v>67</v>
      </c>
      <c r="G326" s="11">
        <f>'[1]V, inciso o) (OP)'!Y182</f>
        <v>196108.13</v>
      </c>
      <c r="H326" s="7" t="s">
        <v>997</v>
      </c>
      <c r="I326" s="7" t="str">
        <f>'[1]V, inciso o) (OP)'!M182</f>
        <v>JUAN PABLO</v>
      </c>
      <c r="J326" s="7" t="str">
        <f>'[1]V, inciso o) (OP)'!N182</f>
        <v>VERA</v>
      </c>
      <c r="K326" s="7" t="str">
        <f>'[1]V, inciso o) (OP)'!O182</f>
        <v>TAVARES</v>
      </c>
      <c r="L326" s="7" t="str">
        <f>'[1]V, inciso o) (OP)'!P182</f>
        <v>Lizette Construcciones, S. A. de C. V.</v>
      </c>
      <c r="M326" s="7" t="str">
        <f>'[1]V, inciso o) (OP)'!Q182</f>
        <v>LCO080228DN2</v>
      </c>
      <c r="N326" s="11">
        <f t="shared" si="8"/>
        <v>196108.13</v>
      </c>
      <c r="O326" s="7" t="s">
        <v>40</v>
      </c>
      <c r="P326" s="7" t="s">
        <v>949</v>
      </c>
      <c r="Q326" s="11">
        <f>N326/80</f>
        <v>2451.3516250000002</v>
      </c>
      <c r="R326" s="7" t="s">
        <v>42</v>
      </c>
      <c r="S326" s="15">
        <v>1332272</v>
      </c>
      <c r="T326" s="7" t="s">
        <v>43</v>
      </c>
      <c r="U326" s="7" t="s">
        <v>584</v>
      </c>
      <c r="V326" s="13">
        <f>'[1]V, inciso o) (OP)'!AD182</f>
        <v>42814</v>
      </c>
      <c r="W326" s="13">
        <f>'[1]V, inciso o) (OP)'!AE182</f>
        <v>42855</v>
      </c>
      <c r="X326" s="7" t="s">
        <v>950</v>
      </c>
      <c r="Y326" s="7" t="s">
        <v>295</v>
      </c>
      <c r="Z326" s="7" t="s">
        <v>254</v>
      </c>
      <c r="AA326" s="7" t="s">
        <v>40</v>
      </c>
      <c r="AB326" s="7" t="s">
        <v>40</v>
      </c>
    </row>
    <row r="327" spans="1:28" ht="69.95" customHeight="1">
      <c r="A327" s="7">
        <v>2017</v>
      </c>
      <c r="B327" s="7" t="s">
        <v>64</v>
      </c>
      <c r="C327" s="7" t="str">
        <f>'[1]V, inciso o) (OP)'!C183</f>
        <v>DOPI-MUN-RM-AP-AD-040-2017</v>
      </c>
      <c r="D327" s="13">
        <f>'[1]V, inciso o) (OP)'!V186</f>
        <v>42804</v>
      </c>
      <c r="E327" s="7" t="str">
        <f>'[1]V, inciso o) (OP)'!AA183</f>
        <v>Sustitución de red de agua potable en la calle Laurel de la calle Paseo de los Manzanos a calle Palmeras, en la colonia Lomas de Tabachines I sección, en el municipio de Zapopan, Jalisco.</v>
      </c>
      <c r="F327" s="7" t="s">
        <v>67</v>
      </c>
      <c r="G327" s="11">
        <f>'[1]V, inciso o) (OP)'!Y183</f>
        <v>1389276.63</v>
      </c>
      <c r="H327" s="7" t="s">
        <v>136</v>
      </c>
      <c r="I327" s="7" t="str">
        <f>'[1]V, inciso o) (OP)'!M183</f>
        <v>EDGARDO</v>
      </c>
      <c r="J327" s="7" t="str">
        <f>'[1]V, inciso o) (OP)'!N183</f>
        <v>ZUÑIGA</v>
      </c>
      <c r="K327" s="7" t="str">
        <f>'[1]V, inciso o) (OP)'!O183</f>
        <v>BERISTAIN</v>
      </c>
      <c r="L327" s="7" t="str">
        <f>'[1]V, inciso o) (OP)'!P183</f>
        <v>Proyección Integral Zure, S. A. de C. V.</v>
      </c>
      <c r="M327" s="7" t="str">
        <f>'[1]V, inciso o) (OP)'!Q183</f>
        <v>PIZ070717DX6</v>
      </c>
      <c r="N327" s="11">
        <f t="shared" si="8"/>
        <v>1389276.63</v>
      </c>
      <c r="O327" s="7" t="s">
        <v>40</v>
      </c>
      <c r="P327" s="7" t="s">
        <v>998</v>
      </c>
      <c r="Q327" s="11">
        <f>N327/428</f>
        <v>3245.9734345794391</v>
      </c>
      <c r="R327" s="7" t="s">
        <v>42</v>
      </c>
      <c r="S327" s="15">
        <v>2782</v>
      </c>
      <c r="T327" s="7" t="s">
        <v>43</v>
      </c>
      <c r="U327" s="7" t="s">
        <v>584</v>
      </c>
      <c r="V327" s="13">
        <f>'[1]V, inciso o) (OP)'!AD183</f>
        <v>42807</v>
      </c>
      <c r="W327" s="13">
        <f>'[1]V, inciso o) (OP)'!AE183</f>
        <v>42855</v>
      </c>
      <c r="X327" s="7" t="s">
        <v>999</v>
      </c>
      <c r="Y327" s="7" t="s">
        <v>1000</v>
      </c>
      <c r="Z327" s="7" t="s">
        <v>1001</v>
      </c>
      <c r="AA327" s="7" t="s">
        <v>40</v>
      </c>
      <c r="AB327" s="7" t="s">
        <v>40</v>
      </c>
    </row>
    <row r="328" spans="1:28" ht="69.95" customHeight="1">
      <c r="A328" s="7">
        <v>2017</v>
      </c>
      <c r="B328" s="7" t="s">
        <v>296</v>
      </c>
      <c r="C328" s="7" t="str">
        <f>'[1]V, inciso p) (OP)'!D151</f>
        <v>DOPI-MUN-FORTA-BAN-CI-041-2017</v>
      </c>
      <c r="D328" s="13">
        <f>'[1]V, inciso p) (OP)'!AD151</f>
        <v>42877</v>
      </c>
      <c r="E328" s="7" t="str">
        <f>'[1]V, inciso p) (OP)'!AL151</f>
        <v>Peatonalización (banquetas y obras de accesibilidad) del área de influencia de escuelas, hospitales, mercados, centros culturales, plazas públicas y clínicas, municipio de Zapopan, Jalisco, Frente 1.</v>
      </c>
      <c r="F328" s="7" t="s">
        <v>939</v>
      </c>
      <c r="G328" s="11">
        <f>'[1]V, inciso p) (OP)'!AJ151</f>
        <v>2990803.7</v>
      </c>
      <c r="H328" s="7" t="str">
        <f>'[1]V, inciso p) (OP)'!AS151</f>
        <v>Col. Lomas de Tabachines, Jardines del Valle, El Vigia, Misión del Bosque</v>
      </c>
      <c r="I328" s="7" t="str">
        <f>'[1]V, inciso p) (OP)'!T151</f>
        <v>Omar</v>
      </c>
      <c r="J328" s="7" t="str">
        <f>'[1]V, inciso p) (OP)'!U151</f>
        <v>Mora</v>
      </c>
      <c r="K328" s="7" t="str">
        <f>'[1]V, inciso p) (OP)'!V151</f>
        <v>Montes de Oca</v>
      </c>
      <c r="L328" s="7" t="str">
        <f>'[1]V, inciso p) (OP)'!W151</f>
        <v>Dommont Construcciones, S.A. de C.V.</v>
      </c>
      <c r="M328" s="7" t="str">
        <f>'[1]V, inciso p) (OP)'!X151</f>
        <v>DCO130215C16</v>
      </c>
      <c r="N328" s="11">
        <f t="shared" si="8"/>
        <v>2990803.7</v>
      </c>
      <c r="O328" s="7" t="s">
        <v>40</v>
      </c>
      <c r="P328" s="14" t="s">
        <v>1002</v>
      </c>
      <c r="Q328" s="12">
        <f>N328/2633</f>
        <v>1135.8920243068744</v>
      </c>
      <c r="R328" s="7" t="s">
        <v>42</v>
      </c>
      <c r="S328" s="15">
        <v>374894</v>
      </c>
      <c r="T328" s="7" t="s">
        <v>43</v>
      </c>
      <c r="U328" s="7" t="s">
        <v>584</v>
      </c>
      <c r="V328" s="13">
        <v>42877</v>
      </c>
      <c r="W328" s="13">
        <v>42996</v>
      </c>
      <c r="X328" s="7" t="s">
        <v>668</v>
      </c>
      <c r="Y328" s="7" t="s">
        <v>476</v>
      </c>
      <c r="Z328" s="7" t="s">
        <v>89</v>
      </c>
      <c r="AA328" s="7" t="s">
        <v>40</v>
      </c>
      <c r="AB328" s="7" t="s">
        <v>40</v>
      </c>
    </row>
    <row r="329" spans="1:28" ht="69.95" customHeight="1">
      <c r="A329" s="7">
        <v>2017</v>
      </c>
      <c r="B329" s="7" t="s">
        <v>296</v>
      </c>
      <c r="C329" s="7" t="str">
        <f>'[1]V, inciso p) (OP)'!D152</f>
        <v>DOPI-MUN-FORTA-BAN-CI-042-2017</v>
      </c>
      <c r="D329" s="13">
        <f>'[1]V, inciso p) (OP)'!AD152</f>
        <v>42877</v>
      </c>
      <c r="E329" s="7" t="str">
        <f>'[1]V, inciso p) (OP)'!AL152</f>
        <v>Peatonalización (banquetas y obras de accesibilidad) del área de influencia de escuelas, hospitales, mercados, centros culturales, plazas públicas y clínicas, municipio de Zapopan, Jalisco, Frente 2.</v>
      </c>
      <c r="F329" s="7" t="s">
        <v>939</v>
      </c>
      <c r="G329" s="11">
        <f>'[1]V, inciso p) (OP)'!AJ152</f>
        <v>2994800.57</v>
      </c>
      <c r="H329" s="7" t="str">
        <f>'[1]V, inciso p) (OP)'!AS152</f>
        <v>Col. Nextipac, Mariano Otero</v>
      </c>
      <c r="I329" s="7" t="str">
        <f>'[1]V, inciso p) (OP)'!T152</f>
        <v>Elba</v>
      </c>
      <c r="J329" s="7" t="str">
        <f>'[1]V, inciso p) (OP)'!U152</f>
        <v xml:space="preserve">González </v>
      </c>
      <c r="K329" s="7" t="str">
        <f>'[1]V, inciso p) (OP)'!V152</f>
        <v>Aguirre</v>
      </c>
      <c r="L329" s="7" t="str">
        <f>'[1]V, inciso p) (OP)'!W152</f>
        <v>GA Urbanización, S.A. de C.V.</v>
      </c>
      <c r="M329" s="7" t="str">
        <f>'[1]V, inciso p) (OP)'!X152</f>
        <v>GUR120612P22</v>
      </c>
      <c r="N329" s="11">
        <f t="shared" si="8"/>
        <v>2994800.57</v>
      </c>
      <c r="O329" s="7" t="s">
        <v>40</v>
      </c>
      <c r="P329" s="14" t="s">
        <v>1003</v>
      </c>
      <c r="Q329" s="12">
        <f>N329/2533</f>
        <v>1182.3136873272799</v>
      </c>
      <c r="R329" s="7" t="s">
        <v>42</v>
      </c>
      <c r="S329" s="15">
        <v>396147</v>
      </c>
      <c r="T329" s="7" t="s">
        <v>43</v>
      </c>
      <c r="U329" s="7" t="s">
        <v>584</v>
      </c>
      <c r="V329" s="13">
        <v>42877</v>
      </c>
      <c r="W329" s="13">
        <v>42996</v>
      </c>
      <c r="X329" s="7" t="s">
        <v>846</v>
      </c>
      <c r="Y329" s="7" t="s">
        <v>847</v>
      </c>
      <c r="Z329" s="7" t="s">
        <v>848</v>
      </c>
      <c r="AA329" s="7" t="s">
        <v>40</v>
      </c>
      <c r="AB329" s="7" t="s">
        <v>40</v>
      </c>
    </row>
    <row r="330" spans="1:28" ht="69.95" customHeight="1">
      <c r="A330" s="7">
        <v>2017</v>
      </c>
      <c r="B330" s="7" t="s">
        <v>296</v>
      </c>
      <c r="C330" s="7" t="str">
        <f>'[1]V, inciso p) (OP)'!D153</f>
        <v>DOPI-MUN-RM-IH-CI-043-2017</v>
      </c>
      <c r="D330" s="13">
        <f>'[1]V, inciso p) (OP)'!AD153</f>
        <v>42868</v>
      </c>
      <c r="E330" s="7" t="str">
        <f>'[1]V, inciso p) (OP)'!AL153</f>
        <v>Construcción de estructuras de llegada, demasías, de acceso y de control e instalación de gaviones en el estanque de retención de agua pluviales para mitigar riesgo de inundaciones en Santa María del Pueblito, municipio de Zapopan, Jalisco.</v>
      </c>
      <c r="F330" s="7" t="s">
        <v>67</v>
      </c>
      <c r="G330" s="11">
        <f>'[1]V, inciso p) (OP)'!AJ153</f>
        <v>7752532.1600000001</v>
      </c>
      <c r="H330" s="7" t="str">
        <f>'[1]V, inciso p) (OP)'!AS153</f>
        <v>Col. Santa Maria del Pueblito</v>
      </c>
      <c r="I330" s="7" t="str">
        <f>'[1]V, inciso p) (OP)'!T153</f>
        <v xml:space="preserve">Marco Antonio </v>
      </c>
      <c r="J330" s="7" t="str">
        <f>'[1]V, inciso p) (OP)'!U153</f>
        <v>Lozano</v>
      </c>
      <c r="K330" s="7" t="str">
        <f>'[1]V, inciso p) (OP)'!V153</f>
        <v>Estrada</v>
      </c>
      <c r="L330" s="7" t="str">
        <f>'[1]V, inciso p) (OP)'!W153</f>
        <v>Desarrolladora Fulham S. de R.L. de C.V.</v>
      </c>
      <c r="M330" s="7" t="str">
        <f>'[1]V, inciso p) (OP)'!X153</f>
        <v>DFU090928JB5</v>
      </c>
      <c r="N330" s="11">
        <f t="shared" si="8"/>
        <v>7752532.1600000001</v>
      </c>
      <c r="O330" s="7" t="s">
        <v>40</v>
      </c>
      <c r="P330" s="14" t="s">
        <v>1004</v>
      </c>
      <c r="Q330" s="12">
        <f>N330/845</f>
        <v>9174.5942721893498</v>
      </c>
      <c r="R330" s="7" t="s">
        <v>42</v>
      </c>
      <c r="S330" s="15">
        <v>6778</v>
      </c>
      <c r="T330" s="7" t="s">
        <v>43</v>
      </c>
      <c r="U330" s="7" t="s">
        <v>584</v>
      </c>
      <c r="V330" s="13">
        <v>42868</v>
      </c>
      <c r="W330" s="13">
        <v>42987</v>
      </c>
      <c r="X330" s="7" t="s">
        <v>544</v>
      </c>
      <c r="Y330" s="7" t="s">
        <v>545</v>
      </c>
      <c r="Z330" s="7" t="s">
        <v>212</v>
      </c>
      <c r="AA330" s="7" t="s">
        <v>40</v>
      </c>
      <c r="AB330" s="7" t="s">
        <v>40</v>
      </c>
    </row>
    <row r="331" spans="1:28" ht="69.95" customHeight="1">
      <c r="A331" s="7">
        <v>2017</v>
      </c>
      <c r="B331" s="7" t="s">
        <v>296</v>
      </c>
      <c r="C331" s="7" t="str">
        <f>'[1]V, inciso p) (OP)'!D154</f>
        <v>DOPI-MUN-RM-IH-CI-044-2017</v>
      </c>
      <c r="D331" s="13">
        <f>'[1]V, inciso p) (OP)'!AD154</f>
        <v>42868</v>
      </c>
      <c r="E331" s="7" t="str">
        <f>'[1]V, inciso p) (OP)'!AL154</f>
        <v>Construcción colector de alejamiento del vaso regulador de Santa María del Pueblito, municipio de Zapopan, Jalisco.</v>
      </c>
      <c r="F331" s="7" t="s">
        <v>67</v>
      </c>
      <c r="G331" s="11">
        <f>'[1]V, inciso p) (OP)'!AJ154</f>
        <v>3706562.02</v>
      </c>
      <c r="H331" s="7" t="str">
        <f>'[1]V, inciso p) (OP)'!AS154</f>
        <v>Col. Santa Maria del Pueblito</v>
      </c>
      <c r="I331" s="7" t="str">
        <f>'[1]V, inciso p) (OP)'!T154</f>
        <v>Claudio Felipe</v>
      </c>
      <c r="J331" s="7" t="str">
        <f>'[1]V, inciso p) (OP)'!U154</f>
        <v>Trujillo</v>
      </c>
      <c r="K331" s="7" t="str">
        <f>'[1]V, inciso p) (OP)'!V154</f>
        <v>Gracián</v>
      </c>
      <c r="L331" s="7" t="str">
        <f>'[1]V, inciso p) (OP)'!W154</f>
        <v>Desarrolladora Lumadi, S.A. de C.V.</v>
      </c>
      <c r="M331" s="7" t="str">
        <f>'[1]V, inciso p) (OP)'!X154</f>
        <v>DLU100818F46</v>
      </c>
      <c r="N331" s="11">
        <f t="shared" si="8"/>
        <v>3706562.02</v>
      </c>
      <c r="O331" s="7" t="s">
        <v>40</v>
      </c>
      <c r="P331" s="14" t="s">
        <v>1005</v>
      </c>
      <c r="Q331" s="12">
        <f>N331/145</f>
        <v>25562.496689655174</v>
      </c>
      <c r="R331" s="7" t="s">
        <v>42</v>
      </c>
      <c r="S331" s="15">
        <v>6778</v>
      </c>
      <c r="T331" s="7" t="s">
        <v>43</v>
      </c>
      <c r="U331" s="7" t="s">
        <v>584</v>
      </c>
      <c r="V331" s="13">
        <v>42868</v>
      </c>
      <c r="W331" s="13">
        <v>42987</v>
      </c>
      <c r="X331" s="7" t="s">
        <v>544</v>
      </c>
      <c r="Y331" s="7" t="s">
        <v>545</v>
      </c>
      <c r="Z331" s="7" t="s">
        <v>212</v>
      </c>
      <c r="AA331" s="7" t="s">
        <v>40</v>
      </c>
      <c r="AB331" s="7" t="s">
        <v>40</v>
      </c>
    </row>
    <row r="332" spans="1:28" ht="69.95" customHeight="1">
      <c r="A332" s="7">
        <v>2017</v>
      </c>
      <c r="B332" s="7" t="s">
        <v>296</v>
      </c>
      <c r="C332" s="7" t="str">
        <f>'[1]V, inciso p) (OP)'!D155</f>
        <v>DOPI-MUN-RM-PAV-CI-045-2017</v>
      </c>
      <c r="D332" s="13">
        <f>'[1]V, inciso p) (OP)'!AD155</f>
        <v>42868</v>
      </c>
      <c r="E332" s="7" t="str">
        <f>'[1]V, inciso p) (OP)'!AL155</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F332" s="7" t="s">
        <v>67</v>
      </c>
      <c r="G332" s="11">
        <f>'[1]V, inciso p) (OP)'!AJ155</f>
        <v>6368591.04</v>
      </c>
      <c r="H332" s="7" t="str">
        <f>'[1]V, inciso p) (OP)'!AS155</f>
        <v>Col. El Tigre</v>
      </c>
      <c r="I332" s="7" t="str">
        <f>'[1]V, inciso p) (OP)'!T155</f>
        <v>Sergio Alberto</v>
      </c>
      <c r="J332" s="7" t="str">
        <f>'[1]V, inciso p) (OP)'!U155</f>
        <v>Baylon</v>
      </c>
      <c r="K332" s="7" t="str">
        <f>'[1]V, inciso p) (OP)'!V155</f>
        <v>Moreno</v>
      </c>
      <c r="L332" s="7" t="str">
        <f>'[1]V, inciso p) (OP)'!W155</f>
        <v>Edificaciones Estructurales Cobay, S. A. de C. V.</v>
      </c>
      <c r="M332" s="7" t="str">
        <f>'[1]V, inciso p) (OP)'!X155</f>
        <v>EEC9909173A7</v>
      </c>
      <c r="N332" s="11">
        <f t="shared" si="8"/>
        <v>6368591.04</v>
      </c>
      <c r="O332" s="7" t="s">
        <v>40</v>
      </c>
      <c r="P332" s="14" t="s">
        <v>1006</v>
      </c>
      <c r="Q332" s="12">
        <f>N332/6141</f>
        <v>1037.0609086468003</v>
      </c>
      <c r="R332" s="7" t="s">
        <v>42</v>
      </c>
      <c r="S332" s="15">
        <v>2932</v>
      </c>
      <c r="T332" s="7" t="s">
        <v>43</v>
      </c>
      <c r="U332" s="7" t="s">
        <v>584</v>
      </c>
      <c r="V332" s="13">
        <v>42868</v>
      </c>
      <c r="W332" s="13">
        <v>42987</v>
      </c>
      <c r="X332" s="7" t="s">
        <v>1007</v>
      </c>
      <c r="Y332" s="7" t="s">
        <v>960</v>
      </c>
      <c r="Z332" s="7" t="s">
        <v>462</v>
      </c>
      <c r="AA332" s="7" t="s">
        <v>40</v>
      </c>
      <c r="AB332" s="7" t="s">
        <v>40</v>
      </c>
    </row>
    <row r="333" spans="1:28" ht="69.95" customHeight="1">
      <c r="A333" s="7">
        <v>2017</v>
      </c>
      <c r="B333" s="7" t="s">
        <v>296</v>
      </c>
      <c r="C333" s="7" t="str">
        <f>'[1]V, inciso p) (OP)'!D156</f>
        <v>DOPI-MUN-RM-PAV-CI-046-2017</v>
      </c>
      <c r="D333" s="13">
        <f>'[1]V, inciso p) (OP)'!AD156</f>
        <v>42868</v>
      </c>
      <c r="E333" s="7" t="str">
        <f>'[1]V, inciso p) (OP)'!AL156</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F333" s="7" t="s">
        <v>67</v>
      </c>
      <c r="G333" s="11">
        <f>'[1]V, inciso p) (OP)'!AJ156</f>
        <v>5822124.1500000004</v>
      </c>
      <c r="H333" s="7" t="str">
        <f>'[1]V, inciso p) (OP)'!AS156</f>
        <v>Col. El Tigre</v>
      </c>
      <c r="I333" s="7" t="str">
        <f>'[1]V, inciso p) (OP)'!T156</f>
        <v>Luis Armando</v>
      </c>
      <c r="J333" s="7" t="str">
        <f>'[1]V, inciso p) (OP)'!U156</f>
        <v>Linares</v>
      </c>
      <c r="K333" s="7" t="str">
        <f>'[1]V, inciso p) (OP)'!V156</f>
        <v>Cacho</v>
      </c>
      <c r="L333" s="7" t="str">
        <f>'[1]V, inciso p) (OP)'!W156</f>
        <v>Urbanizadora y Constructora Roal, S.A. de C.V.</v>
      </c>
      <c r="M333" s="7" t="str">
        <f>'[1]V, inciso p) (OP)'!X156</f>
        <v>URC160310857</v>
      </c>
      <c r="N333" s="11">
        <f t="shared" si="8"/>
        <v>5822124.1500000004</v>
      </c>
      <c r="O333" s="7" t="s">
        <v>40</v>
      </c>
      <c r="P333" s="14" t="s">
        <v>1008</v>
      </c>
      <c r="Q333" s="12">
        <f>N333/3764</f>
        <v>1546.7917507970246</v>
      </c>
      <c r="R333" s="7" t="s">
        <v>42</v>
      </c>
      <c r="S333" s="15">
        <v>2932</v>
      </c>
      <c r="T333" s="7" t="s">
        <v>43</v>
      </c>
      <c r="U333" s="7" t="s">
        <v>584</v>
      </c>
      <c r="V333" s="13">
        <v>42868</v>
      </c>
      <c r="W333" s="13">
        <v>42987</v>
      </c>
      <c r="X333" s="7" t="s">
        <v>1007</v>
      </c>
      <c r="Y333" s="7" t="s">
        <v>960</v>
      </c>
      <c r="Z333" s="7" t="s">
        <v>462</v>
      </c>
      <c r="AA333" s="7" t="s">
        <v>40</v>
      </c>
      <c r="AB333" s="7" t="s">
        <v>40</v>
      </c>
    </row>
    <row r="334" spans="1:28" ht="69.95" customHeight="1">
      <c r="A334" s="7">
        <v>2017</v>
      </c>
      <c r="B334" s="7" t="s">
        <v>296</v>
      </c>
      <c r="C334" s="7" t="str">
        <f>'[1]V, inciso p) (OP)'!D157</f>
        <v>DOPI-MUN-RM-PAV-CI-047-2017</v>
      </c>
      <c r="D334" s="13">
        <f>'[1]V, inciso p) (OP)'!AD157</f>
        <v>42868</v>
      </c>
      <c r="E334" s="7" t="str">
        <f>'[1]V, inciso p) (OP)'!AL157</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F334" s="7" t="s">
        <v>67</v>
      </c>
      <c r="G334" s="11">
        <f>'[1]V, inciso p) (OP)'!AJ157</f>
        <v>3722082.59</v>
      </c>
      <c r="H334" s="7" t="str">
        <f>'[1]V, inciso p) (OP)'!AS157</f>
        <v>Col. La Martinica</v>
      </c>
      <c r="I334" s="7" t="str">
        <f>'[1]V, inciso p) (OP)'!T157</f>
        <v>Miguel Ángel</v>
      </c>
      <c r="J334" s="7" t="str">
        <f>'[1]V, inciso p) (OP)'!U157</f>
        <v>Romero</v>
      </c>
      <c r="K334" s="7" t="str">
        <f>'[1]V, inciso p) (OP)'!V157</f>
        <v>Lugo</v>
      </c>
      <c r="L334" s="7" t="str">
        <f>'[1]V, inciso p) (OP)'!W157</f>
        <v>Obras y Comercialización de la Construcción, S.A. de C.V.</v>
      </c>
      <c r="M334" s="7" t="str">
        <f>'[1]V, inciso p) (OP)'!X157</f>
        <v>OCC940714PB0</v>
      </c>
      <c r="N334" s="11">
        <f t="shared" si="8"/>
        <v>3722082.59</v>
      </c>
      <c r="O334" s="7" t="s">
        <v>40</v>
      </c>
      <c r="P334" s="14" t="s">
        <v>1009</v>
      </c>
      <c r="Q334" s="12">
        <f>N334/2711</f>
        <v>1372.9555846551089</v>
      </c>
      <c r="R334" s="7" t="s">
        <v>42</v>
      </c>
      <c r="S334" s="15">
        <v>3334</v>
      </c>
      <c r="T334" s="7" t="s">
        <v>43</v>
      </c>
      <c r="U334" s="7" t="s">
        <v>584</v>
      </c>
      <c r="V334" s="13">
        <v>42868</v>
      </c>
      <c r="W334" s="13">
        <v>42987</v>
      </c>
      <c r="X334" s="7" t="s">
        <v>681</v>
      </c>
      <c r="Y334" s="7" t="s">
        <v>682</v>
      </c>
      <c r="Z334" s="7" t="s">
        <v>683</v>
      </c>
      <c r="AA334" s="7" t="s">
        <v>40</v>
      </c>
      <c r="AB334" s="7" t="s">
        <v>40</v>
      </c>
    </row>
    <row r="335" spans="1:28" ht="69.95" customHeight="1">
      <c r="A335" s="7">
        <v>2017</v>
      </c>
      <c r="B335" s="7" t="s">
        <v>296</v>
      </c>
      <c r="C335" s="7" t="str">
        <f>'[1]V, inciso p) (OP)'!D158</f>
        <v>DOPI-MUN-RM-PAV-CI-048-2017</v>
      </c>
      <c r="D335" s="13">
        <f>'[1]V, inciso p) (OP)'!AD158</f>
        <v>42868</v>
      </c>
      <c r="E335" s="7" t="str">
        <f>'[1]V, inciso p) (OP)'!AL158</f>
        <v>Construcción de puente vehicular y adecuaciones pluviales sobre El Arroyo Seco, en la colonia El Briseño, municipio de Zapopan, Jalisco.</v>
      </c>
      <c r="F335" s="7" t="s">
        <v>67</v>
      </c>
      <c r="G335" s="11">
        <f>'[1]V, inciso p) (OP)'!AJ158</f>
        <v>4544310.46</v>
      </c>
      <c r="H335" s="7" t="str">
        <f>'[1]V, inciso p) (OP)'!AS158</f>
        <v>Col. El Briseño</v>
      </c>
      <c r="I335" s="7" t="str">
        <f>'[1]V, inciso p) (OP)'!T158</f>
        <v>Victor</v>
      </c>
      <c r="J335" s="7" t="str">
        <f>'[1]V, inciso p) (OP)'!U158</f>
        <v>Zayas</v>
      </c>
      <c r="K335" s="7" t="str">
        <f>'[1]V, inciso p) (OP)'!V158</f>
        <v>Riquelme</v>
      </c>
      <c r="L335" s="7" t="str">
        <f>'[1]V, inciso p) (OP)'!W158</f>
        <v>Geminis Internacional Constructora, S.A. de C.V.</v>
      </c>
      <c r="M335" s="7" t="str">
        <f>'[1]V, inciso p) (OP)'!X158</f>
        <v>GIC810323RA6</v>
      </c>
      <c r="N335" s="11">
        <f t="shared" si="8"/>
        <v>4544310.46</v>
      </c>
      <c r="O335" s="7" t="s">
        <v>40</v>
      </c>
      <c r="P335" s="14" t="s">
        <v>739</v>
      </c>
      <c r="Q335" s="12">
        <f>N335/1</f>
        <v>4544310.46</v>
      </c>
      <c r="R335" s="7" t="s">
        <v>42</v>
      </c>
      <c r="S335" s="15">
        <v>5790</v>
      </c>
      <c r="T335" s="7" t="s">
        <v>43</v>
      </c>
      <c r="U335" s="7" t="s">
        <v>584</v>
      </c>
      <c r="V335" s="13">
        <v>42868</v>
      </c>
      <c r="W335" s="13">
        <v>42987</v>
      </c>
      <c r="X335" s="7" t="s">
        <v>967</v>
      </c>
      <c r="Y335" s="7" t="s">
        <v>383</v>
      </c>
      <c r="Z335" s="7" t="s">
        <v>300</v>
      </c>
      <c r="AA335" s="7" t="s">
        <v>40</v>
      </c>
      <c r="AB335" s="7" t="s">
        <v>40</v>
      </c>
    </row>
    <row r="336" spans="1:28" ht="69.95" customHeight="1">
      <c r="A336" s="7">
        <v>2017</v>
      </c>
      <c r="B336" s="7" t="s">
        <v>30</v>
      </c>
      <c r="C336" s="7" t="str">
        <f>'[1]V, inciso p) (OP)'!D159</f>
        <v>DOPI-MUN-RM-EP-LP-049-2017</v>
      </c>
      <c r="D336" s="13">
        <f>'[1]V, inciso p) (OP)'!AD159</f>
        <v>42893</v>
      </c>
      <c r="E336" s="7" t="str">
        <f>'[1]V, inciso p) (OP)'!AL159</f>
        <v>Construcción de Fuente interactiva en plaza Las Américas, municipio de Zapopan, Jalisco.</v>
      </c>
      <c r="F336" s="7" t="s">
        <v>67</v>
      </c>
      <c r="G336" s="11">
        <f>'[1]V, inciso p) (OP)'!AJ159</f>
        <v>9027947.1300000008</v>
      </c>
      <c r="H336" s="7" t="str">
        <f>'[1]V, inciso p) (OP)'!AS159</f>
        <v>Col. Centro</v>
      </c>
      <c r="I336" s="7" t="str">
        <f>'[1]V, inciso p) (OP)'!T159</f>
        <v>Ignacio Javier</v>
      </c>
      <c r="J336" s="7" t="str">
        <f>'[1]V, inciso p) (OP)'!U159</f>
        <v>Curiel</v>
      </c>
      <c r="K336" s="7" t="str">
        <f>'[1]V, inciso p) (OP)'!V159</f>
        <v>Dueñas</v>
      </c>
      <c r="L336" s="7" t="str">
        <f>'[1]V, inciso p) (OP)'!W159</f>
        <v>TC Construcción y Mantenimiento, S.A. de C.V.</v>
      </c>
      <c r="M336" s="7" t="str">
        <f>'[1]V, inciso p) (OP)'!X159</f>
        <v>TCM100915HA1</v>
      </c>
      <c r="N336" s="11">
        <f t="shared" si="8"/>
        <v>9027947.1300000008</v>
      </c>
      <c r="O336" s="7" t="s">
        <v>40</v>
      </c>
      <c r="P336" s="14" t="s">
        <v>1010</v>
      </c>
      <c r="Q336" s="12">
        <f>N336/90</f>
        <v>100310.52366666668</v>
      </c>
      <c r="R336" s="7" t="s">
        <v>42</v>
      </c>
      <c r="S336" s="15">
        <v>1332272</v>
      </c>
      <c r="T336" s="7" t="s">
        <v>43</v>
      </c>
      <c r="U336" s="7" t="s">
        <v>584</v>
      </c>
      <c r="V336" s="13">
        <v>42868</v>
      </c>
      <c r="W336" s="13">
        <v>42987</v>
      </c>
      <c r="X336" s="7" t="s">
        <v>686</v>
      </c>
      <c r="Y336" s="7" t="s">
        <v>687</v>
      </c>
      <c r="Z336" s="7" t="s">
        <v>268</v>
      </c>
      <c r="AA336" s="7" t="s">
        <v>40</v>
      </c>
      <c r="AB336" s="7" t="s">
        <v>40</v>
      </c>
    </row>
    <row r="337" spans="1:28" ht="69.95" customHeight="1">
      <c r="A337" s="7">
        <v>2017</v>
      </c>
      <c r="B337" s="7" t="s">
        <v>30</v>
      </c>
      <c r="C337" s="7" t="str">
        <f>'[1]V, inciso p) (OP)'!D160</f>
        <v>DOPI-MUN-RM-PAV-LP-050-2017</v>
      </c>
      <c r="D337" s="13">
        <f>'[1]V, inciso p) (OP)'!AD160</f>
        <v>42893</v>
      </c>
      <c r="E337" s="7" t="str">
        <f>'[1]V, inciso p) (OP)'!AL160</f>
        <v>Pavimentación con concreto hidráulico en la colonia El Rehilete, incluye: agua potable, drenaje sanitario, guarniciones, banquetas, accesibilidad, media tensión y servicios complementarios, en el municipio de Zapopan, Jalisco, frente 1.</v>
      </c>
      <c r="F337" s="7" t="s">
        <v>67</v>
      </c>
      <c r="G337" s="11">
        <f>'[1]V, inciso p) (OP)'!AJ160</f>
        <v>4304584.1399999997</v>
      </c>
      <c r="H337" s="7" t="str">
        <f>'[1]V, inciso p) (OP)'!AS160</f>
        <v>Col. El Rehilete</v>
      </c>
      <c r="I337" s="7" t="str">
        <f>'[1]V, inciso p) (OP)'!T160</f>
        <v>ENRIQUE</v>
      </c>
      <c r="J337" s="7" t="str">
        <f>'[1]V, inciso p) (OP)'!U160</f>
        <v>LUGO</v>
      </c>
      <c r="K337" s="7" t="str">
        <f>'[1]V, inciso p) (OP)'!V160</f>
        <v>IBARRA</v>
      </c>
      <c r="L337" s="7" t="str">
        <f>'[1]V, inciso p) (OP)'!W160</f>
        <v>LUGO IBARRA CONSORCIO CONSTRUCTOR, S.A. DE C.V.</v>
      </c>
      <c r="M337" s="7" t="str">
        <f>'[1]V, inciso p) (OP)'!X160</f>
        <v>CMI110222AA0</v>
      </c>
      <c r="N337" s="11">
        <f t="shared" si="8"/>
        <v>4304584.1399999997</v>
      </c>
      <c r="O337" s="7" t="s">
        <v>40</v>
      </c>
      <c r="P337" s="14" t="s">
        <v>1011</v>
      </c>
      <c r="Q337" s="12">
        <f>N337/1152</f>
        <v>3736.6181770833332</v>
      </c>
      <c r="R337" s="7" t="s">
        <v>42</v>
      </c>
      <c r="S337" s="15">
        <v>4144</v>
      </c>
      <c r="T337" s="7" t="s">
        <v>43</v>
      </c>
      <c r="U337" s="7" t="s">
        <v>584</v>
      </c>
      <c r="V337" s="13">
        <v>42868</v>
      </c>
      <c r="W337" s="13">
        <v>42987</v>
      </c>
      <c r="X337" s="7" t="s">
        <v>967</v>
      </c>
      <c r="Y337" s="7" t="s">
        <v>383</v>
      </c>
      <c r="Z337" s="7" t="s">
        <v>300</v>
      </c>
      <c r="AA337" s="7" t="s">
        <v>40</v>
      </c>
      <c r="AB337" s="7" t="s">
        <v>40</v>
      </c>
    </row>
    <row r="338" spans="1:28" ht="69.95" customHeight="1">
      <c r="A338" s="7">
        <v>2017</v>
      </c>
      <c r="B338" s="7" t="s">
        <v>30</v>
      </c>
      <c r="C338" s="7" t="str">
        <f>'[1]V, inciso p) (OP)'!D161</f>
        <v>DOPI-MUN-RM-PAV-LP-051-2017</v>
      </c>
      <c r="D338" s="13">
        <f>'[1]V, inciso p) (OP)'!AD161</f>
        <v>42893</v>
      </c>
      <c r="E338" s="7" t="str">
        <f>'[1]V, inciso p) (OP)'!AL161</f>
        <v>Pavimentación con concreto hidráulico en la colonia El Rehilete, incluye: agua potable, drenaje sanitario, guarniciones, banquetas, accesibilidad, media tensión y servicios complementarios, en el municipio de Zapopan, Jalisco, frente 2.</v>
      </c>
      <c r="F338" s="7" t="s">
        <v>67</v>
      </c>
      <c r="G338" s="11">
        <f>'[1]V, inciso p) (OP)'!AJ161</f>
        <v>4673696.32</v>
      </c>
      <c r="H338" s="7" t="str">
        <f>'[1]V, inciso p) (OP)'!AS161</f>
        <v>Col. El Rehilete</v>
      </c>
      <c r="I338" s="7" t="str">
        <f>'[1]V, inciso p) (OP)'!T161</f>
        <v>Sergio Cesar</v>
      </c>
      <c r="J338" s="7" t="str">
        <f>'[1]V, inciso p) (OP)'!U161</f>
        <v>Diaz</v>
      </c>
      <c r="K338" s="7" t="str">
        <f>'[1]V, inciso p) (OP)'!V161</f>
        <v>Quiroz</v>
      </c>
      <c r="L338" s="7" t="str">
        <f>'[1]V, inciso p) (OP)'!W161</f>
        <v>Grupo Unicreto de México S.A. de C.V.</v>
      </c>
      <c r="M338" s="7" t="str">
        <f>'[1]V, inciso p) (OP)'!X161</f>
        <v>GUM111201IA5</v>
      </c>
      <c r="N338" s="11">
        <f t="shared" si="8"/>
        <v>4673696.32</v>
      </c>
      <c r="O338" s="7" t="s">
        <v>40</v>
      </c>
      <c r="P338" s="14" t="s">
        <v>1012</v>
      </c>
      <c r="Q338" s="12">
        <f>N338/1137.6</f>
        <v>4108.3828410689175</v>
      </c>
      <c r="R338" s="7" t="s">
        <v>42</v>
      </c>
      <c r="S338" s="15">
        <v>4144</v>
      </c>
      <c r="T338" s="7" t="s">
        <v>43</v>
      </c>
      <c r="U338" s="7" t="s">
        <v>584</v>
      </c>
      <c r="V338" s="13">
        <v>42868</v>
      </c>
      <c r="W338" s="13">
        <v>42987</v>
      </c>
      <c r="X338" s="7" t="s">
        <v>967</v>
      </c>
      <c r="Y338" s="7" t="s">
        <v>383</v>
      </c>
      <c r="Z338" s="7" t="s">
        <v>300</v>
      </c>
      <c r="AA338" s="7" t="s">
        <v>40</v>
      </c>
      <c r="AB338" s="7" t="s">
        <v>40</v>
      </c>
    </row>
    <row r="339" spans="1:28" ht="69.95" customHeight="1">
      <c r="A339" s="7">
        <v>2017</v>
      </c>
      <c r="B339" s="7" t="s">
        <v>64</v>
      </c>
      <c r="C339" s="7" t="str">
        <f>'[1]V, inciso o) (OP)'!C184</f>
        <v>DOPI-MUN-RM-IH-AD-052-2017</v>
      </c>
      <c r="D339" s="13">
        <f>'[1]V, inciso o) (OP)'!V184</f>
        <v>42824</v>
      </c>
      <c r="E339" s="7" t="str">
        <f>'[1]V, inciso o) (OP)'!AA184</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F339" s="7" t="s">
        <v>67</v>
      </c>
      <c r="G339" s="11">
        <f>'[1]V, inciso o) (OP)'!Y184</f>
        <v>1484671.02</v>
      </c>
      <c r="H339" s="7" t="s">
        <v>1013</v>
      </c>
      <c r="I339" s="7" t="str">
        <f>'[1]V, inciso o) (OP)'!M184</f>
        <v xml:space="preserve">EDUARDO </v>
      </c>
      <c r="J339" s="7" t="str">
        <f>'[1]V, inciso o) (OP)'!N184</f>
        <v>MORA</v>
      </c>
      <c r="K339" s="7" t="str">
        <f>'[1]V, inciso o) (OP)'!O184</f>
        <v>BLACKALLER</v>
      </c>
      <c r="L339" s="7" t="str">
        <f>'[1]V, inciso o) (OP)'!P184</f>
        <v>Grupo Constructor Innoblack,
S. A. de C. V.</v>
      </c>
      <c r="M339" s="7" t="str">
        <f>'[1]V, inciso o) (OP)'!Q184</f>
        <v>GCI070523CW4</v>
      </c>
      <c r="N339" s="11">
        <f t="shared" si="8"/>
        <v>1484671.02</v>
      </c>
      <c r="O339" s="7" t="s">
        <v>40</v>
      </c>
      <c r="P339" s="14" t="s">
        <v>1014</v>
      </c>
      <c r="Q339" s="12">
        <f>N339/4070</f>
        <v>364.78403439803441</v>
      </c>
      <c r="R339" s="7" t="s">
        <v>42</v>
      </c>
      <c r="S339" s="15">
        <v>3191</v>
      </c>
      <c r="T339" s="7" t="s">
        <v>43</v>
      </c>
      <c r="U339" s="7" t="s">
        <v>584</v>
      </c>
      <c r="V339" s="13">
        <f>'[1]V, inciso o) (OP)'!AD184</f>
        <v>42826</v>
      </c>
      <c r="W339" s="13">
        <f>'[1]V, inciso o) (OP)'!AE184</f>
        <v>42885</v>
      </c>
      <c r="X339" s="7" t="s">
        <v>1015</v>
      </c>
      <c r="Y339" s="7" t="s">
        <v>1016</v>
      </c>
      <c r="Z339" s="7" t="s">
        <v>101</v>
      </c>
      <c r="AA339" s="7" t="s">
        <v>40</v>
      </c>
      <c r="AB339" s="7" t="s">
        <v>40</v>
      </c>
    </row>
    <row r="340" spans="1:28" ht="69.95" customHeight="1">
      <c r="A340" s="7">
        <v>2017</v>
      </c>
      <c r="B340" s="7" t="s">
        <v>64</v>
      </c>
      <c r="C340" s="7" t="str">
        <f>'[1]V, inciso o) (OP)'!C185</f>
        <v>DOPI-MUN-RM-OC-AD-053-2017</v>
      </c>
      <c r="D340" s="13">
        <f>'[1]V, inciso o) (OP)'!V185</f>
        <v>42794</v>
      </c>
      <c r="E340" s="7" t="str">
        <f>'[1]V, inciso o) (OP)'!AA185</f>
        <v>Construcción de bocas de tormenta para prevención de inundaciones y conexión al colector pluvial Jalisco, ubicado en Tesistán, municipio de Zapopan, Jalisco.</v>
      </c>
      <c r="F340" s="7" t="s">
        <v>67</v>
      </c>
      <c r="G340" s="11">
        <f>'[1]V, inciso o) (OP)'!Y185</f>
        <v>771128.46</v>
      </c>
      <c r="H340" s="7" t="s">
        <v>794</v>
      </c>
      <c r="I340" s="7" t="str">
        <f>'[1]V, inciso o) (OP)'!M185</f>
        <v xml:space="preserve">RODOLFO </v>
      </c>
      <c r="J340" s="7" t="str">
        <f>'[1]V, inciso o) (OP)'!N185</f>
        <v xml:space="preserve">VELAZQUEZ </v>
      </c>
      <c r="K340" s="7" t="str">
        <f>'[1]V, inciso o) (OP)'!O185</f>
        <v>ORDOÑEZ</v>
      </c>
      <c r="L340" s="7" t="str">
        <f>'[1]V, inciso o) (OP)'!P185</f>
        <v>Velázquez Ingeniería Ecológica, S. A. de C. V.</v>
      </c>
      <c r="M340" s="7" t="str">
        <f>'[1]V, inciso o) (OP)'!Q185</f>
        <v>VIE110125RL4</v>
      </c>
      <c r="N340" s="11">
        <f t="shared" si="8"/>
        <v>771128.46</v>
      </c>
      <c r="O340" s="7" t="s">
        <v>40</v>
      </c>
      <c r="P340" s="14" t="s">
        <v>1017</v>
      </c>
      <c r="Q340" s="12">
        <f>N340/157</f>
        <v>4911.6462420382168</v>
      </c>
      <c r="R340" s="7" t="s">
        <v>42</v>
      </c>
      <c r="S340" s="15">
        <v>62891</v>
      </c>
      <c r="T340" s="7" t="s">
        <v>43</v>
      </c>
      <c r="U340" s="7" t="s">
        <v>584</v>
      </c>
      <c r="V340" s="13">
        <f>'[1]V, inciso o) (OP)'!AD185</f>
        <v>42795</v>
      </c>
      <c r="W340" s="13">
        <f>'[1]V, inciso o) (OP)'!AE185</f>
        <v>42855</v>
      </c>
      <c r="X340" s="7" t="s">
        <v>544</v>
      </c>
      <c r="Y340" s="7" t="s">
        <v>545</v>
      </c>
      <c r="Z340" s="7" t="s">
        <v>212</v>
      </c>
      <c r="AA340" s="7" t="s">
        <v>40</v>
      </c>
      <c r="AB340" s="7" t="s">
        <v>40</v>
      </c>
    </row>
    <row r="341" spans="1:28" ht="69.95" customHeight="1">
      <c r="A341" s="7">
        <v>2017</v>
      </c>
      <c r="B341" s="7" t="s">
        <v>64</v>
      </c>
      <c r="C341" s="7" t="str">
        <f>'[1]V, inciso o) (OP)'!C186</f>
        <v>DOPI-MUN-RM-OC-AD-054-2017</v>
      </c>
      <c r="D341" s="13">
        <f>'[1]V, inciso o) (OP)'!V186</f>
        <v>42804</v>
      </c>
      <c r="E341" s="7" t="str">
        <f>'[1]V, inciso o) (OP)'!AA186</f>
        <v>Construcción de canal pluvial prefabricado para prevención de inundaciones en la calle J. García Praga, de la calle Jalisco a la calle Ramón Corona, en la localidad de Tesistán, municipio de Zapopan, Jalisco.</v>
      </c>
      <c r="F341" s="7" t="s">
        <v>67</v>
      </c>
      <c r="G341" s="11">
        <f>'[1]V, inciso o) (OP)'!Y186</f>
        <v>518095.34</v>
      </c>
      <c r="H341" s="7" t="s">
        <v>794</v>
      </c>
      <c r="I341" s="7" t="str">
        <f>'[1]V, inciso o) (OP)'!M186</f>
        <v>GUADALUPE ALEJANDRINA</v>
      </c>
      <c r="J341" s="7" t="str">
        <f>'[1]V, inciso o) (OP)'!N186</f>
        <v>MALDONADO</v>
      </c>
      <c r="K341" s="7" t="str">
        <f>'[1]V, inciso o) (OP)'!O186</f>
        <v>LARA</v>
      </c>
      <c r="L341" s="7" t="str">
        <f>'[1]V, inciso o) (OP)'!P186</f>
        <v>L &amp; A Ejecución Construcción y Proyectos Coorporativo JM, S. A. de C. V.</v>
      </c>
      <c r="M341" s="7" t="str">
        <f>'[1]V, inciso o) (OP)'!Q186</f>
        <v>LAE1306263B5</v>
      </c>
      <c r="N341" s="11">
        <f t="shared" si="8"/>
        <v>518095.34</v>
      </c>
      <c r="O341" s="7" t="s">
        <v>40</v>
      </c>
      <c r="P341" s="14" t="s">
        <v>1018</v>
      </c>
      <c r="Q341" s="12">
        <f>N341/823</f>
        <v>629.52046172539497</v>
      </c>
      <c r="R341" s="7" t="s">
        <v>42</v>
      </c>
      <c r="S341" s="15">
        <v>62891</v>
      </c>
      <c r="T341" s="7" t="s">
        <v>43</v>
      </c>
      <c r="U341" s="7" t="s">
        <v>584</v>
      </c>
      <c r="V341" s="13">
        <f>'[1]V, inciso o) (OP)'!AD186</f>
        <v>42809</v>
      </c>
      <c r="W341" s="13">
        <f>'[1]V, inciso o) (OP)'!AE186</f>
        <v>42855</v>
      </c>
      <c r="X341" s="7" t="s">
        <v>544</v>
      </c>
      <c r="Y341" s="7" t="s">
        <v>545</v>
      </c>
      <c r="Z341" s="7" t="s">
        <v>212</v>
      </c>
      <c r="AA341" s="7" t="s">
        <v>40</v>
      </c>
      <c r="AB341" s="7" t="s">
        <v>40</v>
      </c>
    </row>
    <row r="342" spans="1:28" ht="69.95" customHeight="1">
      <c r="A342" s="7">
        <v>2017</v>
      </c>
      <c r="B342" s="7" t="s">
        <v>64</v>
      </c>
      <c r="C342" s="7" t="str">
        <f>'[1]V, inciso o) (OP)'!C187</f>
        <v>DOPI-MUN-FORTA-BAN-AD-055-2017</v>
      </c>
      <c r="D342" s="13">
        <f>'[1]V, inciso o) (OP)'!V187</f>
        <v>42818</v>
      </c>
      <c r="E342" s="7" t="str">
        <f>'[1]V, inciso o) (OP)'!AA187</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F342" s="7" t="s">
        <v>939</v>
      </c>
      <c r="G342" s="11">
        <f>'[1]V, inciso o) (OP)'!Y187</f>
        <v>1450320.18</v>
      </c>
      <c r="H342" s="7" t="s">
        <v>1019</v>
      </c>
      <c r="I342" s="7" t="str">
        <f>'[1]V, inciso o) (OP)'!M187</f>
        <v xml:space="preserve">HÉCTOR HUGO </v>
      </c>
      <c r="J342" s="7" t="str">
        <f>'[1]V, inciso o) (OP)'!N187</f>
        <v xml:space="preserve">GUILLÉN </v>
      </c>
      <c r="K342" s="7" t="str">
        <f>'[1]V, inciso o) (OP)'!O187</f>
        <v>GUERRERO</v>
      </c>
      <c r="L342" s="7" t="str">
        <f>'[1]V, inciso o) (OP)'!P187</f>
        <v>Construdimensión, S.A. de C.V.</v>
      </c>
      <c r="M342" s="7" t="str">
        <f>'[1]V, inciso o) (OP)'!Q187</f>
        <v>CON090306I19</v>
      </c>
      <c r="N342" s="11">
        <f t="shared" si="8"/>
        <v>1450320.18</v>
      </c>
      <c r="O342" s="7" t="s">
        <v>40</v>
      </c>
      <c r="P342" s="7" t="s">
        <v>1020</v>
      </c>
      <c r="Q342" s="11">
        <f>N342/6829</f>
        <v>212.37665544003514</v>
      </c>
      <c r="R342" s="7" t="s">
        <v>42</v>
      </c>
      <c r="S342" s="15">
        <v>4228</v>
      </c>
      <c r="T342" s="7" t="s">
        <v>43</v>
      </c>
      <c r="U342" s="7" t="s">
        <v>584</v>
      </c>
      <c r="V342" s="13">
        <f>'[1]V, inciso o) (OP)'!AD187</f>
        <v>42828</v>
      </c>
      <c r="W342" s="13">
        <f>'[1]V, inciso o) (OP)'!AE187</f>
        <v>42886</v>
      </c>
      <c r="X342" s="7" t="s">
        <v>1015</v>
      </c>
      <c r="Y342" s="7" t="s">
        <v>100</v>
      </c>
      <c r="Z342" s="7" t="s">
        <v>101</v>
      </c>
      <c r="AA342" s="7" t="s">
        <v>40</v>
      </c>
      <c r="AB342" s="7" t="s">
        <v>40</v>
      </c>
    </row>
    <row r="343" spans="1:28" ht="69.95" customHeight="1">
      <c r="A343" s="7">
        <v>2017</v>
      </c>
      <c r="B343" s="7" t="s">
        <v>64</v>
      </c>
      <c r="C343" s="7" t="str">
        <f>'[1]V, inciso o) (OP)'!C188</f>
        <v>DOPI-MUN-RM-DS-AD-056-2017</v>
      </c>
      <c r="D343" s="13">
        <f>'[1]V, inciso o) (OP)'!V188</f>
        <v>42842</v>
      </c>
      <c r="E343" s="7" t="str">
        <f>'[1]V, inciso o) (OP)'!AA188</f>
        <v>Construcción de línea de alejamiento de aguas residuales en la lateral de la carretera a Saltillo, de la calle Casiano Torres Poniente a canal pluvial, en la colonia Villa de Guadalupe, municipio de Zapopan, Jalisco.</v>
      </c>
      <c r="F343" s="7" t="s">
        <v>67</v>
      </c>
      <c r="G343" s="11">
        <f>'[1]V, inciso o) (OP)'!Y188</f>
        <v>1102435.22</v>
      </c>
      <c r="H343" s="7" t="s">
        <v>794</v>
      </c>
      <c r="I343" s="7" t="str">
        <f>'[1]V, inciso o) (OP)'!M188</f>
        <v>ARTURO</v>
      </c>
      <c r="J343" s="7" t="str">
        <f>'[1]V, inciso o) (OP)'!N188</f>
        <v>RANGEL</v>
      </c>
      <c r="K343" s="7" t="str">
        <f>'[1]V, inciso o) (OP)'!O188</f>
        <v>PAEZ</v>
      </c>
      <c r="L343" s="7" t="str">
        <f>'[1]V, inciso o) (OP)'!P188</f>
        <v>CONSTRUCTORA LASA, S.A. DE C.V.</v>
      </c>
      <c r="M343" s="7" t="str">
        <f>'[1]V, inciso o) (OP)'!Q188</f>
        <v>CLA890925ER5</v>
      </c>
      <c r="N343" s="11">
        <f t="shared" si="8"/>
        <v>1102435.22</v>
      </c>
      <c r="O343" s="7" t="s">
        <v>40</v>
      </c>
      <c r="P343" s="7" t="s">
        <v>130</v>
      </c>
      <c r="Q343" s="11">
        <f>N343/120</f>
        <v>9186.9601666666658</v>
      </c>
      <c r="R343" s="7" t="s">
        <v>42</v>
      </c>
      <c r="S343" s="15">
        <v>1368</v>
      </c>
      <c r="T343" s="7" t="s">
        <v>43</v>
      </c>
      <c r="U343" s="7" t="s">
        <v>584</v>
      </c>
      <c r="V343" s="13">
        <f>'[1]V, inciso o) (OP)'!AD188</f>
        <v>42842</v>
      </c>
      <c r="W343" s="13">
        <f>'[1]V, inciso o) (OP)'!AE188</f>
        <v>42901</v>
      </c>
      <c r="X343" s="7" t="s">
        <v>963</v>
      </c>
      <c r="Y343" s="7" t="s">
        <v>545</v>
      </c>
      <c r="Z343" s="7" t="s">
        <v>212</v>
      </c>
      <c r="AA343" s="7" t="s">
        <v>40</v>
      </c>
      <c r="AB343" s="7" t="s">
        <v>40</v>
      </c>
    </row>
    <row r="344" spans="1:28" ht="69.95" customHeight="1">
      <c r="A344" s="7">
        <v>2017</v>
      </c>
      <c r="B344" s="7" t="s">
        <v>64</v>
      </c>
      <c r="C344" s="7" t="str">
        <f>'[1]V, inciso o) (OP)'!C189</f>
        <v>DOPI-MUN-RM-IU-AD-057-2017</v>
      </c>
      <c r="D344" s="13">
        <f>'[1]V, inciso o) (OP)'!V189</f>
        <v>42846</v>
      </c>
      <c r="E344" s="7" t="str">
        <f>'[1]V, inciso o) (OP)'!AA189</f>
        <v>Primera etapa de la renovación de imagen urbana en las localidades de Santa Ana Tepetitlán y San Juan de Ocotán, municipio de Zapopan, Jalisco.</v>
      </c>
      <c r="F344" s="7" t="s">
        <v>67</v>
      </c>
      <c r="G344" s="11">
        <f>'[1]V, inciso o) (OP)'!Y189</f>
        <v>955444.17</v>
      </c>
      <c r="H344" s="7" t="s">
        <v>794</v>
      </c>
      <c r="I344" s="7" t="str">
        <f>'[1]V, inciso o) (OP)'!M189</f>
        <v xml:space="preserve">ALEJANDRO LUIS </v>
      </c>
      <c r="J344" s="7" t="str">
        <f>'[1]V, inciso o) (OP)'!N189</f>
        <v xml:space="preserve">VAIDOVITS </v>
      </c>
      <c r="K344" s="7" t="str">
        <f>'[1]V, inciso o) (OP)'!O189</f>
        <v xml:space="preserve"> SCHNURER</v>
      </c>
      <c r="L344" s="7" t="str">
        <f>'[1]V, inciso o) (OP)'!P189</f>
        <v>PROMACO DE MEXICO, S.A. DE C.V.</v>
      </c>
      <c r="M344" s="7" t="str">
        <f>'[1]V, inciso o) (OP)'!Q189</f>
        <v>PME930817EV7</v>
      </c>
      <c r="N344" s="11">
        <f t="shared" si="8"/>
        <v>955444.17</v>
      </c>
      <c r="O344" s="7" t="s">
        <v>40</v>
      </c>
      <c r="P344" s="7" t="s">
        <v>1021</v>
      </c>
      <c r="Q344" s="11">
        <f>N344/12250</f>
        <v>77.995442448979588</v>
      </c>
      <c r="R344" s="7" t="s">
        <v>42</v>
      </c>
      <c r="S344" s="15">
        <v>7016</v>
      </c>
      <c r="T344" s="7" t="s">
        <v>43</v>
      </c>
      <c r="U344" s="7" t="s">
        <v>584</v>
      </c>
      <c r="V344" s="13">
        <f>'[1]V, inciso o) (OP)'!AD189</f>
        <v>42849</v>
      </c>
      <c r="W344" s="13">
        <f>'[1]V, inciso o) (OP)'!AE189</f>
        <v>42896</v>
      </c>
      <c r="X344" s="7" t="s">
        <v>963</v>
      </c>
      <c r="Y344" s="7" t="s">
        <v>545</v>
      </c>
      <c r="Z344" s="7" t="s">
        <v>212</v>
      </c>
      <c r="AA344" s="7" t="s">
        <v>40</v>
      </c>
      <c r="AB344" s="7" t="s">
        <v>40</v>
      </c>
    </row>
    <row r="345" spans="1:28" ht="69.95" customHeight="1">
      <c r="A345" s="7">
        <v>2017</v>
      </c>
      <c r="B345" s="7" t="s">
        <v>64</v>
      </c>
      <c r="C345" s="7" t="str">
        <f>'[1]V, inciso o) (OP)'!C190</f>
        <v>DOPI-MUN-RM-IE-AD-058-2017</v>
      </c>
      <c r="D345" s="13">
        <f>'[1]V, inciso o) (OP)'!V190</f>
        <v>42853</v>
      </c>
      <c r="E345" s="7" t="str">
        <f>'[1]V, inciso o) (OP)'!AA190</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F345" s="7" t="s">
        <v>67</v>
      </c>
      <c r="G345" s="11">
        <f>'[1]V, inciso o) (OP)'!Y190</f>
        <v>1493490.23</v>
      </c>
      <c r="H345" s="7" t="s">
        <v>1022</v>
      </c>
      <c r="I345" s="7" t="str">
        <f>'[1]V, inciso o) (OP)'!M190</f>
        <v xml:space="preserve">HÉCTOR ALEJANDRO </v>
      </c>
      <c r="J345" s="7" t="str">
        <f>'[1]V, inciso o) (OP)'!N190</f>
        <v xml:space="preserve">ORTEGA </v>
      </c>
      <c r="K345" s="7" t="str">
        <f>'[1]V, inciso o) (OP)'!O190</f>
        <v>ROSALES</v>
      </c>
      <c r="L345" s="7" t="str">
        <f>'[1]V, inciso o) (OP)'!P190</f>
        <v>IME SERVICIOS Y SUMINISTROS, S.A. DE C.V.</v>
      </c>
      <c r="M345" s="7" t="str">
        <f>'[1]V, inciso o) (OP)'!Q190</f>
        <v>ISS920330811</v>
      </c>
      <c r="N345" s="11">
        <f t="shared" si="8"/>
        <v>1493490.23</v>
      </c>
      <c r="O345" s="7" t="s">
        <v>40</v>
      </c>
      <c r="P345" s="7" t="s">
        <v>1023</v>
      </c>
      <c r="Q345" s="11">
        <f>N345/2800</f>
        <v>533.38936785714282</v>
      </c>
      <c r="R345" s="7" t="s">
        <v>42</v>
      </c>
      <c r="S345" s="15">
        <v>1743</v>
      </c>
      <c r="T345" s="7" t="s">
        <v>43</v>
      </c>
      <c r="U345" s="7" t="s">
        <v>584</v>
      </c>
      <c r="V345" s="13">
        <f>'[1]V, inciso o) (OP)'!AD190</f>
        <v>42857</v>
      </c>
      <c r="W345" s="13">
        <f>'[1]V, inciso o) (OP)'!AE190</f>
        <v>42916</v>
      </c>
      <c r="X345" s="7" t="s">
        <v>950</v>
      </c>
      <c r="Y345" s="7" t="s">
        <v>295</v>
      </c>
      <c r="Z345" s="7" t="s">
        <v>254</v>
      </c>
      <c r="AA345" s="7" t="s">
        <v>40</v>
      </c>
      <c r="AB345" s="7" t="s">
        <v>40</v>
      </c>
    </row>
    <row r="346" spans="1:28" ht="69.95" customHeight="1">
      <c r="A346" s="7">
        <v>2017</v>
      </c>
      <c r="B346" s="7" t="s">
        <v>64</v>
      </c>
      <c r="C346" s="7" t="str">
        <f>'[1]V, inciso o) (OP)'!C191</f>
        <v>DOPI-MUN-FORTA-ID-AD-059-2017</v>
      </c>
      <c r="D346" s="13">
        <f>'[1]V, inciso o) (OP)'!V191</f>
        <v>42846</v>
      </c>
      <c r="E346" s="7" t="str">
        <f>'[1]V, inciso o) (OP)'!AA191</f>
        <v>Construcción de Andadores, Recubrimientos y Acabados en la Unidad Deportiva Paseos del Briseño Municipio de Zapopan, Jalisco.</v>
      </c>
      <c r="F346" s="7" t="s">
        <v>939</v>
      </c>
      <c r="G346" s="11">
        <f>'[1]V, inciso o) (OP)'!Y191</f>
        <v>1477840.24</v>
      </c>
      <c r="H346" s="7" t="s">
        <v>1024</v>
      </c>
      <c r="I346" s="7" t="str">
        <f>'[1]V, inciso o) (OP)'!M191</f>
        <v xml:space="preserve">EDUARDO </v>
      </c>
      <c r="J346" s="7" t="str">
        <f>'[1]V, inciso o) (OP)'!N191</f>
        <v>MERCADO</v>
      </c>
      <c r="K346" s="7" t="str">
        <f>'[1]V, inciso o) (OP)'!O191</f>
        <v>VAZQUEZ</v>
      </c>
      <c r="L346" s="7" t="str">
        <f>'[1]V, inciso o) (OP)'!P191</f>
        <v>ANITSUJ, S.A. DE C.V.</v>
      </c>
      <c r="M346" s="7" t="str">
        <f>'[1]V, inciso o) (OP)'!Q191</f>
        <v>ANI1102217W2</v>
      </c>
      <c r="N346" s="11">
        <f t="shared" si="8"/>
        <v>1477840.24</v>
      </c>
      <c r="O346" s="7" t="s">
        <v>40</v>
      </c>
      <c r="P346" s="7" t="s">
        <v>1025</v>
      </c>
      <c r="Q346" s="11">
        <f>N346/2492</f>
        <v>593.03380417335472</v>
      </c>
      <c r="R346" s="7" t="s">
        <v>42</v>
      </c>
      <c r="S346" s="15">
        <v>4159</v>
      </c>
      <c r="T346" s="7" t="s">
        <v>43</v>
      </c>
      <c r="U346" s="7" t="s">
        <v>584</v>
      </c>
      <c r="V346" s="13">
        <f>'[1]V, inciso o) (OP)'!AD191</f>
        <v>42849</v>
      </c>
      <c r="W346" s="13">
        <f>'[1]V, inciso o) (OP)'!AE191</f>
        <v>42946</v>
      </c>
      <c r="X346" s="7" t="s">
        <v>1026</v>
      </c>
      <c r="Y346" s="7" t="s">
        <v>975</v>
      </c>
      <c r="Z346" s="7" t="s">
        <v>1027</v>
      </c>
      <c r="AA346" s="7" t="s">
        <v>40</v>
      </c>
      <c r="AB346" s="7" t="s">
        <v>40</v>
      </c>
    </row>
    <row r="347" spans="1:28" ht="69.95" customHeight="1">
      <c r="A347" s="7">
        <v>2017</v>
      </c>
      <c r="B347" s="7" t="s">
        <v>64</v>
      </c>
      <c r="C347" s="7" t="str">
        <f>'[1]V, inciso o) (OP)'!C192</f>
        <v>DOPI-MUN-FORTA-SERV-AD-060-2017</v>
      </c>
      <c r="D347" s="13">
        <f>'[1]V, inciso o) (OP)'!V192</f>
        <v>42825</v>
      </c>
      <c r="E347" s="7" t="str">
        <f>'[1]V, inciso o) (OP)'!AA192</f>
        <v>Control de calidad de diferentes obras 2017 del municipio de Zapopan, Jalisco, etapa 2.</v>
      </c>
      <c r="F347" s="7" t="s">
        <v>939</v>
      </c>
      <c r="G347" s="11">
        <f>'[1]V, inciso o) (OP)'!Y192</f>
        <v>996523.74</v>
      </c>
      <c r="H347" s="7" t="s">
        <v>231</v>
      </c>
      <c r="I347" s="7" t="str">
        <f>'[1]V, inciso o) (OP)'!M192</f>
        <v>JOSE ALEJANDRO</v>
      </c>
      <c r="J347" s="7" t="str">
        <f>'[1]V, inciso o) (OP)'!N192</f>
        <v>ALVA</v>
      </c>
      <c r="K347" s="7" t="str">
        <f>'[1]V, inciso o) (OP)'!O192</f>
        <v>DELGADO</v>
      </c>
      <c r="L347" s="7" t="str">
        <f>'[1]V, inciso o) (OP)'!P192</f>
        <v>SERVICIOS DE OBRAS CIVILES SERCO, S.A. DE C.V.</v>
      </c>
      <c r="M347" s="7" t="str">
        <f>'[1]V, inciso o) (OP)'!Q192</f>
        <v>SOC150806E69</v>
      </c>
      <c r="N347" s="11">
        <f t="shared" si="8"/>
        <v>996523.74</v>
      </c>
      <c r="O347" s="7" t="s">
        <v>40</v>
      </c>
      <c r="P347" s="7" t="s">
        <v>231</v>
      </c>
      <c r="Q347" s="11" t="s">
        <v>231</v>
      </c>
      <c r="R347" s="7" t="s">
        <v>42</v>
      </c>
      <c r="S347" s="15" t="s">
        <v>232</v>
      </c>
      <c r="T347" s="7" t="s">
        <v>43</v>
      </c>
      <c r="U347" s="7" t="s">
        <v>584</v>
      </c>
      <c r="V347" s="13">
        <f>'[1]V, inciso o) (OP)'!AD192</f>
        <v>42828</v>
      </c>
      <c r="W347" s="13">
        <f>'[1]V, inciso o) (OP)'!AE192</f>
        <v>43008</v>
      </c>
      <c r="X347" s="7" t="s">
        <v>640</v>
      </c>
      <c r="Y347" s="7" t="s">
        <v>641</v>
      </c>
      <c r="Z347" s="7" t="s">
        <v>167</v>
      </c>
      <c r="AA347" s="7" t="s">
        <v>40</v>
      </c>
      <c r="AB347" s="7" t="s">
        <v>40</v>
      </c>
    </row>
    <row r="348" spans="1:28" ht="69.95" customHeight="1">
      <c r="A348" s="7">
        <v>2017</v>
      </c>
      <c r="B348" s="7" t="s">
        <v>64</v>
      </c>
      <c r="C348" s="7" t="str">
        <f>'[1]V, inciso o) (OP)'!C193</f>
        <v>DOPI-MUN-RM-PAV-AD-061-2017</v>
      </c>
      <c r="D348" s="13">
        <f>'[1]V, inciso o) (OP)'!V193</f>
        <v>42874</v>
      </c>
      <c r="E348" s="7" t="str">
        <f>'[1]V, inciso o) (OP)'!AA193</f>
        <v>Construcción de pavimento de concreto hidráulico, incluye: agua potable, alcantarillado, guarniciones, banquetas, accesibilidad y servicios complementarios en la Calle Loma del Sol, de Calle Loma Real a Calle Loma del Valle, Colonia Loma Chica Municipio de Zapopan, Jalisco.</v>
      </c>
      <c r="F348" s="7" t="s">
        <v>67</v>
      </c>
      <c r="G348" s="11">
        <f>'[1]V, inciso o) (OP)'!Y193</f>
        <v>1510227.11</v>
      </c>
      <c r="H348" s="7" t="s">
        <v>1028</v>
      </c>
      <c r="I348" s="7" t="str">
        <f>'[1]V, inciso o) (OP)'!M193</f>
        <v>HECTOR EUGENIO</v>
      </c>
      <c r="J348" s="7" t="str">
        <f>'[1]V, inciso o) (OP)'!N193</f>
        <v>DE LA TORRE</v>
      </c>
      <c r="K348" s="7" t="str">
        <f>'[1]V, inciso o) (OP)'!O193</f>
        <v>MENCHACA</v>
      </c>
      <c r="L348" s="7" t="str">
        <f>'[1]V, inciso o) (OP)'!P193</f>
        <v>INGENIEROS DE LA TORRE, S.A. DE C.V.</v>
      </c>
      <c r="M348" s="7" t="str">
        <f>'[1]V, inciso o) (OP)'!Q193</f>
        <v>ITO951005HY5</v>
      </c>
      <c r="N348" s="11">
        <f t="shared" si="8"/>
        <v>1510227.11</v>
      </c>
      <c r="O348" s="7" t="s">
        <v>40</v>
      </c>
      <c r="P348" s="7" t="s">
        <v>841</v>
      </c>
      <c r="Q348" s="11">
        <f>N348/1035</f>
        <v>1459.1566280193238</v>
      </c>
      <c r="R348" s="7" t="s">
        <v>42</v>
      </c>
      <c r="S348" s="15">
        <v>1166</v>
      </c>
      <c r="T348" s="7" t="s">
        <v>43</v>
      </c>
      <c r="U348" s="7" t="s">
        <v>584</v>
      </c>
      <c r="V348" s="13">
        <f>'[1]V, inciso o) (OP)'!AD193</f>
        <v>42877</v>
      </c>
      <c r="W348" s="13">
        <f>'[1]V, inciso o) (OP)'!AE193</f>
        <v>42872</v>
      </c>
      <c r="X348" s="7" t="s">
        <v>544</v>
      </c>
      <c r="Y348" s="7" t="s">
        <v>545</v>
      </c>
      <c r="Z348" s="7" t="s">
        <v>212</v>
      </c>
      <c r="AA348" s="7" t="s">
        <v>40</v>
      </c>
      <c r="AB348" s="7" t="s">
        <v>40</v>
      </c>
    </row>
    <row r="349" spans="1:28" ht="69.95" customHeight="1">
      <c r="A349" s="7">
        <v>2017</v>
      </c>
      <c r="B349" s="7" t="s">
        <v>64</v>
      </c>
      <c r="C349" s="7" t="str">
        <f>'[1]V, inciso o) (OP)'!C194</f>
        <v>DOPI-MUN-RM-PAV-AD-062-2017</v>
      </c>
      <c r="D349" s="13">
        <f>'[1]V, inciso o) (OP)'!V194</f>
        <v>42874</v>
      </c>
      <c r="E349" s="7" t="str">
        <f>'[1]V, inciso o) (OP)'!AA194</f>
        <v>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v>
      </c>
      <c r="F349" s="7" t="s">
        <v>67</v>
      </c>
      <c r="G349" s="11">
        <f>'[1]V, inciso o) (OP)'!Y194</f>
        <v>1496365.17</v>
      </c>
      <c r="H349" s="7" t="s">
        <v>1029</v>
      </c>
      <c r="I349" s="7" t="str">
        <f>'[1]V, inciso o) (OP)'!M194</f>
        <v>ALBERTO</v>
      </c>
      <c r="J349" s="7" t="str">
        <f>'[1]V, inciso o) (OP)'!N194</f>
        <v>BAÑUELOS</v>
      </c>
      <c r="K349" s="7" t="str">
        <f>'[1]V, inciso o) (OP)'!O194</f>
        <v>GARCIA</v>
      </c>
      <c r="L349" s="7" t="str">
        <f>'[1]V, inciso o) (OP)'!P194</f>
        <v>GRIAL CONSTRUCCIONES, S.A. DE C.V.</v>
      </c>
      <c r="M349" s="7" t="str">
        <f>'[1]V, inciso o) (OP)'!Q194</f>
        <v>GCO100226SU6</v>
      </c>
      <c r="N349" s="11">
        <f t="shared" si="8"/>
        <v>1496365.17</v>
      </c>
      <c r="O349" s="7" t="s">
        <v>40</v>
      </c>
      <c r="P349" s="7" t="s">
        <v>1030</v>
      </c>
      <c r="Q349" s="11">
        <f>N349/1029</f>
        <v>1454.1935568513118</v>
      </c>
      <c r="R349" s="7" t="s">
        <v>42</v>
      </c>
      <c r="S349" s="15">
        <v>1543</v>
      </c>
      <c r="T349" s="7" t="s">
        <v>43</v>
      </c>
      <c r="U349" s="7" t="s">
        <v>584</v>
      </c>
      <c r="V349" s="13">
        <f>'[1]V, inciso o) (OP)'!AD194</f>
        <v>42877</v>
      </c>
      <c r="W349" s="13">
        <f>'[1]V, inciso o) (OP)'!AE194</f>
        <v>42993</v>
      </c>
      <c r="X349" s="7" t="s">
        <v>671</v>
      </c>
      <c r="Y349" s="7" t="s">
        <v>334</v>
      </c>
      <c r="Z349" s="7" t="s">
        <v>133</v>
      </c>
      <c r="AA349" s="7" t="s">
        <v>40</v>
      </c>
      <c r="AB349" s="7" t="s">
        <v>40</v>
      </c>
    </row>
    <row r="350" spans="1:28" ht="69.95" customHeight="1">
      <c r="A350" s="7">
        <v>2017</v>
      </c>
      <c r="B350" s="7" t="s">
        <v>30</v>
      </c>
      <c r="C350" s="7" t="str">
        <f>'[1]V, inciso p) (OP)'!D162</f>
        <v>DOPI-FED-FORTALECE-PAV-LP-063-2017</v>
      </c>
      <c r="D350" s="13">
        <f>'[1]V, inciso p) (OP)'!AD162</f>
        <v>42929</v>
      </c>
      <c r="E350" s="7" t="str">
        <f>'[1]V, inciso p) (OP)'!AL162</f>
        <v>Construcción de la calle Boulevard del Rodeo con concreto hidráulico tramo 1, en las colonias Laureles y Rinconada de la Azalea, en el municipio de Zapopan, Jalisco.</v>
      </c>
      <c r="F350" s="7" t="s">
        <v>648</v>
      </c>
      <c r="G350" s="11">
        <f>'[1]V, inciso p) (OP)'!AJ162</f>
        <v>9130493.5999999996</v>
      </c>
      <c r="H350" s="7" t="str">
        <f>'[1]V, inciso p) (OP)'!AS162</f>
        <v>Colonias Laureles y Rinconada de la Azalea</v>
      </c>
      <c r="I350" s="7" t="str">
        <f>'[1]V, inciso p) (OP)'!T162</f>
        <v>ORNELLA CAROLINA</v>
      </c>
      <c r="J350" s="7" t="str">
        <f>'[1]V, inciso p) (OP)'!U162</f>
        <v>LEGASPI</v>
      </c>
      <c r="K350" s="7" t="str">
        <f>'[1]V, inciso p) (OP)'!V162</f>
        <v>MUÑOZ</v>
      </c>
      <c r="L350" s="7" t="str">
        <f>'[1]V, inciso p) (OP)'!W162</f>
        <v>TRIPOLI EMULSIONES, S.A. DE C.V.</v>
      </c>
      <c r="M350" s="7" t="str">
        <f>'[1]V, inciso p) (OP)'!X162</f>
        <v>TEM141021N31</v>
      </c>
      <c r="N350" s="11">
        <f>G350</f>
        <v>9130493.5999999996</v>
      </c>
      <c r="O350" s="7" t="s">
        <v>40</v>
      </c>
      <c r="P350" s="14" t="s">
        <v>1031</v>
      </c>
      <c r="Q350" s="12">
        <f>N350/5110</f>
        <v>1786.7893542074364</v>
      </c>
      <c r="R350" s="7" t="s">
        <v>42</v>
      </c>
      <c r="S350" s="15">
        <v>9874</v>
      </c>
      <c r="T350" s="7" t="s">
        <v>43</v>
      </c>
      <c r="U350" s="7" t="s">
        <v>584</v>
      </c>
      <c r="V350" s="13">
        <v>42929</v>
      </c>
      <c r="W350" s="13">
        <v>43078</v>
      </c>
      <c r="X350" s="7" t="s">
        <v>640</v>
      </c>
      <c r="Y350" s="7" t="s">
        <v>960</v>
      </c>
      <c r="Z350" s="7" t="s">
        <v>462</v>
      </c>
      <c r="AA350" s="7" t="s">
        <v>40</v>
      </c>
      <c r="AB350" s="7" t="s">
        <v>40</v>
      </c>
    </row>
    <row r="351" spans="1:28" ht="69.95" customHeight="1">
      <c r="A351" s="7">
        <v>2017</v>
      </c>
      <c r="B351" s="7" t="s">
        <v>30</v>
      </c>
      <c r="C351" s="7" t="str">
        <f>'[1]V, inciso p) (OP)'!D163</f>
        <v>DOPI-FED-FORTALECE-PAV-LP-064-2017</v>
      </c>
      <c r="D351" s="13">
        <f>'[1]V, inciso p) (OP)'!AD163</f>
        <v>42929</v>
      </c>
      <c r="E351" s="7" t="str">
        <f>'[1]V, inciso p) (OP)'!AL163</f>
        <v>Construcción de la calle Boulevard del Rodeo con concreto hidráulico tramo 2, en las colonias Laureles, El Vigía, Rinconada de la Azalea, en el municipio de Zapopan, Jalisco.</v>
      </c>
      <c r="F351" s="7" t="s">
        <v>648</v>
      </c>
      <c r="G351" s="11">
        <f>'[1]V, inciso p) (OP)'!AJ163</f>
        <v>9223668.6799999997</v>
      </c>
      <c r="H351" s="7" t="str">
        <f>'[1]V, inciso p) (OP)'!AS163</f>
        <v>Colonias Laureles, El Vigía, Rinconada de la Azalea</v>
      </c>
      <c r="I351" s="7" t="str">
        <f>'[1]V, inciso p) (OP)'!T163</f>
        <v>ARTURO</v>
      </c>
      <c r="J351" s="7" t="str">
        <f>'[1]V, inciso p) (OP)'!U163</f>
        <v>SARMIENTO</v>
      </c>
      <c r="K351" s="7" t="str">
        <f>'[1]V, inciso p) (OP)'!V163</f>
        <v>SANCHEZ</v>
      </c>
      <c r="L351" s="7" t="str">
        <f>'[1]V, inciso p) (OP)'!W163</f>
        <v>CONSTRUBRAVO, S.A. DE C.V.</v>
      </c>
      <c r="M351" s="7" t="str">
        <f>'[1]V, inciso p) (OP)'!X163</f>
        <v>CON020208696</v>
      </c>
      <c r="N351" s="11">
        <f>G351</f>
        <v>9223668.6799999997</v>
      </c>
      <c r="O351" s="7" t="s">
        <v>40</v>
      </c>
      <c r="P351" s="14" t="s">
        <v>1032</v>
      </c>
      <c r="Q351" s="12">
        <f>N351/1780</f>
        <v>5181.8363370786519</v>
      </c>
      <c r="R351" s="7" t="s">
        <v>42</v>
      </c>
      <c r="S351" s="15">
        <v>9874</v>
      </c>
      <c r="T351" s="7" t="s">
        <v>43</v>
      </c>
      <c r="U351" s="7" t="s">
        <v>584</v>
      </c>
      <c r="V351" s="13">
        <v>42929</v>
      </c>
      <c r="W351" s="13">
        <v>43078</v>
      </c>
      <c r="X351" s="7" t="s">
        <v>640</v>
      </c>
      <c r="Y351" s="7" t="s">
        <v>960</v>
      </c>
      <c r="Z351" s="7" t="s">
        <v>462</v>
      </c>
      <c r="AA351" s="7" t="s">
        <v>40</v>
      </c>
      <c r="AB351" s="7" t="s">
        <v>40</v>
      </c>
    </row>
    <row r="352" spans="1:28" ht="69.95" customHeight="1">
      <c r="A352" s="7">
        <v>2017</v>
      </c>
      <c r="B352" s="7" t="s">
        <v>30</v>
      </c>
      <c r="C352" s="7" t="str">
        <f>'[1]V, inciso p) (OP)'!D164</f>
        <v>DOPI-FED-FORTALECE-PAV-LP-065-2017</v>
      </c>
      <c r="D352" s="13">
        <f>'[1]V, inciso p) (OP)'!AD164</f>
        <v>42929</v>
      </c>
      <c r="E352" s="7" t="str">
        <f>'[1]V, inciso p) (OP)'!AL164</f>
        <v>Construcción de la calle Francisco Villa con concreto hidráulico de calle Abasolo a calle Emiliano Zapata, en la Zona de Santa Ana Tepetitlán (Segunda Etapa), en el municipio de Zapopan, Jalisco.</v>
      </c>
      <c r="F352" s="7" t="s">
        <v>648</v>
      </c>
      <c r="G352" s="11">
        <f>'[1]V, inciso p) (OP)'!AJ164</f>
        <v>4467540.6900000004</v>
      </c>
      <c r="H352" s="7" t="str">
        <f>'[1]V, inciso p) (OP)'!AS164</f>
        <v>Santa Ana Tepetitlán</v>
      </c>
      <c r="I352" s="7" t="str">
        <f>'[1]V, inciso p) (OP)'!T164</f>
        <v>J. GERARDO</v>
      </c>
      <c r="J352" s="7" t="str">
        <f>'[1]V, inciso p) (OP)'!U164</f>
        <v>NICANOR</v>
      </c>
      <c r="K352" s="7" t="str">
        <f>'[1]V, inciso p) (OP)'!V164</f>
        <v>MEJIA MARISCAL</v>
      </c>
      <c r="L352" s="7" t="str">
        <f>'[1]V, inciso p) (OP)'!W164</f>
        <v>INECO CONSTRUYE, S.A. DE C.V.</v>
      </c>
      <c r="M352" s="7" t="str">
        <f>'[1]V, inciso p) (OP)'!X164</f>
        <v>ICO980722M04</v>
      </c>
      <c r="N352" s="11">
        <f>G352</f>
        <v>4467540.6900000004</v>
      </c>
      <c r="O352" s="7" t="s">
        <v>40</v>
      </c>
      <c r="P352" s="14" t="s">
        <v>1033</v>
      </c>
      <c r="Q352" s="12">
        <f>N352/2124</f>
        <v>2103.3619067796612</v>
      </c>
      <c r="R352" s="7" t="s">
        <v>42</v>
      </c>
      <c r="S352" s="15">
        <v>3946</v>
      </c>
      <c r="T352" s="7" t="s">
        <v>43</v>
      </c>
      <c r="U352" s="7" t="s">
        <v>584</v>
      </c>
      <c r="V352" s="13">
        <v>42929</v>
      </c>
      <c r="W352" s="13">
        <v>43048</v>
      </c>
      <c r="X352" s="7" t="s">
        <v>967</v>
      </c>
      <c r="Y352" s="7" t="s">
        <v>383</v>
      </c>
      <c r="Z352" s="7" t="s">
        <v>300</v>
      </c>
      <c r="AA352" s="7" t="s">
        <v>40</v>
      </c>
      <c r="AB352" s="7" t="s">
        <v>40</v>
      </c>
    </row>
    <row r="353" spans="1:28" ht="69.95" customHeight="1">
      <c r="A353" s="7">
        <v>2017</v>
      </c>
      <c r="B353" s="7" t="s">
        <v>30</v>
      </c>
      <c r="C353" s="7" t="str">
        <f>'[1]V, inciso p) (OP)'!D165</f>
        <v>DOPI-FED-FORTALECE-PAV-LP-066-2017</v>
      </c>
      <c r="D353" s="13">
        <f>'[1]V, inciso p) (OP)'!AD165</f>
        <v>42929</v>
      </c>
      <c r="E353" s="7" t="str">
        <f>'[1]V, inciso p) (OP)'!AL165</f>
        <v>Construcción de la calle Plata con concreto hidráulico de calle Estaño a Av. Juan Pablo II, en la Zona de San José del Bajío, en el municipio de Zapopan, Jalisco.</v>
      </c>
      <c r="F353" s="7" t="s">
        <v>648</v>
      </c>
      <c r="G353" s="11">
        <f>'[1]V, inciso p) (OP)'!AJ165</f>
        <v>7678994.9500000002</v>
      </c>
      <c r="H353" s="7" t="str">
        <f>'[1]V, inciso p) (OP)'!AS165</f>
        <v>San José del Bajío</v>
      </c>
      <c r="I353" s="7" t="str">
        <f>'[1]V, inciso p) (OP)'!T165</f>
        <v>J. GERARDO</v>
      </c>
      <c r="J353" s="7" t="str">
        <f>'[1]V, inciso p) (OP)'!U165</f>
        <v>NICANOR</v>
      </c>
      <c r="K353" s="7" t="str">
        <f>'[1]V, inciso p) (OP)'!V165</f>
        <v>MEJIA MARISCAL</v>
      </c>
      <c r="L353" s="7" t="str">
        <f>'[1]V, inciso p) (OP)'!W165</f>
        <v>INECO CONSTRUYE, S.A. DE C.V.</v>
      </c>
      <c r="M353" s="7" t="str">
        <f>'[1]V, inciso p) (OP)'!X165</f>
        <v>ICO980722M04</v>
      </c>
      <c r="N353" s="11">
        <f>G353</f>
        <v>7678994.9500000002</v>
      </c>
      <c r="O353" s="7" t="s">
        <v>40</v>
      </c>
      <c r="P353" s="14" t="s">
        <v>1034</v>
      </c>
      <c r="Q353" s="12">
        <f>N353/3690</f>
        <v>2081.0284417344174</v>
      </c>
      <c r="R353" s="7" t="s">
        <v>42</v>
      </c>
      <c r="S353" s="15">
        <v>4431</v>
      </c>
      <c r="T353" s="7" t="s">
        <v>43</v>
      </c>
      <c r="U353" s="7" t="s">
        <v>584</v>
      </c>
      <c r="V353" s="13">
        <v>42929</v>
      </c>
      <c r="W353" s="13">
        <v>43078</v>
      </c>
      <c r="X353" s="7" t="s">
        <v>640</v>
      </c>
      <c r="Y353" s="7" t="s">
        <v>960</v>
      </c>
      <c r="Z353" s="7" t="s">
        <v>462</v>
      </c>
      <c r="AA353" s="7" t="s">
        <v>40</v>
      </c>
      <c r="AB353" s="7" t="s">
        <v>40</v>
      </c>
    </row>
    <row r="354" spans="1:28" ht="69.95" customHeight="1">
      <c r="A354" s="7">
        <v>2017</v>
      </c>
      <c r="B354" s="7" t="s">
        <v>64</v>
      </c>
      <c r="C354" s="7" t="str">
        <f>'[1]V, inciso o) (OP)'!C195</f>
        <v>DOPI-MUN-FORTA-EP-AD-067-2017</v>
      </c>
      <c r="D354" s="13">
        <f>'[1]V, inciso o) (OP)'!V195</f>
        <v>42879</v>
      </c>
      <c r="E354" s="7" t="str">
        <f>'[1]V, inciso o) (OP)'!AA195</f>
        <v>Instalación de reja de acero, reubicación de mobiliario existente y trabajos de adecuación en el estanque de retención de aguas pluviales en Santa María del Pueblito, municipio de Zapopan, Jalisco.</v>
      </c>
      <c r="F354" s="7" t="s">
        <v>184</v>
      </c>
      <c r="G354" s="11">
        <f>'[1]V, inciso o) (OP)'!Y195</f>
        <v>1325750.33</v>
      </c>
      <c r="H354" s="7" t="s">
        <v>1035</v>
      </c>
      <c r="I354" s="7" t="str">
        <f>'[1]V, inciso o) (OP)'!M195</f>
        <v>HECTOR ANDRES</v>
      </c>
      <c r="J354" s="7" t="str">
        <f>'[1]V, inciso o) (OP)'!N195</f>
        <v>VALADES</v>
      </c>
      <c r="K354" s="7" t="str">
        <f>'[1]V, inciso o) (OP)'!O195</f>
        <v>SANCHEZ</v>
      </c>
      <c r="L354" s="7" t="str">
        <f>'[1]V, inciso o) (OP)'!P195</f>
        <v>CONSTRUMOVA, S.A. P.I. DE C.V.</v>
      </c>
      <c r="M354" s="7" t="str">
        <f>'[1]V, inciso o) (OP)'!Q195</f>
        <v>CON130531FB8</v>
      </c>
      <c r="N354" s="11">
        <f t="shared" ref="N354:N417" si="9">G354</f>
        <v>1325750.33</v>
      </c>
      <c r="O354" s="7" t="s">
        <v>40</v>
      </c>
      <c r="P354" s="7" t="s">
        <v>1036</v>
      </c>
      <c r="Q354" s="11">
        <f>N354/500</f>
        <v>2651.5006600000002</v>
      </c>
      <c r="R354" s="7" t="s">
        <v>42</v>
      </c>
      <c r="S354" s="15">
        <v>1332272</v>
      </c>
      <c r="T354" s="7" t="s">
        <v>43</v>
      </c>
      <c r="U354" s="7" t="s">
        <v>584</v>
      </c>
      <c r="V354" s="13">
        <f>'[1]V, inciso o) (OP)'!AD195</f>
        <v>42880</v>
      </c>
      <c r="W354" s="13">
        <f>'[1]V, inciso o) (OP)'!AE195</f>
        <v>42916</v>
      </c>
      <c r="X354" s="7" t="s">
        <v>701</v>
      </c>
      <c r="Y354" s="7" t="s">
        <v>524</v>
      </c>
      <c r="Z354" s="7" t="s">
        <v>254</v>
      </c>
      <c r="AA354" s="7" t="s">
        <v>40</v>
      </c>
      <c r="AB354" s="7" t="s">
        <v>40</v>
      </c>
    </row>
    <row r="355" spans="1:28" ht="69.95" customHeight="1">
      <c r="A355" s="7">
        <v>2017</v>
      </c>
      <c r="B355" s="7" t="s">
        <v>64</v>
      </c>
      <c r="C355" s="7" t="str">
        <f>'[1]V, inciso o) (OP)'!C196</f>
        <v>DOPI-MUN-FORTA-ID-AD-068-2017</v>
      </c>
      <c r="D355" s="13">
        <f>'[1]V, inciso o) (OP)'!V196</f>
        <v>42867</v>
      </c>
      <c r="E355" s="7" t="str">
        <f>'[1]V, inciso o) (OP)'!AA196</f>
        <v>Rehabilitación de infraestructura de servicios en el Centro Acuático Zapopan, Unidad Deportiva Francisco Villa y en la Unidad Deportiva Base Aérea, municipio de Zapopan, Jalisco.</v>
      </c>
      <c r="F355" s="7" t="s">
        <v>184</v>
      </c>
      <c r="G355" s="11">
        <f>'[1]V, inciso o) (OP)'!Y196</f>
        <v>1491328.97</v>
      </c>
      <c r="H355" s="7" t="s">
        <v>1037</v>
      </c>
      <c r="I355" s="7" t="str">
        <f>'[1]V, inciso o) (OP)'!M196</f>
        <v>OSCAR LUIS</v>
      </c>
      <c r="J355" s="7" t="str">
        <f>'[1]V, inciso o) (OP)'!N196</f>
        <v>CHAVEZ</v>
      </c>
      <c r="K355" s="7" t="str">
        <f>'[1]V, inciso o) (OP)'!O196</f>
        <v>GONZALEZ</v>
      </c>
      <c r="L355" s="7" t="str">
        <f>'[1]V, inciso o) (OP)'!P196</f>
        <v>EURO TRADE, S.A. DE C.V.</v>
      </c>
      <c r="M355" s="7" t="str">
        <f>'[1]V, inciso o) (OP)'!Q196</f>
        <v>ETR070417NS8</v>
      </c>
      <c r="N355" s="11">
        <f t="shared" si="9"/>
        <v>1491328.97</v>
      </c>
      <c r="O355" s="7" t="s">
        <v>40</v>
      </c>
      <c r="P355" s="7" t="s">
        <v>1038</v>
      </c>
      <c r="Q355" s="11">
        <f>N355/6</f>
        <v>248554.82833333334</v>
      </c>
      <c r="R355" s="7" t="s">
        <v>42</v>
      </c>
      <c r="S355" s="15">
        <v>1432</v>
      </c>
      <c r="T355" s="7" t="s">
        <v>43</v>
      </c>
      <c r="U355" s="7" t="s">
        <v>584</v>
      </c>
      <c r="V355" s="13">
        <f>'[1]V, inciso o) (OP)'!AD196</f>
        <v>42870</v>
      </c>
      <c r="W355" s="13">
        <f>'[1]V, inciso o) (OP)'!AE196</f>
        <v>42940</v>
      </c>
      <c r="X355" s="7" t="s">
        <v>686</v>
      </c>
      <c r="Y355" s="7" t="s">
        <v>687</v>
      </c>
      <c r="Z355" s="7" t="s">
        <v>268</v>
      </c>
      <c r="AA355" s="7" t="s">
        <v>40</v>
      </c>
      <c r="AB355" s="7" t="s">
        <v>40</v>
      </c>
    </row>
    <row r="356" spans="1:28" ht="69.95" customHeight="1">
      <c r="A356" s="7">
        <v>2017</v>
      </c>
      <c r="B356" s="7" t="s">
        <v>64</v>
      </c>
      <c r="C356" s="7" t="str">
        <f>'[1]V, inciso o) (OP)'!C197</f>
        <v>DOPI-MUN-FORTA-CONT-AD-069-2017</v>
      </c>
      <c r="D356" s="13">
        <f>'[1]V, inciso o) (OP)'!V197</f>
        <v>42881</v>
      </c>
      <c r="E356" s="7" t="str">
        <f>'[1]V, inciso o) (OP)'!AA197</f>
        <v>Obras de prevención de inundaciones en la calle Privada Guayabitos, colonia Lomas de Tabachines, municipio de Zapopan, Jalisco.</v>
      </c>
      <c r="F356" s="7" t="s">
        <v>184</v>
      </c>
      <c r="G356" s="11">
        <f>'[1]V, inciso o) (OP)'!Y197</f>
        <v>622364.78</v>
      </c>
      <c r="H356" s="7" t="s">
        <v>1039</v>
      </c>
      <c r="I356" s="7" t="str">
        <f>'[1]V, inciso o) (OP)'!M197</f>
        <v>JOSE</v>
      </c>
      <c r="J356" s="7" t="str">
        <f>'[1]V, inciso o) (OP)'!N197</f>
        <v xml:space="preserve">GUILLEN </v>
      </c>
      <c r="K356" s="7" t="str">
        <f>'[1]V, inciso o) (OP)'!O197</f>
        <v xml:space="preserve">DIAZ  </v>
      </c>
      <c r="L356" s="7" t="str">
        <f>'[1]V, inciso o) (OP)'!P197</f>
        <v>SERVICIOS PROFESIONALES PARA LA CONSTRUCCIÓN DE OCCIDENTE, S.A. DE C.V.</v>
      </c>
      <c r="M356" s="7" t="str">
        <f>'[1]V, inciso o) (OP)'!Q197</f>
        <v>SPC050127BR0</v>
      </c>
      <c r="N356" s="11">
        <f t="shared" si="9"/>
        <v>622364.78</v>
      </c>
      <c r="O356" s="7" t="s">
        <v>40</v>
      </c>
      <c r="P356" s="7" t="s">
        <v>1040</v>
      </c>
      <c r="Q356" s="11">
        <f>N356/960</f>
        <v>648.2966458333334</v>
      </c>
      <c r="R356" s="7" t="s">
        <v>42</v>
      </c>
      <c r="S356" s="15">
        <v>1594</v>
      </c>
      <c r="T356" s="7" t="s">
        <v>43</v>
      </c>
      <c r="U356" s="7" t="s">
        <v>584</v>
      </c>
      <c r="V356" s="13">
        <f>'[1]V, inciso o) (OP)'!AD197</f>
        <v>42884</v>
      </c>
      <c r="W356" s="13">
        <f>'[1]V, inciso o) (OP)'!AE197</f>
        <v>42916</v>
      </c>
      <c r="X356" s="7" t="s">
        <v>1041</v>
      </c>
      <c r="Y356" s="7" t="s">
        <v>1042</v>
      </c>
      <c r="Z356" s="7" t="s">
        <v>244</v>
      </c>
      <c r="AA356" s="7" t="s">
        <v>40</v>
      </c>
      <c r="AB356" s="7" t="s">
        <v>40</v>
      </c>
    </row>
    <row r="357" spans="1:28" ht="69.95" customHeight="1">
      <c r="A357" s="7">
        <v>2017</v>
      </c>
      <c r="B357" s="7" t="s">
        <v>64</v>
      </c>
      <c r="C357" s="7" t="str">
        <f>'[1]V, inciso o) (OP)'!C198</f>
        <v>DOPI-MUN-FORTA-CAL-AD-070-2017</v>
      </c>
      <c r="D357" s="13">
        <f>'[1]V, inciso o) (OP)'!V198</f>
        <v>42845</v>
      </c>
      <c r="E357" s="7" t="str">
        <f>'[1]V, inciso o) (OP)'!AA198</f>
        <v>Control de calidad de diferentes obras 2017 del municipio de Zapopan, Jalisco, etapa 3.</v>
      </c>
      <c r="F357" s="7" t="s">
        <v>184</v>
      </c>
      <c r="G357" s="11">
        <f>'[1]V, inciso o) (OP)'!Y198</f>
        <v>754065.98</v>
      </c>
      <c r="H357" s="7" t="s">
        <v>225</v>
      </c>
      <c r="I357" s="7" t="str">
        <f>'[1]V, inciso o) (OP)'!M198</f>
        <v>JOEL</v>
      </c>
      <c r="J357" s="7" t="str">
        <f>'[1]V, inciso o) (OP)'!N198</f>
        <v>ZULOAGA</v>
      </c>
      <c r="K357" s="7" t="str">
        <f>'[1]V, inciso o) (OP)'!O198</f>
        <v>ACEVES</v>
      </c>
      <c r="L357" s="7" t="str">
        <f>'[1]V, inciso o) (OP)'!P198</f>
        <v>TASUM SOLUCIONES EN CONSTRUCCION, S.A. DE C.V.</v>
      </c>
      <c r="M357" s="7" t="str">
        <f>'[1]V, inciso o) (OP)'!Q198</f>
        <v>TSC100210E48</v>
      </c>
      <c r="N357" s="11">
        <f t="shared" si="9"/>
        <v>754065.98</v>
      </c>
      <c r="O357" s="7" t="s">
        <v>40</v>
      </c>
      <c r="P357" s="7" t="s">
        <v>862</v>
      </c>
      <c r="Q357" s="11">
        <f>N357</f>
        <v>754065.98</v>
      </c>
      <c r="R357" s="7" t="s">
        <v>232</v>
      </c>
      <c r="S357" s="15" t="s">
        <v>232</v>
      </c>
      <c r="T357" s="7" t="s">
        <v>43</v>
      </c>
      <c r="U357" s="7" t="s">
        <v>584</v>
      </c>
      <c r="V357" s="13">
        <f>'[1]V, inciso o) (OP)'!AD198</f>
        <v>42849</v>
      </c>
      <c r="W357" s="13">
        <f>'[1]V, inciso o) (OP)'!AE198</f>
        <v>43013</v>
      </c>
      <c r="X357" s="7" t="s">
        <v>762</v>
      </c>
      <c r="Y357" s="7" t="s">
        <v>763</v>
      </c>
      <c r="Z357" s="7" t="s">
        <v>764</v>
      </c>
      <c r="AA357" s="7" t="s">
        <v>40</v>
      </c>
      <c r="AB357" s="7" t="s">
        <v>40</v>
      </c>
    </row>
    <row r="358" spans="1:28" ht="69.95" customHeight="1">
      <c r="A358" s="7">
        <v>2017</v>
      </c>
      <c r="B358" s="7" t="s">
        <v>64</v>
      </c>
      <c r="C358" s="7" t="str">
        <f>'[1]V, inciso o) (OP)'!C199</f>
        <v>DOPI-MUN-FORTA-PROY-AD-071-2017</v>
      </c>
      <c r="D358" s="13">
        <f>'[1]V, inciso o) (OP)'!V199</f>
        <v>42845</v>
      </c>
      <c r="E358" s="7" t="str">
        <f>'[1]V, inciso o) (OP)'!AA199</f>
        <v>Estudios de mecánica de suelos y diseño de pavimentos de diferentes obras 2017 del municipio de Zapopan, Jalisco, etapa 1.</v>
      </c>
      <c r="F358" s="7" t="s">
        <v>184</v>
      </c>
      <c r="G358" s="11">
        <f>'[1]V, inciso o) (OP)'!Y199</f>
        <v>1002644.28</v>
      </c>
      <c r="H358" s="7" t="s">
        <v>225</v>
      </c>
      <c r="I358" s="7" t="str">
        <f>'[1]V, inciso o) (OP)'!M199</f>
        <v>JOSE DE JESUS</v>
      </c>
      <c r="J358" s="7" t="str">
        <f>'[1]V, inciso o) (OP)'!N199</f>
        <v xml:space="preserve">CASTILLO </v>
      </c>
      <c r="K358" s="7" t="str">
        <f>'[1]V, inciso o) (OP)'!O199</f>
        <v>CARRILLO</v>
      </c>
      <c r="L358" s="7" t="str">
        <f>'[1]V, inciso o) (OP)'!P199</f>
        <v>MAPA OBRAS Y PAVIMENTOS, S.A. DE C.V.</v>
      </c>
      <c r="M358" s="7" t="str">
        <f>'[1]V, inciso o) (OP)'!Q199</f>
        <v>MOP080610I53</v>
      </c>
      <c r="N358" s="11">
        <f t="shared" si="9"/>
        <v>1002644.28</v>
      </c>
      <c r="O358" s="7" t="s">
        <v>40</v>
      </c>
      <c r="P358" s="7" t="s">
        <v>862</v>
      </c>
      <c r="Q358" s="11">
        <f>N358</f>
        <v>1002644.28</v>
      </c>
      <c r="R358" s="7" t="s">
        <v>232</v>
      </c>
      <c r="S358" s="15" t="s">
        <v>232</v>
      </c>
      <c r="T358" s="7" t="s">
        <v>43</v>
      </c>
      <c r="U358" s="7" t="s">
        <v>584</v>
      </c>
      <c r="V358" s="13">
        <f>'[1]V, inciso o) (OP)'!AD199</f>
        <v>42849</v>
      </c>
      <c r="W358" s="13">
        <f>'[1]V, inciso o) (OP)'!AE199</f>
        <v>43013</v>
      </c>
      <c r="X358" s="7" t="s">
        <v>571</v>
      </c>
      <c r="Y358" s="7" t="s">
        <v>572</v>
      </c>
      <c r="Z358" s="7" t="s">
        <v>573</v>
      </c>
      <c r="AA358" s="7" t="s">
        <v>40</v>
      </c>
      <c r="AB358" s="7" t="s">
        <v>40</v>
      </c>
    </row>
    <row r="359" spans="1:28" ht="69.95" customHeight="1">
      <c r="A359" s="7">
        <v>2017</v>
      </c>
      <c r="B359" s="7" t="s">
        <v>64</v>
      </c>
      <c r="C359" s="7" t="str">
        <f>'[1]V, inciso o) (OP)'!C200</f>
        <v>DOPI-MUN-FORTA-BAN-AD-072-2017</v>
      </c>
      <c r="D359" s="13">
        <f>'[1]V, inciso o) (OP)'!V200</f>
        <v>42859</v>
      </c>
      <c r="E359" s="7" t="str">
        <f>'[1]V, inciso o) (OP)'!AA200</f>
        <v>Peatonalización, construcción de banquetas, sustitución de guarniciones y bolardos en calle Ingeniero Alberto Mora López, desde la calle Elote a Carretera a Saltillo, zona las Mesas, municipio de Zapopan, Jalisco.</v>
      </c>
      <c r="F359" s="7" t="s">
        <v>184</v>
      </c>
      <c r="G359" s="11">
        <f>'[1]V, inciso o) (OP)'!Y200</f>
        <v>506572.74</v>
      </c>
      <c r="H359" s="7" t="s">
        <v>1043</v>
      </c>
      <c r="I359" s="7" t="str">
        <f>'[1]V, inciso o) (OP)'!M200</f>
        <v>ERICK</v>
      </c>
      <c r="J359" s="7" t="str">
        <f>'[1]V, inciso o) (OP)'!N200</f>
        <v>VILLASEÑOR</v>
      </c>
      <c r="K359" s="7" t="str">
        <f>'[1]V, inciso o) (OP)'!O200</f>
        <v>GUTIERREZ</v>
      </c>
      <c r="L359" s="7" t="str">
        <f>'[1]V, inciso o) (OP)'!P200</f>
        <v>PIXIDE CONSTRUCTORA, S.A. DE C.V.</v>
      </c>
      <c r="M359" s="7" t="str">
        <f>'[1]V, inciso o) (OP)'!Q200</f>
        <v>PCO140829425</v>
      </c>
      <c r="N359" s="11">
        <f t="shared" si="9"/>
        <v>506572.74</v>
      </c>
      <c r="O359" s="7" t="s">
        <v>40</v>
      </c>
      <c r="P359" s="7" t="s">
        <v>1044</v>
      </c>
      <c r="Q359" s="11">
        <f>N359/123</f>
        <v>4118.4775609756098</v>
      </c>
      <c r="R359" s="7" t="s">
        <v>42</v>
      </c>
      <c r="S359" s="15">
        <v>1450</v>
      </c>
      <c r="T359" s="7" t="s">
        <v>43</v>
      </c>
      <c r="U359" s="7" t="s">
        <v>584</v>
      </c>
      <c r="V359" s="13">
        <f>'[1]V, inciso o) (OP)'!AD200</f>
        <v>42863</v>
      </c>
      <c r="W359" s="13">
        <f>'[1]V, inciso o) (OP)'!AE200</f>
        <v>42916</v>
      </c>
      <c r="X359" s="7" t="s">
        <v>556</v>
      </c>
      <c r="Y359" s="7" t="s">
        <v>557</v>
      </c>
      <c r="Z359" s="7" t="s">
        <v>558</v>
      </c>
      <c r="AA359" s="7" t="s">
        <v>40</v>
      </c>
      <c r="AB359" s="7" t="s">
        <v>40</v>
      </c>
    </row>
    <row r="360" spans="1:28" ht="69.95" customHeight="1">
      <c r="A360" s="7">
        <v>2017</v>
      </c>
      <c r="B360" s="7" t="s">
        <v>64</v>
      </c>
      <c r="C360" s="7" t="str">
        <f>'[1]V, inciso o) (OP)'!C201</f>
        <v>DOPI-MUN-FORTA-ID-AD-073-2017</v>
      </c>
      <c r="D360" s="13">
        <f>'[1]V, inciso o) (OP)'!V201</f>
        <v>42853</v>
      </c>
      <c r="E360" s="7" t="str">
        <f>'[1]V, inciso o) (OP)'!AA201</f>
        <v>Construcción de Skatepark en la Unidad Deportiva Miguel de la Madrid, municipio de Zapopan, Jalisco.</v>
      </c>
      <c r="F360" s="7" t="s">
        <v>184</v>
      </c>
      <c r="G360" s="11">
        <f>'[1]V, inciso o) (OP)'!Y201</f>
        <v>621688.56000000006</v>
      </c>
      <c r="H360" s="7" t="s">
        <v>1045</v>
      </c>
      <c r="I360" s="7" t="str">
        <f>'[1]V, inciso o) (OP)'!M201</f>
        <v>DAVID</v>
      </c>
      <c r="J360" s="7" t="str">
        <f>'[1]V, inciso o) (OP)'!N201</f>
        <v>LEDESMA</v>
      </c>
      <c r="K360" s="7" t="str">
        <f>'[1]V, inciso o) (OP)'!O201</f>
        <v>MARTIN DEL CAMPO</v>
      </c>
      <c r="L360" s="7" t="str">
        <f>'[1]V, inciso o) (OP)'!P201</f>
        <v>DAVID LEDESMA MARTIN DEL CAMPO</v>
      </c>
      <c r="M360" s="7" t="str">
        <f>'[1]V, inciso o) (OP)'!Q201</f>
        <v>LEMD880217U53</v>
      </c>
      <c r="N360" s="11">
        <f t="shared" si="9"/>
        <v>621688.56000000006</v>
      </c>
      <c r="O360" s="7" t="s">
        <v>40</v>
      </c>
      <c r="P360" s="7" t="s">
        <v>947</v>
      </c>
      <c r="Q360" s="11">
        <f>N360/490</f>
        <v>1268.7521632653063</v>
      </c>
      <c r="R360" s="7" t="s">
        <v>42</v>
      </c>
      <c r="S360" s="15">
        <v>2399</v>
      </c>
      <c r="T360" s="7" t="s">
        <v>43</v>
      </c>
      <c r="U360" s="7" t="s">
        <v>584</v>
      </c>
      <c r="V360" s="13">
        <f>'[1]V, inciso o) (OP)'!AD201</f>
        <v>42857</v>
      </c>
      <c r="W360" s="13">
        <f>'[1]V, inciso o) (OP)'!AE201</f>
        <v>42946</v>
      </c>
      <c r="X360" s="7" t="s">
        <v>1046</v>
      </c>
      <c r="Y360" s="7" t="s">
        <v>383</v>
      </c>
      <c r="Z360" s="7" t="s">
        <v>300</v>
      </c>
      <c r="AA360" s="7" t="s">
        <v>40</v>
      </c>
      <c r="AB360" s="7" t="s">
        <v>40</v>
      </c>
    </row>
    <row r="361" spans="1:28" ht="69.95" customHeight="1">
      <c r="A361" s="7">
        <v>2017</v>
      </c>
      <c r="B361" s="7" t="s">
        <v>64</v>
      </c>
      <c r="C361" s="7" t="str">
        <f>'[1]V, inciso o) (OP)'!C202</f>
        <v>DOPI-MUN-FORTA-IM-AD-074-2017</v>
      </c>
      <c r="D361" s="13">
        <f>'[1]V, inciso o) (OP)'!V202</f>
        <v>42886</v>
      </c>
      <c r="E361" s="7" t="str">
        <f>'[1]V, inciso o) (OP)'!AA202</f>
        <v>Construcción de muros de mampostería y obra complementaria en el parque El Polvorín II, municipio de Zapopan, Jalisco.</v>
      </c>
      <c r="F361" s="7" t="s">
        <v>184</v>
      </c>
      <c r="G361" s="11">
        <f>'[1]V, inciso o) (OP)'!Y202</f>
        <v>710320.06</v>
      </c>
      <c r="H361" s="7" t="s">
        <v>289</v>
      </c>
      <c r="I361" s="7" t="str">
        <f>'[1]V, inciso o) (OP)'!M202</f>
        <v>LEOBARDO</v>
      </c>
      <c r="J361" s="7" t="str">
        <f>'[1]V, inciso o) (OP)'!N202</f>
        <v>PRECIADO</v>
      </c>
      <c r="K361" s="7" t="str">
        <f>'[1]V, inciso o) (OP)'!O202</f>
        <v>ZEPEDA</v>
      </c>
      <c r="L361" s="7" t="str">
        <f>'[1]V, inciso o) (OP)'!P202</f>
        <v>CONSORCIO CONSTRUCTOR ADOBES, S.A. DE C.V.</v>
      </c>
      <c r="M361" s="7" t="str">
        <f>'[1]V, inciso o) (OP)'!Q202</f>
        <v>CCA971126QC9</v>
      </c>
      <c r="N361" s="11">
        <f t="shared" si="9"/>
        <v>710320.06</v>
      </c>
      <c r="O361" s="7" t="s">
        <v>40</v>
      </c>
      <c r="P361" s="7" t="s">
        <v>1047</v>
      </c>
      <c r="Q361" s="11">
        <f>N361/295.7</f>
        <v>2402.1645586743325</v>
      </c>
      <c r="R361" s="7" t="s">
        <v>42</v>
      </c>
      <c r="S361" s="15">
        <v>2614</v>
      </c>
      <c r="T361" s="7" t="s">
        <v>43</v>
      </c>
      <c r="U361" s="7" t="s">
        <v>584</v>
      </c>
      <c r="V361" s="13">
        <f>'[1]V, inciso o) (OP)'!AD202</f>
        <v>42887</v>
      </c>
      <c r="W361" s="13">
        <f>'[1]V, inciso o) (OP)'!AE202</f>
        <v>42931</v>
      </c>
      <c r="X361" s="7" t="s">
        <v>701</v>
      </c>
      <c r="Y361" s="7" t="s">
        <v>524</v>
      </c>
      <c r="Z361" s="7" t="s">
        <v>254</v>
      </c>
      <c r="AA361" s="7" t="s">
        <v>40</v>
      </c>
      <c r="AB361" s="7" t="s">
        <v>40</v>
      </c>
    </row>
    <row r="362" spans="1:28" ht="69.95" customHeight="1">
      <c r="A362" s="7">
        <v>2017</v>
      </c>
      <c r="B362" s="7" t="s">
        <v>64</v>
      </c>
      <c r="C362" s="7" t="str">
        <f>'[1]V, inciso o) (OP)'!C203</f>
        <v>DOPI-MUN-FORTA-PAV-AD-075-2017</v>
      </c>
      <c r="D362" s="13">
        <f>'[1]V, inciso o) (OP)'!V203</f>
        <v>42867</v>
      </c>
      <c r="E362" s="7" t="str">
        <f>'[1]V, inciso o) (OP)'!AA203</f>
        <v>Construcción de pavimento de concreto hidráulico, banquetas, adecuaciones de la red sanitaria e hidráulica, en la Av. D, colonia El Tigre II, municipio de Zapopan, Jalisco, tramo 2.</v>
      </c>
      <c r="F362" s="7" t="s">
        <v>184</v>
      </c>
      <c r="G362" s="11">
        <f>'[1]V, inciso o) (OP)'!Y203</f>
        <v>1394454.07</v>
      </c>
      <c r="H362" s="7" t="s">
        <v>1048</v>
      </c>
      <c r="I362" s="7" t="str">
        <f>'[1]V, inciso o) (OP)'!M203</f>
        <v>OFELIA</v>
      </c>
      <c r="J362" s="7" t="str">
        <f>'[1]V, inciso o) (OP)'!N203</f>
        <v>BARRAGAN</v>
      </c>
      <c r="K362" s="7" t="str">
        <f>'[1]V, inciso o) (OP)'!O203</f>
        <v>REYNAGA</v>
      </c>
      <c r="L362" s="7" t="str">
        <f>'[1]V, inciso o) (OP)'!P203</f>
        <v>I+A INGENIERIA Y ARQUITECTURA CONSTRUCCION Y PROYECTOS, S. DE R.L. DE C.V.</v>
      </c>
      <c r="M362" s="7" t="str">
        <f>'[1]V, inciso o) (OP)'!Q203</f>
        <v>IIA160303MFA</v>
      </c>
      <c r="N362" s="11">
        <f t="shared" si="9"/>
        <v>1394454.07</v>
      </c>
      <c r="O362" s="7" t="s">
        <v>40</v>
      </c>
      <c r="P362" s="7" t="s">
        <v>1049</v>
      </c>
      <c r="Q362" s="11">
        <f>N362/2604</f>
        <v>535.50463517665128</v>
      </c>
      <c r="R362" s="7" t="s">
        <v>42</v>
      </c>
      <c r="S362" s="15">
        <v>365</v>
      </c>
      <c r="T362" s="7" t="s">
        <v>43</v>
      </c>
      <c r="U362" s="7" t="s">
        <v>584</v>
      </c>
      <c r="V362" s="13">
        <f>'[1]V, inciso o) (OP)'!AD203</f>
        <v>42870</v>
      </c>
      <c r="W362" s="13">
        <f>'[1]V, inciso o) (OP)'!AE203</f>
        <v>42940</v>
      </c>
      <c r="X362" s="7" t="s">
        <v>591</v>
      </c>
      <c r="Y362" s="7" t="s">
        <v>46</v>
      </c>
      <c r="Z362" s="7" t="s">
        <v>47</v>
      </c>
      <c r="AA362" s="7" t="s">
        <v>40</v>
      </c>
      <c r="AB362" s="7" t="s">
        <v>40</v>
      </c>
    </row>
    <row r="363" spans="1:28" ht="69.95" customHeight="1">
      <c r="A363" s="7">
        <v>2017</v>
      </c>
      <c r="B363" s="7" t="s">
        <v>64</v>
      </c>
      <c r="C363" s="7" t="str">
        <f>'[1]V, inciso o) (OP)'!C204</f>
        <v>DOPI-MUN-FORTA-DS-AD-076-2017</v>
      </c>
      <c r="D363" s="13">
        <f>'[1]V, inciso o) (OP)'!V204</f>
        <v>42842</v>
      </c>
      <c r="E363" s="7" t="str">
        <f>'[1]V, inciso o) (OP)'!AA204</f>
        <v>Sustitución de red de drenaje sanitario en calles de la colonia Lomas de Tabachines I sección, en el municipio de Zapopan, Jalisco, primera etapa.</v>
      </c>
      <c r="F363" s="7" t="s">
        <v>184</v>
      </c>
      <c r="G363" s="11">
        <f>'[1]V, inciso o) (OP)'!Y204</f>
        <v>1714660.23</v>
      </c>
      <c r="H363" s="7" t="s">
        <v>1050</v>
      </c>
      <c r="I363" s="7" t="str">
        <f>'[1]V, inciso o) (OP)'!M204</f>
        <v>LUIS ERAZMO</v>
      </c>
      <c r="J363" s="7" t="str">
        <f>'[1]V, inciso o) (OP)'!N204</f>
        <v>DURAN</v>
      </c>
      <c r="K363" s="7" t="str">
        <f>'[1]V, inciso o) (OP)'!O204</f>
        <v>GODINA</v>
      </c>
      <c r="L363" s="7" t="str">
        <f>'[1]V, inciso o) (OP)'!P204</f>
        <v>CONSTRUCTORA Y URBANIZADORA PROYEXEM, S.A. DE C.V.</v>
      </c>
      <c r="M363" s="7" t="str">
        <f>'[1]V, inciso o) (OP)'!Q204</f>
        <v>CUP130507Q85</v>
      </c>
      <c r="N363" s="11">
        <f t="shared" si="9"/>
        <v>1714660.23</v>
      </c>
      <c r="O363" s="7" t="s">
        <v>40</v>
      </c>
      <c r="P363" s="7" t="s">
        <v>1051</v>
      </c>
      <c r="Q363" s="11">
        <f>N363/504</f>
        <v>3402.1036309523811</v>
      </c>
      <c r="R363" s="7" t="s">
        <v>42</v>
      </c>
      <c r="S363" s="15">
        <v>284</v>
      </c>
      <c r="T363" s="7" t="s">
        <v>43</v>
      </c>
      <c r="U363" s="7" t="s">
        <v>584</v>
      </c>
      <c r="V363" s="13">
        <f>'[1]V, inciso o) (OP)'!AD204</f>
        <v>42842</v>
      </c>
      <c r="W363" s="13">
        <f>'[1]V, inciso o) (OP)'!AE204</f>
        <v>42931</v>
      </c>
      <c r="X363" s="7" t="s">
        <v>999</v>
      </c>
      <c r="Y363" s="7" t="s">
        <v>1000</v>
      </c>
      <c r="Z363" s="7" t="s">
        <v>1052</v>
      </c>
      <c r="AA363" s="9" t="s">
        <v>1317</v>
      </c>
      <c r="AB363" s="7" t="s">
        <v>40</v>
      </c>
    </row>
    <row r="364" spans="1:28" ht="69.95" customHeight="1">
      <c r="A364" s="7">
        <v>2017</v>
      </c>
      <c r="B364" s="7" t="s">
        <v>296</v>
      </c>
      <c r="C364" s="7" t="str">
        <f>'[1]V, inciso p) (OP)'!D166</f>
        <v>DOPI-MUN-RM-PAV-CI-077-2017</v>
      </c>
      <c r="D364" s="13">
        <f>'[1]V, inciso p) (OP)'!AD166</f>
        <v>42929</v>
      </c>
      <c r="E364" s="7" t="str">
        <f>'[1]V, inciso p) (OP)'!AL166</f>
        <v>Pavimentación con concreto hidráulico de la Av. Romanos de calle Egipcios a Av. Patria, incluye agua potable, drenaje, guarniciones, banquetas, servicios complementarios y señalética, en la colonia Altamira, primera etapa, municipio de Zapopan, Jalisco.</v>
      </c>
      <c r="F364" s="7" t="s">
        <v>67</v>
      </c>
      <c r="G364" s="11">
        <f>'[1]V, inciso p) (OP)'!AJ166</f>
        <v>3194358.94</v>
      </c>
      <c r="H364" s="7" t="str">
        <f>'[1]V, inciso p) (OP)'!AS166</f>
        <v>Colonia Altamira</v>
      </c>
      <c r="I364" s="7" t="str">
        <f>'[1]V, inciso p) (OP)'!T166</f>
        <v xml:space="preserve">FRANCISCO GUSTAVO </v>
      </c>
      <c r="J364" s="7" t="str">
        <f>'[1]V, inciso p) (OP)'!U166</f>
        <v>ACEVES</v>
      </c>
      <c r="K364" s="7" t="str">
        <f>'[1]V, inciso p) (OP)'!V166</f>
        <v xml:space="preserve">GARZA </v>
      </c>
      <c r="L364" s="7" t="str">
        <f>'[1]V, inciso p) (OP)'!W166</f>
        <v>TAG SOLUCIONES INTEGRALES, S.A. DE C.V.</v>
      </c>
      <c r="M364" s="7" t="str">
        <f>'[1]V, inciso p) (OP)'!X166</f>
        <v>TSI0906015A9</v>
      </c>
      <c r="N364" s="11">
        <f t="shared" si="9"/>
        <v>3194358.94</v>
      </c>
      <c r="O364" s="7" t="s">
        <v>40</v>
      </c>
      <c r="P364" s="14" t="s">
        <v>1053</v>
      </c>
      <c r="Q364" s="12">
        <f>N364/1517</f>
        <v>2105.707936717205</v>
      </c>
      <c r="R364" s="7" t="s">
        <v>42</v>
      </c>
      <c r="S364" s="15">
        <v>2341</v>
      </c>
      <c r="T364" s="7" t="s">
        <v>43</v>
      </c>
      <c r="U364" s="7" t="s">
        <v>584</v>
      </c>
      <c r="V364" s="13">
        <v>42929</v>
      </c>
      <c r="W364" s="13">
        <v>43048</v>
      </c>
      <c r="X364" s="7" t="s">
        <v>1054</v>
      </c>
      <c r="Y364" s="7" t="s">
        <v>1055</v>
      </c>
      <c r="Z364" s="7" t="s">
        <v>145</v>
      </c>
      <c r="AA364" s="7" t="s">
        <v>40</v>
      </c>
      <c r="AB364" s="7" t="s">
        <v>40</v>
      </c>
    </row>
    <row r="365" spans="1:28" ht="69.95" customHeight="1">
      <c r="A365" s="7">
        <v>2017</v>
      </c>
      <c r="B365" s="7" t="s">
        <v>296</v>
      </c>
      <c r="C365" s="7" t="str">
        <f>'[1]V, inciso p) (OP)'!D167</f>
        <v>DOPI-MUN-FORTA-PAV-CI-078-2017</v>
      </c>
      <c r="D365" s="13">
        <f>'[1]V, inciso p) (OP)'!AD167</f>
        <v>42929</v>
      </c>
      <c r="E365" s="7" t="str">
        <f>'[1]V, inciso p) (OP)'!AL167</f>
        <v>Pavimentación con concreto hidráulico de calle Juan del Carmen, de calle Urano a calle Obreros de Cananea, incluye agua potable, drenaje, guarniciones, banquetas, servicios complementarios y señalética, en la colonia La Palmita, primera etapa, municipio de Zapopan, Jalisco.</v>
      </c>
      <c r="F365" s="7" t="s">
        <v>939</v>
      </c>
      <c r="G365" s="11">
        <f>'[1]V, inciso p) (OP)'!AJ167</f>
        <v>3194999.16</v>
      </c>
      <c r="H365" s="7" t="str">
        <f>'[1]V, inciso p) (OP)'!AS167</f>
        <v>Colonia La Palmita</v>
      </c>
      <c r="I365" s="7" t="str">
        <f>'[1]V, inciso p) (OP)'!T167</f>
        <v>J. JESÚS</v>
      </c>
      <c r="J365" s="7" t="str">
        <f>'[1]V, inciso p) (OP)'!U167</f>
        <v>NUÑEZ</v>
      </c>
      <c r="K365" s="7" t="str">
        <f>'[1]V, inciso p) (OP)'!V167</f>
        <v>GUTIÉRREZ</v>
      </c>
      <c r="L365" s="7" t="str">
        <f>'[1]V, inciso p) (OP)'!W167</f>
        <v>CERRO VIEJO CONSTRUCCIONES, S.A. DE C.V.</v>
      </c>
      <c r="M365" s="7" t="str">
        <f>'[1]V, inciso p) (OP)'!X167</f>
        <v>CVC110114429</v>
      </c>
      <c r="N365" s="11">
        <f t="shared" si="9"/>
        <v>3194999.16</v>
      </c>
      <c r="O365" s="7" t="s">
        <v>40</v>
      </c>
      <c r="P365" s="14" t="s">
        <v>1056</v>
      </c>
      <c r="Q365" s="12">
        <f>N365/1422</f>
        <v>2246.8348523206751</v>
      </c>
      <c r="R365" s="7" t="s">
        <v>42</v>
      </c>
      <c r="S365" s="15">
        <v>4778</v>
      </c>
      <c r="T365" s="7" t="s">
        <v>43</v>
      </c>
      <c r="U365" s="7" t="s">
        <v>584</v>
      </c>
      <c r="V365" s="13">
        <v>42929</v>
      </c>
      <c r="W365" s="13">
        <v>43048</v>
      </c>
      <c r="X365" s="7" t="s">
        <v>676</v>
      </c>
      <c r="Y365" s="7" t="s">
        <v>677</v>
      </c>
      <c r="Z365" s="7" t="s">
        <v>573</v>
      </c>
      <c r="AA365" s="7" t="s">
        <v>40</v>
      </c>
      <c r="AB365" s="7" t="s">
        <v>40</v>
      </c>
    </row>
    <row r="366" spans="1:28" ht="69.95" customHeight="1">
      <c r="A366" s="7">
        <v>2017</v>
      </c>
      <c r="B366" s="7" t="s">
        <v>296</v>
      </c>
      <c r="C366" s="7" t="str">
        <f>'[1]V, inciso p) (OP)'!D168</f>
        <v>DOPI-MUN-RM-PAV-CI-079-2017</v>
      </c>
      <c r="D366" s="13">
        <f>'[1]V, inciso p) (OP)'!AD168</f>
        <v>42929</v>
      </c>
      <c r="E366" s="7" t="str">
        <f>'[1]V, inciso p) (OP)'!AL168</f>
        <v>Construcción de la Lateral Oriente sobre Periférico Poniente, de calle San Juan a Av. Central, en la colonia Ciudad Granja, primera etapa, municipio de Zapopan, Jalisco.</v>
      </c>
      <c r="F366" s="7" t="s">
        <v>67</v>
      </c>
      <c r="G366" s="11">
        <f>'[1]V, inciso p) (OP)'!AJ168</f>
        <v>2392943.7799999998</v>
      </c>
      <c r="H366" s="7" t="str">
        <f>'[1]V, inciso p) (OP)'!AS168</f>
        <v>Colonia Ciudad Granja</v>
      </c>
      <c r="I366" s="7" t="str">
        <f>'[1]V, inciso p) (OP)'!T168</f>
        <v>VICTOR MANUEL</v>
      </c>
      <c r="J366" s="7" t="str">
        <f>'[1]V, inciso p) (OP)'!U168</f>
        <v>JAUREGUI</v>
      </c>
      <c r="K366" s="7" t="str">
        <f>'[1]V, inciso p) (OP)'!V168</f>
        <v>TORRES</v>
      </c>
      <c r="L366" s="7" t="str">
        <f>'[1]V, inciso p) (OP)'!W168</f>
        <v>CONSTRUCTORA ERLORT Y ASOCIADOS, S.A. DE C.V.</v>
      </c>
      <c r="M366" s="7" t="str">
        <f>'[1]V, inciso p) (OP)'!X168</f>
        <v>CEA070208SB1</v>
      </c>
      <c r="N366" s="11">
        <f t="shared" si="9"/>
        <v>2392943.7799999998</v>
      </c>
      <c r="O366" s="7" t="s">
        <v>40</v>
      </c>
      <c r="P366" s="14" t="s">
        <v>1057</v>
      </c>
      <c r="Q366" s="12">
        <f>N366/419</f>
        <v>5711.0830071599039</v>
      </c>
      <c r="R366" s="7" t="s">
        <v>42</v>
      </c>
      <c r="S366" s="15">
        <v>8739</v>
      </c>
      <c r="T366" s="7" t="s">
        <v>43</v>
      </c>
      <c r="U366" s="7" t="s">
        <v>584</v>
      </c>
      <c r="V366" s="13">
        <v>42929</v>
      </c>
      <c r="W366" s="13">
        <v>43048</v>
      </c>
      <c r="X366" s="7" t="s">
        <v>1058</v>
      </c>
      <c r="Y366" s="7" t="s">
        <v>1059</v>
      </c>
      <c r="Z366" s="7" t="s">
        <v>47</v>
      </c>
      <c r="AA366" s="7" t="s">
        <v>40</v>
      </c>
      <c r="AB366" s="7" t="s">
        <v>40</v>
      </c>
    </row>
    <row r="367" spans="1:28" ht="69.95" customHeight="1">
      <c r="A367" s="7">
        <v>2017</v>
      </c>
      <c r="B367" s="7" t="s">
        <v>296</v>
      </c>
      <c r="C367" s="7" t="str">
        <f>'[1]V, inciso p) (OP)'!D169</f>
        <v>DOPI-MUN-RM-PAV-CI-082-2017</v>
      </c>
      <c r="D367" s="13">
        <f>'[1]V, inciso p) (OP)'!AD169</f>
        <v>42929</v>
      </c>
      <c r="E367" s="7" t="str">
        <f>'[1]V, inciso p) (OP)'!AL169</f>
        <v>Pavimentación con mezcla asfáltica de calle Belisario Domínguez -Paseo de la Primavera, de privada Mariano Otero a Prol. Guadalupe, en las colonias Mariano Otero y Arenales Tapatíos, primera etapa, municipio de Zapopan, Jalisco.</v>
      </c>
      <c r="F367" s="7" t="s">
        <v>67</v>
      </c>
      <c r="G367" s="11">
        <f>'[1]V, inciso p) (OP)'!AJ169</f>
        <v>1996321.71</v>
      </c>
      <c r="H367" s="7" t="str">
        <f>'[1]V, inciso p) (OP)'!AS169</f>
        <v>Colonias Mariano Otero y Arenales Tapatíos</v>
      </c>
      <c r="I367" s="7" t="str">
        <f>'[1]V, inciso p) (OP)'!T169</f>
        <v>JUAN PABLO</v>
      </c>
      <c r="J367" s="7" t="str">
        <f>'[1]V, inciso p) (OP)'!U169</f>
        <v>VERA</v>
      </c>
      <c r="K367" s="7" t="str">
        <f>'[1]V, inciso p) (OP)'!V169</f>
        <v>TAVARES</v>
      </c>
      <c r="L367" s="7" t="str">
        <f>'[1]V, inciso p) (OP)'!W169</f>
        <v>LIZETTE CONSTRUCCIONES, S.A. DE C.V.</v>
      </c>
      <c r="M367" s="7" t="str">
        <f>'[1]V, inciso p) (OP)'!X169</f>
        <v>LCO080228DN2</v>
      </c>
      <c r="N367" s="11">
        <f t="shared" si="9"/>
        <v>1996321.71</v>
      </c>
      <c r="O367" s="7" t="s">
        <v>40</v>
      </c>
      <c r="P367" s="14" t="s">
        <v>1060</v>
      </c>
      <c r="Q367" s="12">
        <f>N367/5106</f>
        <v>390.97565804935368</v>
      </c>
      <c r="R367" s="7" t="s">
        <v>42</v>
      </c>
      <c r="S367" s="15">
        <v>7395</v>
      </c>
      <c r="T367" s="7" t="s">
        <v>43</v>
      </c>
      <c r="U367" s="7" t="s">
        <v>584</v>
      </c>
      <c r="V367" s="13">
        <v>42929</v>
      </c>
      <c r="W367" s="13">
        <v>43018</v>
      </c>
      <c r="X367" s="7" t="s">
        <v>967</v>
      </c>
      <c r="Y367" s="7" t="s">
        <v>383</v>
      </c>
      <c r="Z367" s="7" t="s">
        <v>300</v>
      </c>
      <c r="AA367" s="7" t="s">
        <v>40</v>
      </c>
      <c r="AB367" s="7" t="s">
        <v>40</v>
      </c>
    </row>
    <row r="368" spans="1:28" ht="69.95" customHeight="1">
      <c r="A368" s="7">
        <v>2017</v>
      </c>
      <c r="B368" s="7" t="s">
        <v>296</v>
      </c>
      <c r="C368" s="7" t="str">
        <f>'[1]V, inciso p) (OP)'!D170</f>
        <v>DOPI-MUN-R33-DS-CI-084-2017</v>
      </c>
      <c r="D368" s="13">
        <f>'[1]V, inciso p) (OP)'!AD170</f>
        <v>42929</v>
      </c>
      <c r="E368" s="7" t="str">
        <f>'[1]V, inciso p) (OP)'!AL170</f>
        <v>Construcción de red de drenaje y agua potable en privada Montes de Oca, calle Fernando Montes de Oca, Privada Juan Escutia y calle Juan Escutia, en la colonia Prados de Santa Lucia, municipio de Zapopan, Jalisco.</v>
      </c>
      <c r="F368" s="7" t="s">
        <v>747</v>
      </c>
      <c r="G368" s="11">
        <f>'[1]V, inciso p) (OP)'!AJ170</f>
        <v>2201617.29</v>
      </c>
      <c r="H368" s="7" t="str">
        <f>'[1]V, inciso p) (OP)'!AS170</f>
        <v>Colonia Prados de Santa Lucia</v>
      </c>
      <c r="I368" s="7" t="str">
        <f>'[1]V, inciso p) (OP)'!T170</f>
        <v>JAVIER</v>
      </c>
      <c r="J368" s="7" t="str">
        <f>'[1]V, inciso p) (OP)'!U170</f>
        <v xml:space="preserve">ÁVILA </v>
      </c>
      <c r="K368" s="7" t="str">
        <f>'[1]V, inciso p) (OP)'!V170</f>
        <v>FLORES</v>
      </c>
      <c r="L368" s="7" t="str">
        <f>'[1]V, inciso p) (OP)'!W170</f>
        <v>SAVHO CONSULTORÍA Y CONSTRUCCIÓN, S.A. DE C.V.</v>
      </c>
      <c r="M368" s="7" t="str">
        <f>'[1]V, inciso p) (OP)'!X170</f>
        <v>SCC060622HZ3</v>
      </c>
      <c r="N368" s="11">
        <f t="shared" si="9"/>
        <v>2201617.29</v>
      </c>
      <c r="O368" s="7" t="s">
        <v>40</v>
      </c>
      <c r="P368" s="14" t="s">
        <v>1061</v>
      </c>
      <c r="Q368" s="12">
        <f>N368/400</f>
        <v>5504.0432250000003</v>
      </c>
      <c r="R368" s="7" t="s">
        <v>42</v>
      </c>
      <c r="S368" s="15">
        <v>605</v>
      </c>
      <c r="T368" s="7" t="s">
        <v>43</v>
      </c>
      <c r="U368" s="7" t="s">
        <v>584</v>
      </c>
      <c r="V368" s="13">
        <v>42929</v>
      </c>
      <c r="W368" s="13">
        <v>43018</v>
      </c>
      <c r="X368" s="7" t="s">
        <v>1062</v>
      </c>
      <c r="Y368" s="7" t="s">
        <v>1063</v>
      </c>
      <c r="Z368" s="7" t="s">
        <v>254</v>
      </c>
      <c r="AA368" s="7" t="s">
        <v>40</v>
      </c>
      <c r="AB368" s="7" t="s">
        <v>40</v>
      </c>
    </row>
    <row r="369" spans="1:28" ht="69.95" customHeight="1">
      <c r="A369" s="7">
        <v>2017</v>
      </c>
      <c r="B369" s="7" t="s">
        <v>296</v>
      </c>
      <c r="C369" s="7" t="str">
        <f>'[1]V, inciso p) (OP)'!D171</f>
        <v>DOPI-MUN-R33-DS-CI-086-2017</v>
      </c>
      <c r="D369" s="13">
        <f>'[1]V, inciso p) (OP)'!AD171</f>
        <v>42929</v>
      </c>
      <c r="E369" s="7" t="str">
        <f>'[1]V, inciso p) (OP)'!AL171</f>
        <v>Construcción de red de Drenaje y Agua Potable en la Calle San Francisco Tesistán y calles adyacentes, en la colonia Valle de la Providencia (La Cuchilla), municipio de Zapopan, Jalisco.</v>
      </c>
      <c r="F369" s="7" t="s">
        <v>747</v>
      </c>
      <c r="G369" s="11">
        <f>'[1]V, inciso p) (OP)'!AJ171</f>
        <v>7905004.8799999999</v>
      </c>
      <c r="H369" s="7" t="str">
        <f>'[1]V, inciso p) (OP)'!AS171</f>
        <v>Colonia Valle de la Providencia (La Cuchilla)</v>
      </c>
      <c r="I369" s="7" t="str">
        <f>'[1]V, inciso p) (OP)'!T171</f>
        <v xml:space="preserve">EDUARDO </v>
      </c>
      <c r="J369" s="7" t="str">
        <f>'[1]V, inciso p) (OP)'!U171</f>
        <v>ROMERO</v>
      </c>
      <c r="K369" s="7" t="str">
        <f>'[1]V, inciso p) (OP)'!V171</f>
        <v>LUGO</v>
      </c>
      <c r="L369" s="7" t="str">
        <f>'[1]V, inciso p) (OP)'!W171</f>
        <v>RS OBRAS Y SERVICIOS S.A. DE C.V.</v>
      </c>
      <c r="M369" s="7" t="str">
        <f>'[1]V, inciso p) (OP)'!X171</f>
        <v>ROS120904PV9</v>
      </c>
      <c r="N369" s="11">
        <f t="shared" si="9"/>
        <v>7905004.8799999999</v>
      </c>
      <c r="O369" s="7" t="s">
        <v>40</v>
      </c>
      <c r="P369" s="14" t="s">
        <v>1064</v>
      </c>
      <c r="Q369" s="12">
        <f>N369/1670</f>
        <v>4733.5358562874253</v>
      </c>
      <c r="R369" s="7" t="s">
        <v>42</v>
      </c>
      <c r="S369" s="15">
        <v>1538</v>
      </c>
      <c r="T369" s="7" t="s">
        <v>43</v>
      </c>
      <c r="U369" s="7" t="s">
        <v>584</v>
      </c>
      <c r="V369" s="13">
        <v>42929</v>
      </c>
      <c r="W369" s="13">
        <v>43048</v>
      </c>
      <c r="X369" s="7" t="s">
        <v>1026</v>
      </c>
      <c r="Y369" s="7" t="s">
        <v>1065</v>
      </c>
      <c r="Z369" s="7" t="s">
        <v>139</v>
      </c>
      <c r="AA369" s="7" t="s">
        <v>40</v>
      </c>
      <c r="AB369" s="7" t="s">
        <v>40</v>
      </c>
    </row>
    <row r="370" spans="1:28" ht="69.95" customHeight="1">
      <c r="A370" s="7">
        <v>2017</v>
      </c>
      <c r="B370" s="7" t="s">
        <v>296</v>
      </c>
      <c r="C370" s="7" t="str">
        <f>'[1]V, inciso p) (OP)'!D172</f>
        <v>DOPI-MUN-R33-DS-CI-087-2017</v>
      </c>
      <c r="D370" s="13">
        <f>'[1]V, inciso p) (OP)'!AD172</f>
        <v>42929</v>
      </c>
      <c r="E370" s="7" t="str">
        <f>'[1]V, inciso p) (OP)'!AL172</f>
        <v>Construcción de red de drenaje y agua potable en las calles: Prados de las Torres, Prados de Nextipac, Prados del Maíz I y II Sección, calle los Pinos, en la colonia Prados de Nextipac, municipio de Zapopan, Jalisco.</v>
      </c>
      <c r="F370" s="7" t="s">
        <v>747</v>
      </c>
      <c r="G370" s="11">
        <f>'[1]V, inciso p) (OP)'!AJ172</f>
        <v>3180001.46</v>
      </c>
      <c r="H370" s="7" t="str">
        <f>'[1]V, inciso p) (OP)'!AS172</f>
        <v>Colonia Prados de Nextipac</v>
      </c>
      <c r="I370" s="7" t="str">
        <f>'[1]V, inciso p) (OP)'!T172</f>
        <v>ARTURO</v>
      </c>
      <c r="J370" s="7" t="str">
        <f>'[1]V, inciso p) (OP)'!U172</f>
        <v>RANGEL</v>
      </c>
      <c r="K370" s="7" t="str">
        <f>'[1]V, inciso p) (OP)'!V172</f>
        <v>PAEZ</v>
      </c>
      <c r="L370" s="7" t="str">
        <f>'[1]V, inciso p) (OP)'!W172</f>
        <v>CONSTRUCTORA LASA, S.A. DE C.V.</v>
      </c>
      <c r="M370" s="7" t="str">
        <f>'[1]V, inciso p) (OP)'!X172</f>
        <v>CLA890925ER5</v>
      </c>
      <c r="N370" s="11">
        <f t="shared" si="9"/>
        <v>3180001.46</v>
      </c>
      <c r="O370" s="7" t="s">
        <v>40</v>
      </c>
      <c r="P370" s="14" t="s">
        <v>1066</v>
      </c>
      <c r="Q370" s="12">
        <f>N370/555</f>
        <v>5729.73236036036</v>
      </c>
      <c r="R370" s="7" t="s">
        <v>42</v>
      </c>
      <c r="S370" s="15">
        <v>246</v>
      </c>
      <c r="T370" s="7" t="s">
        <v>43</v>
      </c>
      <c r="U370" s="7" t="s">
        <v>584</v>
      </c>
      <c r="V370" s="13">
        <v>42929</v>
      </c>
      <c r="W370" s="13">
        <v>43018</v>
      </c>
      <c r="X370" s="7" t="s">
        <v>1062</v>
      </c>
      <c r="Y370" s="7" t="s">
        <v>1063</v>
      </c>
      <c r="Z370" s="7" t="s">
        <v>254</v>
      </c>
      <c r="AA370" s="7" t="s">
        <v>40</v>
      </c>
      <c r="AB370" s="7" t="s">
        <v>40</v>
      </c>
    </row>
    <row r="371" spans="1:28" ht="69.95" customHeight="1">
      <c r="A371" s="7">
        <v>2017</v>
      </c>
      <c r="B371" s="7" t="s">
        <v>296</v>
      </c>
      <c r="C371" s="7" t="str">
        <f>'[1]V, inciso p) (OP)'!D173</f>
        <v>DOPI-MUN-R33-PAV-CI-088-2017</v>
      </c>
      <c r="D371" s="13">
        <f>'[1]V, inciso p) (OP)'!AD173</f>
        <v>42929</v>
      </c>
      <c r="E371" s="7" t="str">
        <f>'[1]V, inciso p) (OP)'!AL173</f>
        <v>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v>
      </c>
      <c r="F371" s="7" t="s">
        <v>747</v>
      </c>
      <c r="G371" s="11">
        <f>'[1]V, inciso p) (OP)'!AJ173</f>
        <v>4192091.6</v>
      </c>
      <c r="H371" s="7" t="str">
        <f>'[1]V, inciso p) (OP)'!AS173</f>
        <v>Colonia Hacienda Juárez</v>
      </c>
      <c r="I371" s="7" t="str">
        <f>'[1]V, inciso p) (OP)'!T173</f>
        <v>JOSÉ LUIS</v>
      </c>
      <c r="J371" s="7" t="str">
        <f>'[1]V, inciso p) (OP)'!U173</f>
        <v>GIL</v>
      </c>
      <c r="K371" s="7" t="str">
        <f>'[1]V, inciso p) (OP)'!V173</f>
        <v>ARROYO</v>
      </c>
      <c r="L371" s="7" t="str">
        <f>'[1]V, inciso p) (OP)'!W173</f>
        <v>CONSTRUCCIÓNES PÉREZ Y GIL, S.A. DE C.V.</v>
      </c>
      <c r="M371" s="7" t="str">
        <f>'[1]V, inciso p) (OP)'!X173</f>
        <v>CPG861118QF1</v>
      </c>
      <c r="N371" s="11">
        <f t="shared" si="9"/>
        <v>4192091.6</v>
      </c>
      <c r="O371" s="7" t="s">
        <v>40</v>
      </c>
      <c r="P371" s="14" t="s">
        <v>1067</v>
      </c>
      <c r="Q371" s="12">
        <f>N371/1360</f>
        <v>3082.4202941176472</v>
      </c>
      <c r="R371" s="7" t="s">
        <v>42</v>
      </c>
      <c r="S371" s="15">
        <v>1873</v>
      </c>
      <c r="T371" s="7" t="s">
        <v>43</v>
      </c>
      <c r="U371" s="7" t="s">
        <v>584</v>
      </c>
      <c r="V371" s="13">
        <v>42929</v>
      </c>
      <c r="W371" s="13">
        <v>43048</v>
      </c>
      <c r="X371" s="7" t="s">
        <v>1062</v>
      </c>
      <c r="Y371" s="7" t="s">
        <v>1063</v>
      </c>
      <c r="Z371" s="7" t="s">
        <v>254</v>
      </c>
      <c r="AA371" s="7" t="s">
        <v>40</v>
      </c>
      <c r="AB371" s="7" t="s">
        <v>40</v>
      </c>
    </row>
    <row r="372" spans="1:28" ht="69.95" customHeight="1">
      <c r="A372" s="7">
        <v>2017</v>
      </c>
      <c r="B372" s="7" t="s">
        <v>296</v>
      </c>
      <c r="C372" s="7" t="str">
        <f>'[1]V, inciso p) (OP)'!D174</f>
        <v>DOPI-MUN-R33-PAV-CI-089-2017</v>
      </c>
      <c r="D372" s="13">
        <f>'[1]V, inciso p) (OP)'!AD174</f>
        <v>42929</v>
      </c>
      <c r="E372" s="7" t="str">
        <f>'[1]V, inciso p) (OP)'!AL174</f>
        <v>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v>
      </c>
      <c r="F372" s="7" t="s">
        <v>747</v>
      </c>
      <c r="G372" s="11">
        <f>'[1]V, inciso p) (OP)'!AJ174</f>
        <v>5339997.92</v>
      </c>
      <c r="H372" s="7" t="str">
        <f>'[1]V, inciso p) (OP)'!AS174</f>
        <v>Colonia Predio El Zapote</v>
      </c>
      <c r="I372" s="7" t="str">
        <f>'[1]V, inciso p) (OP)'!T174</f>
        <v>CLARISSA GABRIELA</v>
      </c>
      <c r="J372" s="7" t="str">
        <f>'[1]V, inciso p) (OP)'!U174</f>
        <v>VALDEZ</v>
      </c>
      <c r="K372" s="7" t="str">
        <f>'[1]V, inciso p) (OP)'!V174</f>
        <v>MANJARREZ</v>
      </c>
      <c r="L372" s="7" t="str">
        <f>'[1]V, inciso p) (OP)'!W174</f>
        <v>TEKTON GRUPO EMPRESARIAL, S.A. DE C.V.</v>
      </c>
      <c r="M372" s="7" t="str">
        <f>'[1]V, inciso p) (OP)'!X174</f>
        <v>TGE101215JI6</v>
      </c>
      <c r="N372" s="11">
        <f t="shared" si="9"/>
        <v>5339997.92</v>
      </c>
      <c r="O372" s="7" t="s">
        <v>40</v>
      </c>
      <c r="P372" s="14" t="s">
        <v>1068</v>
      </c>
      <c r="Q372" s="12">
        <f>N372/1712</f>
        <v>3119.157663551402</v>
      </c>
      <c r="R372" s="7" t="s">
        <v>42</v>
      </c>
      <c r="S372" s="15">
        <v>2037</v>
      </c>
      <c r="T372" s="7" t="s">
        <v>43</v>
      </c>
      <c r="U372" s="7" t="s">
        <v>584</v>
      </c>
      <c r="V372" s="13">
        <v>42929</v>
      </c>
      <c r="W372" s="13">
        <v>43048</v>
      </c>
      <c r="X372" s="7" t="s">
        <v>1026</v>
      </c>
      <c r="Y372" s="7" t="s">
        <v>1065</v>
      </c>
      <c r="Z372" s="7" t="s">
        <v>139</v>
      </c>
      <c r="AA372" s="7" t="s">
        <v>40</v>
      </c>
      <c r="AB372" s="7" t="s">
        <v>40</v>
      </c>
    </row>
    <row r="373" spans="1:28" ht="69.95" customHeight="1">
      <c r="A373" s="7">
        <v>2017</v>
      </c>
      <c r="B373" s="7" t="s">
        <v>296</v>
      </c>
      <c r="C373" s="7" t="str">
        <f>'[1]V, inciso p) (OP)'!D175</f>
        <v>DOPI-MUN-R33-DS-CI-090-2017</v>
      </c>
      <c r="D373" s="13">
        <f>'[1]V, inciso p) (OP)'!AD175</f>
        <v>42929</v>
      </c>
      <c r="E373" s="7" t="str">
        <f>'[1]V, inciso p) (OP)'!AL175</f>
        <v>Construcción de red de drenaje y agua potable en la calle Eucalipto, calle Puesta del Sol, calle La Presa y calle Jaime Prieto, en la colonia Valle de Los Robles, municipio de Zapopan, Jalisco.</v>
      </c>
      <c r="F373" s="7" t="s">
        <v>747</v>
      </c>
      <c r="G373" s="11">
        <f>'[1]V, inciso p) (OP)'!AJ175</f>
        <v>3367258.31</v>
      </c>
      <c r="H373" s="7" t="str">
        <f>'[1]V, inciso p) (OP)'!AS175</f>
        <v>Colonia Valle de Los Robles</v>
      </c>
      <c r="I373" s="7" t="str">
        <f>'[1]V, inciso p) (OP)'!T175</f>
        <v>FRANCISCO JAVIER</v>
      </c>
      <c r="J373" s="7" t="str">
        <f>'[1]V, inciso p) (OP)'!U175</f>
        <v>DIAZ</v>
      </c>
      <c r="K373" s="7" t="str">
        <f>'[1]V, inciso p) (OP)'!V175</f>
        <v>RUIZ</v>
      </c>
      <c r="L373" s="7" t="str">
        <f>'[1]V, inciso p) (OP)'!W175</f>
        <v>CONSTRUCTORA DIRU, S.A. DE C.V.</v>
      </c>
      <c r="M373" s="7" t="str">
        <f>'[1]V, inciso p) (OP)'!X175</f>
        <v>CDI950714B79</v>
      </c>
      <c r="N373" s="11">
        <f t="shared" si="9"/>
        <v>3367258.31</v>
      </c>
      <c r="O373" s="7" t="s">
        <v>40</v>
      </c>
      <c r="P373" s="14" t="s">
        <v>1061</v>
      </c>
      <c r="Q373" s="12">
        <f>N373/400</f>
        <v>8418.1457750000009</v>
      </c>
      <c r="R373" s="7" t="s">
        <v>42</v>
      </c>
      <c r="S373" s="15">
        <v>237</v>
      </c>
      <c r="T373" s="7" t="s">
        <v>43</v>
      </c>
      <c r="U373" s="7" t="s">
        <v>584</v>
      </c>
      <c r="V373" s="13">
        <v>42929</v>
      </c>
      <c r="W373" s="13">
        <v>43039</v>
      </c>
      <c r="X373" s="7" t="s">
        <v>1026</v>
      </c>
      <c r="Y373" s="7" t="s">
        <v>1065</v>
      </c>
      <c r="Z373" s="7" t="s">
        <v>139</v>
      </c>
      <c r="AA373" s="7" t="s">
        <v>40</v>
      </c>
      <c r="AB373" s="7" t="s">
        <v>40</v>
      </c>
    </row>
    <row r="374" spans="1:28" ht="69.95" customHeight="1">
      <c r="A374" s="7">
        <v>2017</v>
      </c>
      <c r="B374" s="7" t="s">
        <v>296</v>
      </c>
      <c r="C374" s="7" t="str">
        <f>'[1]V, inciso p) (OP)'!D176</f>
        <v>DOPI-MUN-R33-DS-CI-091-2017</v>
      </c>
      <c r="D374" s="13">
        <f>'[1]V, inciso p) (OP)'!AD176</f>
        <v>42929</v>
      </c>
      <c r="E374" s="7" t="str">
        <f>'[1]V, inciso p) (OP)'!AL176</f>
        <v>Construcción de red de alcantarillado y agua potable en la calle San Jorge, calle San Miguel, calle San Rafael y calles Adyacentes, en la colonia La Limera, municipio de Zapopan, Jalisco.</v>
      </c>
      <c r="F374" s="7" t="s">
        <v>747</v>
      </c>
      <c r="G374" s="11">
        <f>'[1]V, inciso p) (OP)'!AJ176</f>
        <v>5792979.8799999999</v>
      </c>
      <c r="H374" s="7" t="str">
        <f>'[1]V, inciso p) (OP)'!AS176</f>
        <v>Colonia La Limera</v>
      </c>
      <c r="I374" s="7" t="str">
        <f>'[1]V, inciso p) (OP)'!T176</f>
        <v xml:space="preserve"> MARTHA </v>
      </c>
      <c r="J374" s="7" t="str">
        <f>'[1]V, inciso p) (OP)'!U176</f>
        <v>JIMENEZ</v>
      </c>
      <c r="K374" s="7" t="str">
        <f>'[1]V, inciso p) (OP)'!V176</f>
        <v>LOPEZ</v>
      </c>
      <c r="L374" s="7" t="str">
        <f>'[1]V, inciso p) (OP)'!W176</f>
        <v>INMOBILIARIA BOCHUM S. DE R.L. DE C.V.</v>
      </c>
      <c r="M374" s="7" t="str">
        <f>'[1]V, inciso p) (OP)'!X176</f>
        <v>IBO090918ET9</v>
      </c>
      <c r="N374" s="11">
        <f t="shared" si="9"/>
        <v>5792979.8799999999</v>
      </c>
      <c r="O374" s="7" t="s">
        <v>40</v>
      </c>
      <c r="P374" s="14" t="s">
        <v>1069</v>
      </c>
      <c r="Q374" s="12">
        <f>N374/945</f>
        <v>6130.1374391534391</v>
      </c>
      <c r="R374" s="7" t="s">
        <v>42</v>
      </c>
      <c r="S374" s="15">
        <v>329</v>
      </c>
      <c r="T374" s="7" t="s">
        <v>43</v>
      </c>
      <c r="U374" s="7" t="s">
        <v>584</v>
      </c>
      <c r="V374" s="13">
        <v>42929</v>
      </c>
      <c r="W374" s="13">
        <v>43039</v>
      </c>
      <c r="X374" s="7" t="s">
        <v>1026</v>
      </c>
      <c r="Y374" s="7" t="s">
        <v>1065</v>
      </c>
      <c r="Z374" s="7" t="s">
        <v>139</v>
      </c>
      <c r="AA374" s="7" t="s">
        <v>40</v>
      </c>
      <c r="AB374" s="7" t="s">
        <v>40</v>
      </c>
    </row>
    <row r="375" spans="1:28" ht="69.95" customHeight="1">
      <c r="A375" s="7">
        <v>2017</v>
      </c>
      <c r="B375" s="7" t="s">
        <v>296</v>
      </c>
      <c r="C375" s="7" t="str">
        <f>'[1]V, inciso p) (OP)'!D177</f>
        <v>DOPI-MUN-R33-IE-CI-092-2017</v>
      </c>
      <c r="D375" s="13">
        <f>'[1]V, inciso p) (OP)'!AD177</f>
        <v>42929</v>
      </c>
      <c r="E375" s="7" t="str">
        <f>'[1]V, inciso p) (OP)'!AL177</f>
        <v>Red electrificación y servicios complementarios en la calle 1 de Noviembre, calle Naranjo, calle Mandarina, calle Limón, calle Fresa, privada Sin Nombre y calle Capulín, en la colonia Zapote II, municipio de Zapopan, Jalisco.</v>
      </c>
      <c r="F375" s="7" t="s">
        <v>747</v>
      </c>
      <c r="G375" s="11">
        <f>'[1]V, inciso p) (OP)'!AJ177</f>
        <v>1850002.03</v>
      </c>
      <c r="H375" s="7" t="str">
        <f>'[1]V, inciso p) (OP)'!AS177</f>
        <v>Colonia Zapote II</v>
      </c>
      <c r="I375" s="7" t="str">
        <f>'[1]V, inciso p) (OP)'!T177</f>
        <v>VICTOR</v>
      </c>
      <c r="J375" s="7" t="str">
        <f>'[1]V, inciso p) (OP)'!U177</f>
        <v>ZAYAS</v>
      </c>
      <c r="K375" s="7" t="str">
        <f>'[1]V, inciso p) (OP)'!V177</f>
        <v>RIQUELME</v>
      </c>
      <c r="L375" s="7" t="str">
        <f>'[1]V, inciso p) (OP)'!W177</f>
        <v>GEMINIS INTERNACIONAL CONSTRUCTORA, S.A. DE C.V.</v>
      </c>
      <c r="M375" s="7" t="str">
        <f>'[1]V, inciso p) (OP)'!X177</f>
        <v>GIC810323RA6</v>
      </c>
      <c r="N375" s="11">
        <f t="shared" si="9"/>
        <v>1850002.03</v>
      </c>
      <c r="O375" s="7" t="s">
        <v>40</v>
      </c>
      <c r="P375" s="14" t="s">
        <v>1070</v>
      </c>
      <c r="Q375" s="12">
        <f>N375/31</f>
        <v>59677.484838709679</v>
      </c>
      <c r="R375" s="7" t="s">
        <v>42</v>
      </c>
      <c r="S375" s="15">
        <v>1487</v>
      </c>
      <c r="T375" s="7" t="s">
        <v>43</v>
      </c>
      <c r="U375" s="7" t="s">
        <v>584</v>
      </c>
      <c r="V375" s="13">
        <v>42929</v>
      </c>
      <c r="W375" s="13">
        <v>43048</v>
      </c>
      <c r="X375" s="7" t="s">
        <v>640</v>
      </c>
      <c r="Y375" s="7" t="s">
        <v>496</v>
      </c>
      <c r="Z375" s="7" t="s">
        <v>749</v>
      </c>
      <c r="AA375" s="7" t="s">
        <v>40</v>
      </c>
      <c r="AB375" s="7" t="s">
        <v>40</v>
      </c>
    </row>
    <row r="376" spans="1:28" ht="69.95" customHeight="1">
      <c r="A376" s="7">
        <v>2017</v>
      </c>
      <c r="B376" s="7" t="s">
        <v>296</v>
      </c>
      <c r="C376" s="7" t="str">
        <f>'[1]V, inciso p) (OP)'!D178</f>
        <v>DOPI-MUN-R33-AP-CI-093-2017</v>
      </c>
      <c r="D376" s="13">
        <f>'[1]V, inciso p) (OP)'!AD178</f>
        <v>42929</v>
      </c>
      <c r="E376" s="7" t="str">
        <f>'[1]V, inciso p) (OP)'!AL178</f>
        <v>Perforación de pozo profundo, en la colonia Copalita Poblado, municipio de Zapopan, Jalisco.</v>
      </c>
      <c r="F376" s="7" t="s">
        <v>747</v>
      </c>
      <c r="G376" s="11">
        <f>'[1]V, inciso p) (OP)'!AJ178</f>
        <v>6213192.5999999996</v>
      </c>
      <c r="H376" s="7" t="str">
        <f>'[1]V, inciso p) (OP)'!AS178</f>
        <v>Colonia Copalita Poblado</v>
      </c>
      <c r="I376" s="7" t="str">
        <f>'[1]V, inciso p) (OP)'!T178</f>
        <v>KARLA MARIANA</v>
      </c>
      <c r="J376" s="7" t="str">
        <f>'[1]V, inciso p) (OP)'!U178</f>
        <v>MENDEZ</v>
      </c>
      <c r="K376" s="7" t="str">
        <f>'[1]V, inciso p) (OP)'!V178</f>
        <v>RODRIGUEZ</v>
      </c>
      <c r="L376" s="7" t="str">
        <f>'[1]V, inciso p) (OP)'!W178</f>
        <v>GRUPO LA FUENTE, S.A. DE C.V.</v>
      </c>
      <c r="M376" s="7" t="str">
        <f>'[1]V, inciso p) (OP)'!X178</f>
        <v>GFU021009BC1</v>
      </c>
      <c r="N376" s="11">
        <f t="shared" si="9"/>
        <v>6213192.5999999996</v>
      </c>
      <c r="O376" s="7" t="s">
        <v>40</v>
      </c>
      <c r="P376" s="14" t="s">
        <v>1071</v>
      </c>
      <c r="Q376" s="12">
        <f>N376/350</f>
        <v>17751.978857142854</v>
      </c>
      <c r="R376" s="7" t="s">
        <v>42</v>
      </c>
      <c r="S376" s="15">
        <v>205</v>
      </c>
      <c r="T376" s="7" t="s">
        <v>43</v>
      </c>
      <c r="U376" s="7" t="s">
        <v>584</v>
      </c>
      <c r="V376" s="13">
        <v>42929</v>
      </c>
      <c r="W376" s="13">
        <v>43078</v>
      </c>
      <c r="X376" s="7" t="s">
        <v>699</v>
      </c>
      <c r="Y376" s="7" t="s">
        <v>513</v>
      </c>
      <c r="Z376" s="7" t="s">
        <v>280</v>
      </c>
      <c r="AA376" s="7" t="s">
        <v>40</v>
      </c>
      <c r="AB376" s="7" t="s">
        <v>40</v>
      </c>
    </row>
    <row r="377" spans="1:28" s="1" customFormat="1" ht="69.95" customHeight="1">
      <c r="A377" s="7">
        <v>2017</v>
      </c>
      <c r="B377" s="7" t="s">
        <v>64</v>
      </c>
      <c r="C377" s="7" t="str">
        <f>'[1]V, inciso o) (OP)'!C205</f>
        <v>DOPI-MUN-FORTA-PROY-AD-094-2017</v>
      </c>
      <c r="D377" s="13">
        <f>'[1]V, inciso o) (OP)'!V205</f>
        <v>42886</v>
      </c>
      <c r="E377" s="7" t="str">
        <f>'[1]V, inciso o) (OP)'!AA205</f>
        <v>Estudios básicos topográficos para diferentes obras 2017, frente 1, del municipio de Zapopan, Jalisco.</v>
      </c>
      <c r="F377" s="7" t="s">
        <v>184</v>
      </c>
      <c r="G377" s="11">
        <f>'[1]V, inciso o) (OP)'!Y205</f>
        <v>1110450.23</v>
      </c>
      <c r="H377" s="7" t="s">
        <v>225</v>
      </c>
      <c r="I377" s="7" t="str">
        <f>'[1]V, inciso o) (OP)'!M205</f>
        <v>PATRICIA</v>
      </c>
      <c r="J377" s="7" t="str">
        <f>'[1]V, inciso o) (OP)'!N205</f>
        <v>NAMUR</v>
      </c>
      <c r="K377" s="7" t="str">
        <f>'[1]V, inciso o) (OP)'!O205</f>
        <v>MARTÍNEZ</v>
      </c>
      <c r="L377" s="7" t="str">
        <f>'[1]V, inciso o) (OP)'!P205</f>
        <v>SERVICIOS TOPOGRAFICOS ESPECIALIZADOS, S.A. DE C.V.</v>
      </c>
      <c r="M377" s="7" t="str">
        <f>'[1]V, inciso o) (OP)'!Q205</f>
        <v>STE990210U51</v>
      </c>
      <c r="N377" s="11">
        <f>G377</f>
        <v>1110450.23</v>
      </c>
      <c r="O377" s="7" t="s">
        <v>40</v>
      </c>
      <c r="P377" s="7" t="s">
        <v>1072</v>
      </c>
      <c r="Q377" s="11">
        <f>N377/505839</f>
        <v>2.1952641650801934</v>
      </c>
      <c r="R377" s="7" t="s">
        <v>232</v>
      </c>
      <c r="S377" s="15" t="s">
        <v>232</v>
      </c>
      <c r="T377" s="7" t="s">
        <v>43</v>
      </c>
      <c r="U377" s="7" t="s">
        <v>584</v>
      </c>
      <c r="V377" s="13">
        <f>'[1]V, inciso o) (OP)'!AD205</f>
        <v>42887</v>
      </c>
      <c r="W377" s="13">
        <f>'[1]V, inciso o) (OP)'!AE205</f>
        <v>43039</v>
      </c>
      <c r="X377" s="7" t="s">
        <v>569</v>
      </c>
      <c r="Y377" s="7" t="s">
        <v>835</v>
      </c>
      <c r="Z377" s="7" t="s">
        <v>286</v>
      </c>
      <c r="AA377" s="7" t="s">
        <v>40</v>
      </c>
      <c r="AB377" s="7" t="s">
        <v>40</v>
      </c>
    </row>
    <row r="378" spans="1:28" s="1" customFormat="1" ht="69.95" customHeight="1">
      <c r="A378" s="7">
        <v>2017</v>
      </c>
      <c r="B378" s="7" t="s">
        <v>296</v>
      </c>
      <c r="C378" s="7" t="str">
        <f>'[1]V, inciso p) (OP)'!D179</f>
        <v>DOPI-MUN-R33R-DS-CI-095-2017</v>
      </c>
      <c r="D378" s="13">
        <f>'[1]V, inciso p) (OP)'!AD179</f>
        <v>42985</v>
      </c>
      <c r="E378" s="7" t="str">
        <f>'[1]V, inciso p) (OP)'!AL179</f>
        <v>Construcción de red de drenaje en las calles: Daniel Macías, Andrés Jiménez, 12 de Octubre y Quirino Rivera en la colonia Villa de Guadalupe, municipio de Zapopan, Jalisco.</v>
      </c>
      <c r="F378" s="7" t="s">
        <v>1073</v>
      </c>
      <c r="G378" s="11">
        <f>'[1]V, inciso p) (OP)'!AJ179</f>
        <v>3643505.99</v>
      </c>
      <c r="H378" s="7" t="str">
        <f>'[1]V, inciso p) (OP)'!AS179</f>
        <v>Col. Villa de Guadalupe</v>
      </c>
      <c r="I378" s="7" t="str">
        <f>'[1]V, inciso p) (OP)'!T179</f>
        <v>MELESIO</v>
      </c>
      <c r="J378" s="7" t="str">
        <f>'[1]V, inciso p) (OP)'!U179</f>
        <v>HERNÁNDEZ</v>
      </c>
      <c r="K378" s="7" t="str">
        <f>'[1]V, inciso p) (OP)'!V179</f>
        <v>MARTÍNEZ</v>
      </c>
      <c r="L378" s="7" t="str">
        <f>'[1]V, inciso p) (OP)'!W179</f>
        <v>CONSTRUCTORA VICO, S.A. DE C.V.</v>
      </c>
      <c r="M378" s="7" t="str">
        <f>'[1]V, inciso p) (OP)'!X179</f>
        <v>CVI980213UM6</v>
      </c>
      <c r="N378" s="11">
        <f t="shared" ref="N378" si="10">G378</f>
        <v>3643505.99</v>
      </c>
      <c r="O378" s="7" t="s">
        <v>40</v>
      </c>
      <c r="P378" s="7" t="s">
        <v>1074</v>
      </c>
      <c r="Q378" s="11">
        <f>N378/663</f>
        <v>5495.484147812972</v>
      </c>
      <c r="R378" s="7" t="s">
        <v>42</v>
      </c>
      <c r="S378" s="15">
        <v>356</v>
      </c>
      <c r="T378" s="7" t="s">
        <v>43</v>
      </c>
      <c r="U378" s="7" t="s">
        <v>584</v>
      </c>
      <c r="V378" s="13">
        <f>'[1]V, inciso p) (OP)'!AM179</f>
        <v>42986</v>
      </c>
      <c r="W378" s="13">
        <f>'[1]V, inciso p) (OP)'!AN179</f>
        <v>43060</v>
      </c>
      <c r="X378" s="7" t="s">
        <v>999</v>
      </c>
      <c r="Y378" s="7" t="s">
        <v>1075</v>
      </c>
      <c r="Z378" s="7" t="s">
        <v>1001</v>
      </c>
      <c r="AA378" s="7" t="s">
        <v>40</v>
      </c>
      <c r="AB378" s="7" t="s">
        <v>40</v>
      </c>
    </row>
    <row r="379" spans="1:28" ht="69.95" customHeight="1">
      <c r="A379" s="7">
        <v>2017</v>
      </c>
      <c r="B379" s="7" t="s">
        <v>296</v>
      </c>
      <c r="C379" s="7" t="str">
        <f>'[1]V, inciso p) (OP)'!D180</f>
        <v>DOPI-MUN-R33-DS-CI-096-2017</v>
      </c>
      <c r="D379" s="13">
        <f>'[1]V, inciso p) (OP)'!AD180</f>
        <v>42929</v>
      </c>
      <c r="E379" s="7" t="str">
        <f>'[1]V, inciso p) (OP)'!AL180</f>
        <v>Construcción de Red de Drenaje y Agua potable en las calles de la Colonia Zapote II, municipio de Zapopan, Jalisco.</v>
      </c>
      <c r="F379" s="7" t="s">
        <v>747</v>
      </c>
      <c r="G379" s="11">
        <f>'[1]V, inciso p) (OP)'!AJ180</f>
        <v>4802027.43</v>
      </c>
      <c r="H379" s="7" t="str">
        <f>'[1]V, inciso p) (OP)'!AS180</f>
        <v>Colonia Zapote II</v>
      </c>
      <c r="I379" s="7" t="str">
        <f>'[1]V, inciso p) (OP)'!T180</f>
        <v xml:space="preserve"> BERNARDO </v>
      </c>
      <c r="J379" s="7" t="str">
        <f>'[1]V, inciso p) (OP)'!U180</f>
        <v xml:space="preserve">SAENZ </v>
      </c>
      <c r="K379" s="7" t="str">
        <f>'[1]V, inciso p) (OP)'!V180</f>
        <v>BARBA</v>
      </c>
      <c r="L379" s="7" t="str">
        <f>'[1]V, inciso p) (OP)'!W180</f>
        <v>GRUPO EDIFICADOR MAYAB, S.A. DE C.V.</v>
      </c>
      <c r="M379" s="7" t="str">
        <f>'[1]V, inciso p) (OP)'!X180</f>
        <v>GEM070112PX8</v>
      </c>
      <c r="N379" s="11">
        <f t="shared" si="9"/>
        <v>4802027.43</v>
      </c>
      <c r="O379" s="7" t="s">
        <v>40</v>
      </c>
      <c r="P379" s="14" t="s">
        <v>1076</v>
      </c>
      <c r="Q379" s="12">
        <f>N379/715</f>
        <v>6716.122279720279</v>
      </c>
      <c r="R379" s="7" t="s">
        <v>42</v>
      </c>
      <c r="S379" s="15">
        <v>318</v>
      </c>
      <c r="T379" s="7" t="s">
        <v>43</v>
      </c>
      <c r="U379" s="7" t="s">
        <v>584</v>
      </c>
      <c r="V379" s="13">
        <v>42929</v>
      </c>
      <c r="W379" s="13">
        <v>43039</v>
      </c>
      <c r="X379" s="7" t="s">
        <v>1026</v>
      </c>
      <c r="Y379" s="7" t="s">
        <v>1065</v>
      </c>
      <c r="Z379" s="7" t="s">
        <v>139</v>
      </c>
      <c r="AA379" s="7" t="s">
        <v>40</v>
      </c>
      <c r="AB379" s="7" t="s">
        <v>40</v>
      </c>
    </row>
    <row r="380" spans="1:28" ht="69.95" customHeight="1">
      <c r="A380" s="7">
        <v>2017</v>
      </c>
      <c r="B380" s="7" t="s">
        <v>296</v>
      </c>
      <c r="C380" s="7" t="str">
        <f>'[1]V, inciso p) (OP)'!D181</f>
        <v>DOPI-MUN-R33R-DS-CI-097-2017</v>
      </c>
      <c r="D380" s="13">
        <f>'[1]V, inciso p) (OP)'!AD181</f>
        <v>42985</v>
      </c>
      <c r="E380" s="7" t="str">
        <f>'[1]V, inciso p) (OP)'!AL181</f>
        <v>Mejoramiento de Arroyo Seco entre las calles Puerto Tampico y Tezontle y rehabilitación de colector de aguas negras en la colonia Miramar Poniente, municipio de Zapopan, Jalisco.</v>
      </c>
      <c r="F380" s="7" t="s">
        <v>1073</v>
      </c>
      <c r="G380" s="11">
        <f>'[1]V, inciso p) (OP)'!AJ181</f>
        <v>2995983.72</v>
      </c>
      <c r="H380" s="7" t="str">
        <f>'[1]V, inciso p) (OP)'!AS181</f>
        <v>Colonia Miramar Poniente</v>
      </c>
      <c r="I380" s="7" t="str">
        <f>'[1]V, inciso p) (OP)'!T181</f>
        <v>ELBA</v>
      </c>
      <c r="J380" s="7" t="str">
        <f>'[1]V, inciso p) (OP)'!U181</f>
        <v xml:space="preserve">GONZÁLEZ </v>
      </c>
      <c r="K380" s="7" t="str">
        <f>'[1]V, inciso p) (OP)'!V181</f>
        <v>AGUIRRE</v>
      </c>
      <c r="L380" s="7" t="str">
        <f>'[1]V, inciso p) (OP)'!W181</f>
        <v>GA URBANIZACIÓN, S.A. DE C.V.</v>
      </c>
      <c r="M380" s="7" t="str">
        <f>'[1]V, inciso p) (OP)'!X181</f>
        <v>GUR120612P22</v>
      </c>
      <c r="N380" s="11">
        <f t="shared" si="9"/>
        <v>2995983.72</v>
      </c>
      <c r="O380" s="7" t="s">
        <v>40</v>
      </c>
      <c r="P380" s="14" t="s">
        <v>1077</v>
      </c>
      <c r="Q380" s="12">
        <f>N380/155</f>
        <v>19328.927225806452</v>
      </c>
      <c r="R380" s="7" t="s">
        <v>42</v>
      </c>
      <c r="S380" s="15">
        <v>96</v>
      </c>
      <c r="T380" s="7" t="s">
        <v>43</v>
      </c>
      <c r="U380" s="7" t="s">
        <v>584</v>
      </c>
      <c r="V380" s="13">
        <f>'[1]V, inciso p) (OP)'!AM181</f>
        <v>42986</v>
      </c>
      <c r="W380" s="13">
        <f>'[1]V, inciso p) (OP)'!AN181</f>
        <v>43060</v>
      </c>
      <c r="X380" s="7" t="s">
        <v>1054</v>
      </c>
      <c r="Y380" s="7" t="s">
        <v>1055</v>
      </c>
      <c r="Z380" s="7" t="s">
        <v>145</v>
      </c>
      <c r="AA380" s="7" t="s">
        <v>40</v>
      </c>
      <c r="AB380" s="7" t="s">
        <v>40</v>
      </c>
    </row>
    <row r="381" spans="1:28" ht="69.95" customHeight="1">
      <c r="A381" s="7">
        <v>2017</v>
      </c>
      <c r="B381" s="7" t="s">
        <v>296</v>
      </c>
      <c r="C381" s="7" t="str">
        <f>'[1]V, inciso p) (OP)'!D182</f>
        <v>DOPI-MUN-RM-PAV-CI-098-2017</v>
      </c>
      <c r="D381" s="13">
        <f>'[1]V, inciso p) (OP)'!AD182</f>
        <v>42929</v>
      </c>
      <c r="E381" s="7" t="str">
        <f>'[1]V, inciso p) (OP)'!AL182</f>
        <v>Obra de pavimentación complementaria a solución vial de López Mateos y Periférico Sur, municipio de Zapopan, Jalisco.</v>
      </c>
      <c r="F381" s="7" t="s">
        <v>67</v>
      </c>
      <c r="G381" s="11">
        <f>'[1]V, inciso p) (OP)'!AJ182</f>
        <v>5097355.1500000004</v>
      </c>
      <c r="H381" s="7" t="str">
        <f>'[1]V, inciso p) (OP)'!AS182</f>
        <v>Colonias La Calma, Loma Bonita y Las Aguilas</v>
      </c>
      <c r="I381" s="7" t="str">
        <f>'[1]V, inciso p) (OP)'!T182</f>
        <v>ANDRES EDUARDO</v>
      </c>
      <c r="J381" s="7" t="str">
        <f>'[1]V, inciso p) (OP)'!U182</f>
        <v>ACEVES</v>
      </c>
      <c r="K381" s="7" t="str">
        <f>'[1]V, inciso p) (OP)'!V182</f>
        <v>CASTAÑEDA</v>
      </c>
      <c r="L381" s="7" t="str">
        <f>'[1]V, inciso p) (OP)'!W182</f>
        <v>SECRI CONSTRUCTORA, S.A. DE C.V.</v>
      </c>
      <c r="M381" s="7" t="str">
        <f>'[1]V, inciso p) (OP)'!X182</f>
        <v>SCO100609EVA</v>
      </c>
      <c r="N381" s="11">
        <f t="shared" si="9"/>
        <v>5097355.1500000004</v>
      </c>
      <c r="O381" s="7" t="s">
        <v>40</v>
      </c>
      <c r="P381" s="14" t="s">
        <v>1078</v>
      </c>
      <c r="Q381" s="12">
        <f>N381/812</f>
        <v>6277.5309729064047</v>
      </c>
      <c r="R381" s="7" t="s">
        <v>42</v>
      </c>
      <c r="S381" s="15">
        <v>1332272</v>
      </c>
      <c r="T381" s="7" t="s">
        <v>43</v>
      </c>
      <c r="U381" s="7" t="s">
        <v>584</v>
      </c>
      <c r="V381" s="13">
        <v>42929</v>
      </c>
      <c r="W381" s="13">
        <v>42988</v>
      </c>
      <c r="X381" s="7" t="s">
        <v>1026</v>
      </c>
      <c r="Y381" s="7" t="s">
        <v>975</v>
      </c>
      <c r="Z381" s="7" t="s">
        <v>1079</v>
      </c>
      <c r="AA381" s="7" t="s">
        <v>40</v>
      </c>
      <c r="AB381" s="7" t="s">
        <v>40</v>
      </c>
    </row>
    <row r="382" spans="1:28" ht="69.95" customHeight="1">
      <c r="A382" s="7">
        <v>2017</v>
      </c>
      <c r="B382" s="7" t="s">
        <v>296</v>
      </c>
      <c r="C382" s="7" t="str">
        <f>'[1]V, inciso p) (OP)'!D183</f>
        <v>DOPI-FED-FORTALECE-PAV-CI-099-2017</v>
      </c>
      <c r="D382" s="13">
        <f>'[1]V, inciso p) (OP)'!AD183</f>
        <v>42929</v>
      </c>
      <c r="E382" s="7" t="str">
        <f>'[1]V, inciso p) (OP)'!AL183</f>
        <v>Reencarpetamiento de la calle Prolongación Pino Suárez con asfalto, de Periférico a Boulevard del Rodeo, tramo 1, en la Colonia el Vigía, en el municipio de Zapopan, Jalisco.</v>
      </c>
      <c r="F382" s="7" t="s">
        <v>648</v>
      </c>
      <c r="G382" s="11">
        <f>'[1]V, inciso p) (OP)'!AJ183</f>
        <v>4135072.71</v>
      </c>
      <c r="H382" s="7" t="str">
        <f>'[1]V, inciso p) (OP)'!AS183</f>
        <v>Colonia el Vigía</v>
      </c>
      <c r="I382" s="7" t="str">
        <f>'[1]V, inciso p) (OP)'!T183</f>
        <v>JOEL</v>
      </c>
      <c r="J382" s="7" t="str">
        <f>'[1]V, inciso p) (OP)'!U183</f>
        <v>ZULOAGA</v>
      </c>
      <c r="K382" s="7" t="str">
        <f>'[1]V, inciso p) (OP)'!V183</f>
        <v>ACEVES</v>
      </c>
      <c r="L382" s="7" t="str">
        <f>'[1]V, inciso p) (OP)'!W183</f>
        <v>TASUM SOLUCIONES EN CONSTRUCCION, S.A. DE C.V.</v>
      </c>
      <c r="M382" s="7" t="str">
        <f>'[1]V, inciso p) (OP)'!X183</f>
        <v>TSC100210E48</v>
      </c>
      <c r="N382" s="11">
        <f t="shared" si="9"/>
        <v>4135072.71</v>
      </c>
      <c r="O382" s="7" t="s">
        <v>40</v>
      </c>
      <c r="P382" s="14" t="s">
        <v>1080</v>
      </c>
      <c r="Q382" s="12">
        <f>N382/7080</f>
        <v>584.04981779661011</v>
      </c>
      <c r="R382" s="7" t="s">
        <v>42</v>
      </c>
      <c r="S382" s="15">
        <v>6413</v>
      </c>
      <c r="T382" s="7" t="s">
        <v>43</v>
      </c>
      <c r="U382" s="7" t="s">
        <v>584</v>
      </c>
      <c r="V382" s="13">
        <v>42929</v>
      </c>
      <c r="W382" s="13">
        <v>43003</v>
      </c>
      <c r="X382" s="7" t="s">
        <v>650</v>
      </c>
      <c r="Y382" s="7" t="s">
        <v>651</v>
      </c>
      <c r="Z382" s="7" t="s">
        <v>652</v>
      </c>
      <c r="AA382" s="7" t="s">
        <v>40</v>
      </c>
      <c r="AB382" s="7" t="s">
        <v>40</v>
      </c>
    </row>
    <row r="383" spans="1:28" ht="69.95" customHeight="1">
      <c r="A383" s="7">
        <v>2017</v>
      </c>
      <c r="B383" s="7" t="s">
        <v>296</v>
      </c>
      <c r="C383" s="7" t="str">
        <f>'[1]V, inciso p) (OP)'!D184</f>
        <v>DOPI-FED-FORTALECE-PAV-CI-100-2017</v>
      </c>
      <c r="D383" s="13">
        <f>'[1]V, inciso p) (OP)'!AD184</f>
        <v>42929</v>
      </c>
      <c r="E383" s="7" t="str">
        <f>'[1]V, inciso p) (OP)'!AL184</f>
        <v>Reencarpetamiento de la calle Melchor Ocampo con asfalto, de Periférico a Boulevard del Rodeo, tramo 1, en la colonia el Vigía, en el municipio de Zapopan, Jalisco.</v>
      </c>
      <c r="F383" s="7" t="s">
        <v>648</v>
      </c>
      <c r="G383" s="11">
        <f>'[1]V, inciso p) (OP)'!AJ184</f>
        <v>2865645.34</v>
      </c>
      <c r="H383" s="7" t="str">
        <f>'[1]V, inciso p) (OP)'!AS184</f>
        <v>Colonia el Vigía</v>
      </c>
      <c r="I383" s="7" t="str">
        <f>'[1]V, inciso p) (OP)'!T184</f>
        <v xml:space="preserve">ARTURO </v>
      </c>
      <c r="J383" s="7" t="str">
        <f>'[1]V, inciso p) (OP)'!U184</f>
        <v>MONTUFAR</v>
      </c>
      <c r="K383" s="7" t="str">
        <f>'[1]V, inciso p) (OP)'!V184</f>
        <v>NUÑEZ</v>
      </c>
      <c r="L383" s="7" t="str">
        <f>'[1]V, inciso p) (OP)'!W184</f>
        <v>VELERO PAVIMENTACION Y CONSTRUCCION S.A. DE C.V.</v>
      </c>
      <c r="M383" s="7" t="str">
        <f>'[1]V, inciso p) (OP)'!X184</f>
        <v>VPC0012148K0</v>
      </c>
      <c r="N383" s="11">
        <f t="shared" si="9"/>
        <v>2865645.34</v>
      </c>
      <c r="O383" s="7" t="s">
        <v>40</v>
      </c>
      <c r="P383" s="14" t="s">
        <v>1081</v>
      </c>
      <c r="Q383" s="12">
        <f>N383/5225</f>
        <v>548.44886889952147</v>
      </c>
      <c r="R383" s="7" t="s">
        <v>42</v>
      </c>
      <c r="S383" s="15">
        <v>6594</v>
      </c>
      <c r="T383" s="7" t="s">
        <v>43</v>
      </c>
      <c r="U383" s="7" t="s">
        <v>584</v>
      </c>
      <c r="V383" s="13">
        <v>42929</v>
      </c>
      <c r="W383" s="13">
        <v>43003</v>
      </c>
      <c r="X383" s="7" t="s">
        <v>650</v>
      </c>
      <c r="Y383" s="7" t="s">
        <v>651</v>
      </c>
      <c r="Z383" s="7" t="s">
        <v>652</v>
      </c>
      <c r="AA383" s="7" t="s">
        <v>40</v>
      </c>
      <c r="AB383" s="7" t="s">
        <v>40</v>
      </c>
    </row>
    <row r="384" spans="1:28" ht="69.95" customHeight="1">
      <c r="A384" s="7">
        <v>2017</v>
      </c>
      <c r="B384" s="7" t="s">
        <v>296</v>
      </c>
      <c r="C384" s="7" t="str">
        <f>'[1]V, inciso p) (OP)'!D185</f>
        <v>DOPI-FED-FORTALECE-PAV-CI-101-2017</v>
      </c>
      <c r="D384" s="13">
        <f>'[1]V, inciso p) (OP)'!AD185</f>
        <v>42929</v>
      </c>
      <c r="E384" s="7" t="str">
        <f>'[1]V, inciso p) (OP)'!AL185</f>
        <v>Construcción de la primera etapa (Reencarpetado) de Av. Acueducto, de Calzada Federalistas a Av. Guadalajara, en la colonia Real del Valle, en el municipio de Zapopan, Jalisco.</v>
      </c>
      <c r="F384" s="7" t="s">
        <v>648</v>
      </c>
      <c r="G384" s="11">
        <f>'[1]V, inciso p) (OP)'!AJ185</f>
        <v>6345107.8499999996</v>
      </c>
      <c r="H384" s="7" t="str">
        <f>'[1]V, inciso p) (OP)'!AS185</f>
        <v>Colonia Real del Valle</v>
      </c>
      <c r="I384" s="7" t="str">
        <f>'[1]V, inciso p) (OP)'!T185</f>
        <v>GUILLERMO</v>
      </c>
      <c r="J384" s="7" t="str">
        <f>'[1]V, inciso p) (OP)'!U185</f>
        <v>LARA</v>
      </c>
      <c r="K384" s="7" t="str">
        <f>'[1]V, inciso p) (OP)'!V185</f>
        <v>VARGAS</v>
      </c>
      <c r="L384" s="7" t="str">
        <f>'[1]V, inciso p) (OP)'!W185</f>
        <v>DESARROLLADORA GLAR, S.A. DE C.V.</v>
      </c>
      <c r="M384" s="7" t="str">
        <f>'[1]V, inciso p) (OP)'!X185</f>
        <v>DGL060620SUA</v>
      </c>
      <c r="N384" s="11">
        <f t="shared" si="9"/>
        <v>6345107.8499999996</v>
      </c>
      <c r="O384" s="7" t="s">
        <v>40</v>
      </c>
      <c r="P384" s="14" t="s">
        <v>1082</v>
      </c>
      <c r="Q384" s="12">
        <f>N384/8317</f>
        <v>762.90824215462305</v>
      </c>
      <c r="R384" s="7" t="s">
        <v>42</v>
      </c>
      <c r="S384" s="15">
        <v>8045</v>
      </c>
      <c r="T384" s="7" t="s">
        <v>43</v>
      </c>
      <c r="U384" s="7" t="s">
        <v>584</v>
      </c>
      <c r="V384" s="13">
        <v>42929</v>
      </c>
      <c r="W384" s="13">
        <v>43003</v>
      </c>
      <c r="X384" s="7" t="s">
        <v>571</v>
      </c>
      <c r="Y384" s="7" t="s">
        <v>572</v>
      </c>
      <c r="Z384" s="7" t="s">
        <v>573</v>
      </c>
      <c r="AA384" s="7" t="s">
        <v>40</v>
      </c>
      <c r="AB384" s="7" t="s">
        <v>40</v>
      </c>
    </row>
    <row r="385" spans="1:28" ht="69.95" customHeight="1">
      <c r="A385" s="7">
        <v>2017</v>
      </c>
      <c r="B385" s="7" t="s">
        <v>296</v>
      </c>
      <c r="C385" s="7" t="str">
        <f>'[1]V, inciso p) (OP)'!D186</f>
        <v>DOPI-FED-FORTALECE-PAV-CI-102-2017</v>
      </c>
      <c r="D385" s="13">
        <f>'[1]V, inciso p) (OP)'!AD186</f>
        <v>42929</v>
      </c>
      <c r="E385" s="7" t="str">
        <f>'[1]V, inciso p) (OP)'!AL186</f>
        <v>Construcción de la calle Prolongación Acueducto con asfalto de Calzada Federalistas (Av. del Valle) a Calzada Federalistas, en la Zona de Santa Margarita (Segunda Etapa), en el municipio de Zapopan, Jalisco.</v>
      </c>
      <c r="F385" s="7" t="s">
        <v>648</v>
      </c>
      <c r="G385" s="11">
        <f>'[1]V, inciso p) (OP)'!AJ186</f>
        <v>6700005.75</v>
      </c>
      <c r="H385" s="7" t="str">
        <f>'[1]V, inciso p) (OP)'!AS186</f>
        <v>Colonia Santa Margarita</v>
      </c>
      <c r="I385" s="7" t="str">
        <f>'[1]V, inciso p) (OP)'!T186</f>
        <v>JOSE ANTONIO</v>
      </c>
      <c r="J385" s="7" t="str">
        <f>'[1]V, inciso p) (OP)'!U186</f>
        <v>ALVAREZ</v>
      </c>
      <c r="K385" s="7" t="str">
        <f>'[1]V, inciso p) (OP)'!V186</f>
        <v>GARCIA</v>
      </c>
      <c r="L385" s="7" t="str">
        <f>'[1]V, inciso p) (OP)'!W186</f>
        <v>URCOMA 1970, S.A. DE C.V.</v>
      </c>
      <c r="M385" s="7" t="str">
        <f>'[1]V, inciso p) (OP)'!X186</f>
        <v>UMN160125869</v>
      </c>
      <c r="N385" s="11">
        <f t="shared" si="9"/>
        <v>6700005.75</v>
      </c>
      <c r="O385" s="7" t="s">
        <v>40</v>
      </c>
      <c r="P385" s="14" t="s">
        <v>1083</v>
      </c>
      <c r="Q385" s="12">
        <f>N385/7420</f>
        <v>902.9657345013477</v>
      </c>
      <c r="R385" s="7" t="s">
        <v>42</v>
      </c>
      <c r="S385" s="15">
        <v>8045</v>
      </c>
      <c r="T385" s="7" t="s">
        <v>43</v>
      </c>
      <c r="U385" s="7" t="s">
        <v>584</v>
      </c>
      <c r="V385" s="13">
        <v>42929</v>
      </c>
      <c r="W385" s="13">
        <v>43003</v>
      </c>
      <c r="X385" s="7" t="s">
        <v>571</v>
      </c>
      <c r="Y385" s="7" t="s">
        <v>572</v>
      </c>
      <c r="Z385" s="7" t="s">
        <v>573</v>
      </c>
      <c r="AA385" s="7" t="s">
        <v>40</v>
      </c>
      <c r="AB385" s="7" t="s">
        <v>40</v>
      </c>
    </row>
    <row r="386" spans="1:28" ht="69.95" customHeight="1">
      <c r="A386" s="7">
        <v>2017</v>
      </c>
      <c r="B386" s="7" t="s">
        <v>30</v>
      </c>
      <c r="C386" s="7" t="str">
        <f>'[1]V, inciso p) (OP)'!D187</f>
        <v>DOPI-FED-PR-PAV-LP-103-2017</v>
      </c>
      <c r="D386" s="13">
        <f>'[1]V, inciso p) (OP)'!AD187</f>
        <v>42972</v>
      </c>
      <c r="E386" s="7" t="str">
        <f>'[1]V, inciso p) (OP)'!AL187</f>
        <v>Construcción de la calle Deli con concreto hidráulico de calle Ozomatli a calle Acatl, en la zona de la Mesa Colorada (segunda etapa), en el municipio de Zapopan, Jalisco.</v>
      </c>
      <c r="F386" s="7" t="s">
        <v>648</v>
      </c>
      <c r="G386" s="11">
        <f>'[1]V, inciso p) (OP)'!AJ187</f>
        <v>3543836.9</v>
      </c>
      <c r="H386" s="7" t="str">
        <f>'[1]V, inciso p) (OP)'!AS187</f>
        <v>Col. Mesa Colorada</v>
      </c>
      <c r="I386" s="7" t="str">
        <f>'[1]V, inciso p) (OP)'!T187</f>
        <v>CARLOS ALBERTO</v>
      </c>
      <c r="J386" s="7" t="str">
        <f>'[1]V, inciso p) (OP)'!U187</f>
        <v>VALENCIA</v>
      </c>
      <c r="K386" s="7" t="str">
        <f>'[1]V, inciso p) (OP)'!V187</f>
        <v>MENCHACA</v>
      </c>
      <c r="L386" s="7" t="str">
        <f>'[1]V, inciso p) (OP)'!W187</f>
        <v>CONSTRUCTORA AUTLENSE, S.A. DE C.V.</v>
      </c>
      <c r="M386" s="7" t="str">
        <f>'[1]V, inciso p) (OP)'!X187</f>
        <v>CAU980304DC0</v>
      </c>
      <c r="N386" s="11">
        <f t="shared" si="9"/>
        <v>3543836.9</v>
      </c>
      <c r="O386" s="7" t="s">
        <v>40</v>
      </c>
      <c r="P386" s="14" t="s">
        <v>1084</v>
      </c>
      <c r="Q386" s="12">
        <f>N386/1734</f>
        <v>2043.73523644752</v>
      </c>
      <c r="R386" s="7" t="s">
        <v>42</v>
      </c>
      <c r="S386" s="15">
        <v>1243</v>
      </c>
      <c r="T386" s="7" t="s">
        <v>43</v>
      </c>
      <c r="U386" s="7" t="s">
        <v>584</v>
      </c>
      <c r="V386" s="13">
        <f>'[1]V, inciso p) (OP)'!AM187</f>
        <v>42973</v>
      </c>
      <c r="W386" s="13">
        <f>'[1]V, inciso p) (OP)'!AN187</f>
        <v>43095</v>
      </c>
      <c r="X386" s="7" t="s">
        <v>556</v>
      </c>
      <c r="Y386" s="7" t="s">
        <v>557</v>
      </c>
      <c r="Z386" s="7" t="s">
        <v>558</v>
      </c>
      <c r="AA386" s="7" t="s">
        <v>40</v>
      </c>
      <c r="AB386" s="7" t="s">
        <v>40</v>
      </c>
    </row>
    <row r="387" spans="1:28" ht="69.95" customHeight="1">
      <c r="A387" s="7">
        <v>2017</v>
      </c>
      <c r="B387" s="7" t="s">
        <v>30</v>
      </c>
      <c r="C387" s="7" t="str">
        <f>'[1]V, inciso p) (OP)'!D188</f>
        <v>DOPI-FED-PR-PAV-LP-104-2017</v>
      </c>
      <c r="D387" s="13">
        <f>'[1]V, inciso p) (OP)'!AD188</f>
        <v>42972</v>
      </c>
      <c r="E387" s="7" t="str">
        <f>'[1]V, inciso p) (OP)'!AL188</f>
        <v>Construcción de la calle Ocampo con concreto hidráulico de Av. Aviación a calle Independencia, en la zona de San Juan de Ocotan (segunda etapa), en el municipio de Zapopan, Jalisco.</v>
      </c>
      <c r="F387" s="7" t="s">
        <v>648</v>
      </c>
      <c r="G387" s="11">
        <f>'[1]V, inciso p) (OP)'!AJ188</f>
        <v>4507662.9800000004</v>
      </c>
      <c r="H387" s="7" t="str">
        <f>'[1]V, inciso p) (OP)'!AS188</f>
        <v>San Juan de Ocotán</v>
      </c>
      <c r="I387" s="7" t="str">
        <f>'[1]V, inciso p) (OP)'!T188</f>
        <v>JUAN JOSÉ</v>
      </c>
      <c r="J387" s="7" t="str">
        <f>'[1]V, inciso p) (OP)'!U188</f>
        <v>GUTIÉRREZ</v>
      </c>
      <c r="K387" s="7" t="str">
        <f>'[1]V, inciso p) (OP)'!V188</f>
        <v>CONTRERAS</v>
      </c>
      <c r="L387" s="7" t="str">
        <f>'[1]V, inciso p) (OP)'!W188</f>
        <v>RENCOIST CONSTRUCCIÓNES, S.A. DE C.V.</v>
      </c>
      <c r="M387" s="7" t="str">
        <f>'[1]V, inciso p) (OP)'!X188</f>
        <v>RCO130920JX9</v>
      </c>
      <c r="N387" s="11">
        <f t="shared" si="9"/>
        <v>4507662.9800000004</v>
      </c>
      <c r="O387" s="7" t="s">
        <v>40</v>
      </c>
      <c r="P387" s="14" t="s">
        <v>1085</v>
      </c>
      <c r="Q387" s="12">
        <f>N387/2120</f>
        <v>2126.2561226415096</v>
      </c>
      <c r="R387" s="7" t="s">
        <v>42</v>
      </c>
      <c r="S387" s="15">
        <v>3651</v>
      </c>
      <c r="T387" s="7" t="s">
        <v>43</v>
      </c>
      <c r="U387" s="7" t="s">
        <v>584</v>
      </c>
      <c r="V387" s="13">
        <f>'[1]V, inciso p) (OP)'!AM188</f>
        <v>42972</v>
      </c>
      <c r="W387" s="13">
        <f>'[1]V, inciso p) (OP)'!AN188</f>
        <v>43110</v>
      </c>
      <c r="X387" s="7" t="s">
        <v>1086</v>
      </c>
      <c r="Y387" s="7" t="s">
        <v>814</v>
      </c>
      <c r="Z387" s="7" t="s">
        <v>815</v>
      </c>
      <c r="AA387" s="7" t="s">
        <v>40</v>
      </c>
      <c r="AB387" s="7" t="s">
        <v>40</v>
      </c>
    </row>
    <row r="388" spans="1:28" ht="69.95" customHeight="1">
      <c r="A388" s="7">
        <v>2017</v>
      </c>
      <c r="B388" s="7" t="s">
        <v>30</v>
      </c>
      <c r="C388" s="7" t="str">
        <f>'[1]V, inciso p) (OP)'!D189</f>
        <v>DOPI-FED-PR-PAV-LP-105-2017</v>
      </c>
      <c r="D388" s="13">
        <f>'[1]V, inciso p) (OP)'!AD189</f>
        <v>42972</v>
      </c>
      <c r="E388" s="7" t="str">
        <f>'[1]V, inciso p) (OP)'!AL189</f>
        <v>Pavimentación con concreto hidráulico de la lateral de Avenida Vallarta, entre la Avenida Juan Palomar y Arias y Anillo Periférico, en el municipio de Zapopan, Jalisco.</v>
      </c>
      <c r="F388" s="7" t="s">
        <v>648</v>
      </c>
      <c r="G388" s="11">
        <f>'[1]V, inciso p) (OP)'!AJ189</f>
        <v>6135004.7999999998</v>
      </c>
      <c r="H388" s="7" t="str">
        <f>'[1]V, inciso p) (OP)'!AS189</f>
        <v>Col. Rinconada del Bosque</v>
      </c>
      <c r="I388" s="7" t="str">
        <f>'[1]V, inciso p) (OP)'!T189</f>
        <v>SERGIO CESAR</v>
      </c>
      <c r="J388" s="7" t="str">
        <f>'[1]V, inciso p) (OP)'!U189</f>
        <v>DÍAZ</v>
      </c>
      <c r="K388" s="7" t="str">
        <f>'[1]V, inciso p) (OP)'!V189</f>
        <v>QUIROZ</v>
      </c>
      <c r="L388" s="7" t="str">
        <f>'[1]V, inciso p) (OP)'!W189</f>
        <v>TRANSCRETO S.A. DE C.V.</v>
      </c>
      <c r="M388" s="7" t="str">
        <f>'[1]V, inciso p) (OP)'!X189</f>
        <v>TRA750528286</v>
      </c>
      <c r="N388" s="11">
        <f t="shared" si="9"/>
        <v>6135004.7999999998</v>
      </c>
      <c r="O388" s="7" t="s">
        <v>40</v>
      </c>
      <c r="P388" s="14" t="s">
        <v>1087</v>
      </c>
      <c r="Q388" s="12">
        <f>N388/4746</f>
        <v>1292.6685208596712</v>
      </c>
      <c r="R388" s="7" t="s">
        <v>42</v>
      </c>
      <c r="S388" s="15">
        <v>1332272</v>
      </c>
      <c r="T388" s="7" t="s">
        <v>43</v>
      </c>
      <c r="U388" s="7" t="s">
        <v>584</v>
      </c>
      <c r="V388" s="13">
        <f>'[1]V, inciso p) (OP)'!AM189</f>
        <v>42973</v>
      </c>
      <c r="W388" s="13">
        <f>'[1]V, inciso p) (OP)'!AN189</f>
        <v>43095</v>
      </c>
      <c r="X388" s="7" t="s">
        <v>591</v>
      </c>
      <c r="Y388" s="7" t="s">
        <v>46</v>
      </c>
      <c r="Z388" s="7" t="s">
        <v>47</v>
      </c>
      <c r="AA388" s="7" t="s">
        <v>40</v>
      </c>
      <c r="AB388" s="7" t="s">
        <v>40</v>
      </c>
    </row>
    <row r="389" spans="1:28" ht="69.95" customHeight="1">
      <c r="A389" s="7">
        <v>2017</v>
      </c>
      <c r="B389" s="7" t="s">
        <v>30</v>
      </c>
      <c r="C389" s="7" t="str">
        <f>'[1]V, inciso p) (OP)'!D190</f>
        <v>DOPI-FED-PR-PAV-LP-106-2017</v>
      </c>
      <c r="D389" s="13">
        <f>'[1]V, inciso p) (OP)'!AD190</f>
        <v>42972</v>
      </c>
      <c r="E389" s="7" t="str">
        <f>'[1]V, inciso p) (OP)'!AL190</f>
        <v>Construcción de la calle Ing. Alberto Mora López con concreto hidráulico de calle Elote a calle Ing. Alfonso Padilla, en la zona de la Mesa Colorada (segunda etapa), en el municipio de Zapopan, Jalisco.</v>
      </c>
      <c r="F389" s="7" t="s">
        <v>648</v>
      </c>
      <c r="G389" s="11">
        <f>'[1]V, inciso p) (OP)'!AJ190</f>
        <v>1074481.03</v>
      </c>
      <c r="H389" s="7" t="str">
        <f>'[1]V, inciso p) (OP)'!AS190</f>
        <v>Col. Mesa Colorada</v>
      </c>
      <c r="I389" s="7" t="str">
        <f>'[1]V, inciso p) (OP)'!T190</f>
        <v>JAVIER</v>
      </c>
      <c r="J389" s="7" t="str">
        <f>'[1]V, inciso p) (OP)'!U190</f>
        <v>CAÑEDO</v>
      </c>
      <c r="K389" s="7" t="str">
        <f>'[1]V, inciso p) (OP)'!V190</f>
        <v>ORTEGA</v>
      </c>
      <c r="L389" s="7" t="str">
        <f>'[1]V, inciso p) (OP)'!W190</f>
        <v>CONSTRUCCIONES TECNICAS DE OCCIDENTE, S.A. DE C.V.</v>
      </c>
      <c r="M389" s="7" t="str">
        <f>'[1]V, inciso p) (OP)'!X190</f>
        <v>CTO061116F61</v>
      </c>
      <c r="N389" s="11">
        <f t="shared" si="9"/>
        <v>1074481.03</v>
      </c>
      <c r="O389" s="7" t="s">
        <v>40</v>
      </c>
      <c r="P389" s="14" t="s">
        <v>1088</v>
      </c>
      <c r="Q389" s="12">
        <f>N389/441</f>
        <v>2436.4649206349209</v>
      </c>
      <c r="R389" s="7" t="s">
        <v>42</v>
      </c>
      <c r="S389" s="15">
        <v>1433</v>
      </c>
      <c r="T389" s="7" t="s">
        <v>43</v>
      </c>
      <c r="U389" s="7" t="s">
        <v>584</v>
      </c>
      <c r="V389" s="13">
        <f>'[1]V, inciso p) (OP)'!AM190</f>
        <v>42973</v>
      </c>
      <c r="W389" s="13">
        <f>'[1]V, inciso p) (OP)'!AN190</f>
        <v>43095</v>
      </c>
      <c r="X389" s="7" t="s">
        <v>556</v>
      </c>
      <c r="Y389" s="7" t="s">
        <v>557</v>
      </c>
      <c r="Z389" s="7" t="s">
        <v>558</v>
      </c>
      <c r="AA389" s="7" t="s">
        <v>40</v>
      </c>
      <c r="AB389" s="7" t="s">
        <v>40</v>
      </c>
    </row>
    <row r="390" spans="1:28" ht="69.95" customHeight="1">
      <c r="A390" s="7">
        <v>2017</v>
      </c>
      <c r="B390" s="7" t="s">
        <v>30</v>
      </c>
      <c r="C390" s="7" t="str">
        <f>'[1]V, inciso p) (OP)'!D191</f>
        <v>DOPI-FED-PR-PAV-LP-107-2017</v>
      </c>
      <c r="D390" s="13">
        <f>'[1]V, inciso p) (OP)'!AD191</f>
        <v>42972</v>
      </c>
      <c r="E390" s="7" t="str">
        <f>'[1]V, inciso p) (OP)'!AL191</f>
        <v>Construcción de la calle Prolongación Acueducto con concreto hidráulico de Av. Santa Margarita a Av. Santa Esther, en la zona de Santa Margarita (segunda etapa), en el municipio de Zapopan, Jalisco.</v>
      </c>
      <c r="F390" s="7" t="s">
        <v>648</v>
      </c>
      <c r="G390" s="11">
        <f>'[1]V, inciso p) (OP)'!AJ191</f>
        <v>8061619.2000000002</v>
      </c>
      <c r="H390" s="7" t="str">
        <f>'[1]V, inciso p) (OP)'!AS191</f>
        <v>Col. Santa Margarita</v>
      </c>
      <c r="I390" s="7" t="str">
        <f>'[1]V, inciso p) (OP)'!T191</f>
        <v>CARLOS IGNACIO</v>
      </c>
      <c r="J390" s="7" t="str">
        <f>'[1]V, inciso p) (OP)'!U191</f>
        <v>CURIEL</v>
      </c>
      <c r="K390" s="7" t="str">
        <f>'[1]V, inciso p) (OP)'!V191</f>
        <v>DUEÑAS</v>
      </c>
      <c r="L390" s="7" t="str">
        <f>'[1]V, inciso p) (OP)'!W191</f>
        <v>CONSTRUCTORA CECUCHI, S.A. DE C.V.</v>
      </c>
      <c r="M390" s="7" t="str">
        <f>'[1]V, inciso p) (OP)'!X191</f>
        <v>CCE130723IR7</v>
      </c>
      <c r="N390" s="11">
        <f t="shared" si="9"/>
        <v>8061619.2000000002</v>
      </c>
      <c r="O390" s="7" t="s">
        <v>40</v>
      </c>
      <c r="P390" s="14" t="s">
        <v>1089</v>
      </c>
      <c r="Q390" s="12">
        <f>N390/3145</f>
        <v>2563.3129411764708</v>
      </c>
      <c r="R390" s="7" t="s">
        <v>42</v>
      </c>
      <c r="S390" s="15">
        <v>12665</v>
      </c>
      <c r="T390" s="7" t="s">
        <v>43</v>
      </c>
      <c r="U390" s="7" t="s">
        <v>584</v>
      </c>
      <c r="V390" s="13">
        <f>'[1]V, inciso p) (OP)'!AM191</f>
        <v>42973</v>
      </c>
      <c r="W390" s="13">
        <f>'[1]V, inciso p) (OP)'!AN191</f>
        <v>43095</v>
      </c>
      <c r="X390" s="7" t="s">
        <v>571</v>
      </c>
      <c r="Y390" s="7" t="s">
        <v>572</v>
      </c>
      <c r="Z390" s="7" t="s">
        <v>573</v>
      </c>
      <c r="AA390" s="7" t="s">
        <v>40</v>
      </c>
      <c r="AB390" s="7" t="s">
        <v>40</v>
      </c>
    </row>
    <row r="391" spans="1:28" ht="69.95" customHeight="1">
      <c r="A391" s="7">
        <v>2017</v>
      </c>
      <c r="B391" s="7" t="s">
        <v>30</v>
      </c>
      <c r="C391" s="7" t="str">
        <f>'[1]V, inciso p) (OP)'!D192</f>
        <v>DOPI-FED-PR-PAV-LP-108-2017</v>
      </c>
      <c r="D391" s="13">
        <f>'[1]V, inciso p) (OP)'!AD192</f>
        <v>42972</v>
      </c>
      <c r="E391" s="7" t="str">
        <f>'[1]V, inciso p) (OP)'!AL192</f>
        <v>Construcción de la calle Ozomatli con concreto hidráulico de calle Cholollan a calle Deli, en la zona de la Mesa Colorada (segunda etapa), en el municipio de Zapopan, Jalisco.</v>
      </c>
      <c r="F391" s="7" t="s">
        <v>648</v>
      </c>
      <c r="G391" s="11">
        <f>'[1]V, inciso p) (OP)'!AJ192</f>
        <v>5305113.72</v>
      </c>
      <c r="H391" s="7" t="str">
        <f>'[1]V, inciso p) (OP)'!AS192</f>
        <v>Col. Mesa Colorada</v>
      </c>
      <c r="I391" s="7" t="str">
        <f>'[1]V, inciso p) (OP)'!T192</f>
        <v>ARTURO</v>
      </c>
      <c r="J391" s="7" t="str">
        <f>'[1]V, inciso p) (OP)'!U192</f>
        <v>SARMIENTO</v>
      </c>
      <c r="K391" s="7" t="str">
        <f>'[1]V, inciso p) (OP)'!V192</f>
        <v>SÁNCHEZ</v>
      </c>
      <c r="L391" s="7" t="str">
        <f>'[1]V, inciso p) (OP)'!W192</f>
        <v>CONSTRUBRAVO, S.A. DE C.V.</v>
      </c>
      <c r="M391" s="7" t="str">
        <f>'[1]V, inciso p) (OP)'!X192</f>
        <v>CON020208696</v>
      </c>
      <c r="N391" s="11">
        <f t="shared" si="9"/>
        <v>5305113.72</v>
      </c>
      <c r="O391" s="7" t="s">
        <v>40</v>
      </c>
      <c r="P391" s="14" t="s">
        <v>1090</v>
      </c>
      <c r="Q391" s="12">
        <f>N391/2112</f>
        <v>2511.8909659090909</v>
      </c>
      <c r="R391" s="7" t="s">
        <v>42</v>
      </c>
      <c r="S391" s="15">
        <v>2036</v>
      </c>
      <c r="T391" s="7" t="s">
        <v>43</v>
      </c>
      <c r="U391" s="7" t="s">
        <v>584</v>
      </c>
      <c r="V391" s="13">
        <f>'[1]V, inciso p) (OP)'!AM192</f>
        <v>42973</v>
      </c>
      <c r="W391" s="13">
        <f>'[1]V, inciso p) (OP)'!AN192</f>
        <v>43095</v>
      </c>
      <c r="X391" s="7" t="s">
        <v>556</v>
      </c>
      <c r="Y391" s="7" t="s">
        <v>557</v>
      </c>
      <c r="Z391" s="7" t="s">
        <v>558</v>
      </c>
      <c r="AA391" s="7" t="s">
        <v>40</v>
      </c>
      <c r="AB391" s="7" t="s">
        <v>40</v>
      </c>
    </row>
    <row r="392" spans="1:28" ht="69.95" customHeight="1">
      <c r="A392" s="7">
        <v>2017</v>
      </c>
      <c r="B392" s="7" t="s">
        <v>30</v>
      </c>
      <c r="C392" s="7" t="str">
        <f>'[1]V, inciso p) (OP)'!D193</f>
        <v>DOPI-FED-PR-PAV-LP-109-2017</v>
      </c>
      <c r="D392" s="13">
        <f>'[1]V, inciso p) (OP)'!AD193</f>
        <v>42972</v>
      </c>
      <c r="E392" s="7" t="str">
        <f>'[1]V, inciso p) (OP)'!AL193</f>
        <v>Construcción de la calle Ocampo con concreto hidráulico de calle Independencia a calle Parral, en la zona de San Juan de Ocotan (segunda etapa), en el municipio de Zapopan, Jalisco.</v>
      </c>
      <c r="F392" s="7" t="s">
        <v>648</v>
      </c>
      <c r="G392" s="11">
        <f>'[1]V, inciso p) (OP)'!AJ193</f>
        <v>4728157.01</v>
      </c>
      <c r="H392" s="7" t="str">
        <f>'[1]V, inciso p) (OP)'!AS193</f>
        <v>San Juan de Ocotán</v>
      </c>
      <c r="I392" s="7" t="str">
        <f>'[1]V, inciso p) (OP)'!T193</f>
        <v>FRANCISCO JAVIER</v>
      </c>
      <c r="J392" s="7" t="str">
        <f>'[1]V, inciso p) (OP)'!U193</f>
        <v>DÍAZ</v>
      </c>
      <c r="K392" s="7" t="str">
        <f>'[1]V, inciso p) (OP)'!V193</f>
        <v>RUÍZ</v>
      </c>
      <c r="L392" s="7" t="str">
        <f>'[1]V, inciso p) (OP)'!W193</f>
        <v>CONSTRUCTORA DIRU, S.A. DE C.V.</v>
      </c>
      <c r="M392" s="7" t="str">
        <f>'[1]V, inciso p) (OP)'!X193</f>
        <v>CDI950714B79</v>
      </c>
      <c r="N392" s="11">
        <f t="shared" si="9"/>
        <v>4728157.01</v>
      </c>
      <c r="O392" s="7" t="s">
        <v>40</v>
      </c>
      <c r="P392" s="14" t="s">
        <v>1091</v>
      </c>
      <c r="Q392" s="12">
        <f>N392/2238</f>
        <v>2112.6706925826629</v>
      </c>
      <c r="R392" s="7" t="s">
        <v>42</v>
      </c>
      <c r="S392" s="15">
        <f>S387</f>
        <v>3651</v>
      </c>
      <c r="T392" s="7" t="s">
        <v>43</v>
      </c>
      <c r="U392" s="7" t="s">
        <v>584</v>
      </c>
      <c r="V392" s="13">
        <f>'[1]V, inciso p) (OP)'!AM193</f>
        <v>42973</v>
      </c>
      <c r="W392" s="13">
        <f>'[1]V, inciso p) (OP)'!AN193</f>
        <v>43095</v>
      </c>
      <c r="X392" s="7" t="s">
        <v>1086</v>
      </c>
      <c r="Y392" s="7" t="s">
        <v>814</v>
      </c>
      <c r="Z392" s="7" t="s">
        <v>815</v>
      </c>
      <c r="AA392" s="7" t="s">
        <v>40</v>
      </c>
      <c r="AB392" s="7" t="s">
        <v>40</v>
      </c>
    </row>
    <row r="393" spans="1:28" ht="69.95" customHeight="1">
      <c r="A393" s="7">
        <v>2017</v>
      </c>
      <c r="B393" s="7" t="s">
        <v>30</v>
      </c>
      <c r="C393" s="7" t="str">
        <f>'[1]V, inciso p) (OP)'!D194</f>
        <v>DOPI-FED-PR-PAV-LP-110-2017</v>
      </c>
      <c r="D393" s="13">
        <f>'[1]V, inciso p) (OP)'!AD194</f>
        <v>42972</v>
      </c>
      <c r="E393" s="7" t="str">
        <f>'[1]V, inciso p) (OP)'!AL194</f>
        <v>Construcción de la calle Tulipanes con concreto hidráulico de Prolongación Acueducto a Av. Santa Margarita, en la zona de Santa Margarita (segunda etapa), en el municipio de Zapopan, Jalisco.</v>
      </c>
      <c r="F393" s="7" t="s">
        <v>648</v>
      </c>
      <c r="G393" s="11">
        <f>'[1]V, inciso p) (OP)'!AJ194</f>
        <v>4477432.29</v>
      </c>
      <c r="H393" s="7" t="str">
        <f>'[1]V, inciso p) (OP)'!AS194</f>
        <v>Col. Santa Margarita</v>
      </c>
      <c r="I393" s="7" t="str">
        <f>'[1]V, inciso p) (OP)'!T194</f>
        <v>HAYDEE LILIANA</v>
      </c>
      <c r="J393" s="7" t="str">
        <f>'[1]V, inciso p) (OP)'!U194</f>
        <v>AGUILAR</v>
      </c>
      <c r="K393" s="7" t="str">
        <f>'[1]V, inciso p) (OP)'!V194</f>
        <v>CASSIAN</v>
      </c>
      <c r="L393" s="7" t="str">
        <f>'[1]V, inciso p) (OP)'!W194</f>
        <v>EDIFICA 2001, S.A. DE C.V.</v>
      </c>
      <c r="M393" s="7" t="str">
        <f>'[1]V, inciso p) (OP)'!X194</f>
        <v>EDM970225I68</v>
      </c>
      <c r="N393" s="11">
        <f t="shared" si="9"/>
        <v>4477432.29</v>
      </c>
      <c r="O393" s="7" t="s">
        <v>40</v>
      </c>
      <c r="P393" s="14" t="s">
        <v>1092</v>
      </c>
      <c r="Q393" s="12">
        <f>N393/1973</f>
        <v>2269.3524024328435</v>
      </c>
      <c r="R393" s="7" t="s">
        <v>42</v>
      </c>
      <c r="S393" s="15">
        <v>7422</v>
      </c>
      <c r="T393" s="7" t="s">
        <v>43</v>
      </c>
      <c r="U393" s="7" t="s">
        <v>584</v>
      </c>
      <c r="V393" s="13">
        <f>'[1]V, inciso p) (OP)'!AM194</f>
        <v>42973</v>
      </c>
      <c r="W393" s="13">
        <f>'[1]V, inciso p) (OP)'!AN194</f>
        <v>43095</v>
      </c>
      <c r="X393" s="7" t="s">
        <v>571</v>
      </c>
      <c r="Y393" s="7" t="s">
        <v>572</v>
      </c>
      <c r="Z393" s="7" t="s">
        <v>573</v>
      </c>
      <c r="AA393" s="7" t="s">
        <v>40</v>
      </c>
      <c r="AB393" s="7" t="s">
        <v>40</v>
      </c>
    </row>
    <row r="394" spans="1:28" ht="69.95" customHeight="1">
      <c r="A394" s="7">
        <v>2017</v>
      </c>
      <c r="B394" s="7" t="s">
        <v>30</v>
      </c>
      <c r="C394" s="7" t="str">
        <f>'[1]V, inciso p) (OP)'!D195</f>
        <v>DOPI-FED-PR-PAV-LP-111-2017</v>
      </c>
      <c r="D394" s="13">
        <f>'[1]V, inciso p) (OP)'!AD195</f>
        <v>42972</v>
      </c>
      <c r="E394" s="7" t="str">
        <f>'[1]V, inciso p) (OP)'!AL195</f>
        <v>Construcción de la calle Magnolia con concreto hidráulico de Prolongación Acueducto a Av. Santa Margarita, en la zona de Santa Margarita (segunda etapa), en el municipio de Zapopan, Jalisco.</v>
      </c>
      <c r="F394" s="7" t="s">
        <v>648</v>
      </c>
      <c r="G394" s="11">
        <f>'[1]V, inciso p) (OP)'!AJ195</f>
        <v>6757768.5199999996</v>
      </c>
      <c r="H394" s="7" t="str">
        <f>'[1]V, inciso p) (OP)'!AS195</f>
        <v>Col. Santa Margarita</v>
      </c>
      <c r="I394" s="7" t="str">
        <f>'[1]V, inciso p) (OP)'!T195</f>
        <v>ANDRÉS EDUARDO</v>
      </c>
      <c r="J394" s="7" t="str">
        <f>'[1]V, inciso p) (OP)'!U195</f>
        <v>ACEVES</v>
      </c>
      <c r="K394" s="7" t="str">
        <f>'[1]V, inciso p) (OP)'!V195</f>
        <v>CASTAÑEDA</v>
      </c>
      <c r="L394" s="7" t="str">
        <f>'[1]V, inciso p) (OP)'!W195</f>
        <v>SECRI CONSTRUCTORA, S.A. DE C.V.</v>
      </c>
      <c r="M394" s="7" t="str">
        <f>'[1]V, inciso p) (OP)'!X195</f>
        <v>SCO100609EVA</v>
      </c>
      <c r="N394" s="11">
        <f t="shared" si="9"/>
        <v>6757768.5199999996</v>
      </c>
      <c r="O394" s="7" t="s">
        <v>40</v>
      </c>
      <c r="P394" s="14" t="s">
        <v>1093</v>
      </c>
      <c r="Q394" s="12">
        <f>N394/3358</f>
        <v>2012.4385110184633</v>
      </c>
      <c r="R394" s="7" t="s">
        <v>42</v>
      </c>
      <c r="S394" s="15">
        <v>8369</v>
      </c>
      <c r="T394" s="7" t="s">
        <v>43</v>
      </c>
      <c r="U394" s="7" t="s">
        <v>584</v>
      </c>
      <c r="V394" s="13">
        <f>'[1]V, inciso p) (OP)'!AM195</f>
        <v>42973</v>
      </c>
      <c r="W394" s="13">
        <f>'[1]V, inciso p) (OP)'!AN195</f>
        <v>43095</v>
      </c>
      <c r="X394" s="7" t="s">
        <v>571</v>
      </c>
      <c r="Y394" s="7" t="s">
        <v>572</v>
      </c>
      <c r="Z394" s="7" t="s">
        <v>573</v>
      </c>
      <c r="AA394" s="7" t="s">
        <v>40</v>
      </c>
      <c r="AB394" s="7" t="s">
        <v>40</v>
      </c>
    </row>
    <row r="395" spans="1:28" ht="69.95" customHeight="1">
      <c r="A395" s="7">
        <v>2017</v>
      </c>
      <c r="B395" s="7" t="s">
        <v>296</v>
      </c>
      <c r="C395" s="7" t="str">
        <f>'[1]V, inciso p) (OP)'!D196</f>
        <v>DOPI-MUN-R33R-DS-CI-112-2017</v>
      </c>
      <c r="D395" s="13">
        <f>'[1]V, inciso p) (OP)'!AD196</f>
        <v>42985</v>
      </c>
      <c r="E395" s="7" t="s">
        <v>1094</v>
      </c>
      <c r="F395" s="7" t="s">
        <v>1073</v>
      </c>
      <c r="G395" s="11">
        <f>'[1]V, inciso p) (OP)'!AJ196</f>
        <v>2089350.02</v>
      </c>
      <c r="H395" s="7" t="str">
        <f>'[1]V, inciso p) (OP)'!AS196</f>
        <v>Colonia Pedregal de Milpillas</v>
      </c>
      <c r="I395" s="7" t="str">
        <f>'[1]V, inciso p) (OP)'!T196</f>
        <v>ERICK</v>
      </c>
      <c r="J395" s="7" t="str">
        <f>'[1]V, inciso p) (OP)'!U196</f>
        <v>VILLASEÑOR</v>
      </c>
      <c r="K395" s="7" t="str">
        <f>'[1]V, inciso p) (OP)'!V196</f>
        <v>GUTIÉRREZ</v>
      </c>
      <c r="L395" s="7" t="str">
        <f>'[1]V, inciso p) (OP)'!W196</f>
        <v>PIXIDE CONSTRUCTORA, S.A. DE C.V.</v>
      </c>
      <c r="M395" s="7" t="str">
        <f>'[1]V, inciso p) (OP)'!X196</f>
        <v>PCO140829425</v>
      </c>
      <c r="N395" s="11">
        <f t="shared" si="9"/>
        <v>2089350.02</v>
      </c>
      <c r="O395" s="7" t="s">
        <v>40</v>
      </c>
      <c r="P395" s="14" t="s">
        <v>1095</v>
      </c>
      <c r="Q395" s="12">
        <f>N395/536</f>
        <v>3898.0410820895522</v>
      </c>
      <c r="R395" s="7" t="s">
        <v>42</v>
      </c>
      <c r="S395" s="15">
        <v>110</v>
      </c>
      <c r="T395" s="7" t="s">
        <v>43</v>
      </c>
      <c r="U395" s="7" t="s">
        <v>584</v>
      </c>
      <c r="V395" s="13">
        <f>'[1]V, inciso p) (OP)'!AM196</f>
        <v>42986</v>
      </c>
      <c r="W395" s="13">
        <f>'[1]V, inciso p) (OP)'!AN196</f>
        <v>43060</v>
      </c>
      <c r="X395" s="7" t="s">
        <v>699</v>
      </c>
      <c r="Y395" s="7" t="s">
        <v>513</v>
      </c>
      <c r="Z395" s="7" t="s">
        <v>280</v>
      </c>
      <c r="AA395" s="7" t="s">
        <v>40</v>
      </c>
      <c r="AB395" s="7" t="s">
        <v>40</v>
      </c>
    </row>
    <row r="396" spans="1:28" ht="69.95" customHeight="1">
      <c r="A396" s="7">
        <v>2017</v>
      </c>
      <c r="B396" s="7" t="s">
        <v>296</v>
      </c>
      <c r="C396" s="7" t="str">
        <f>'[1]V, inciso p) (OP)'!D197</f>
        <v>DOPI-MUN-R33R-IH-CI-113-2017</v>
      </c>
      <c r="D396" s="13">
        <f>'[1]V, inciso p) (OP)'!AD197</f>
        <v>42985</v>
      </c>
      <c r="E396" s="7" t="s">
        <v>1096</v>
      </c>
      <c r="F396" s="7" t="s">
        <v>1073</v>
      </c>
      <c r="G396" s="11">
        <f>'[1]V, inciso p) (OP)'!AJ197</f>
        <v>2233095.61</v>
      </c>
      <c r="H396" s="7" t="str">
        <f>'[1]V, inciso p) (OP)'!AS197</f>
        <v>Colonia Revolución</v>
      </c>
      <c r="I396" s="7" t="str">
        <f>'[1]V, inciso p) (OP)'!T197</f>
        <v>ADALBERTO</v>
      </c>
      <c r="J396" s="7" t="str">
        <f>'[1]V, inciso p) (OP)'!U197</f>
        <v>MEDINA</v>
      </c>
      <c r="K396" s="7" t="str">
        <f>'[1]V, inciso p) (OP)'!V197</f>
        <v>MORALES</v>
      </c>
      <c r="L396" s="7" t="str">
        <f>'[1]V, inciso p) (OP)'!W197</f>
        <v>URDEM, S.A. DE C.V.</v>
      </c>
      <c r="M396" s="7" t="str">
        <f>'[1]V, inciso p) (OP)'!X197</f>
        <v>URD130830U21</v>
      </c>
      <c r="N396" s="11">
        <f t="shared" si="9"/>
        <v>2233095.61</v>
      </c>
      <c r="O396" s="7" t="s">
        <v>40</v>
      </c>
      <c r="P396" s="14" t="s">
        <v>1097</v>
      </c>
      <c r="Q396" s="12">
        <f>N396/384</f>
        <v>5815.353151041666</v>
      </c>
      <c r="R396" s="7" t="s">
        <v>42</v>
      </c>
      <c r="S396" s="15">
        <v>136</v>
      </c>
      <c r="T396" s="7" t="s">
        <v>43</v>
      </c>
      <c r="U396" s="7" t="s">
        <v>584</v>
      </c>
      <c r="V396" s="13">
        <f>'[1]V, inciso p) (OP)'!AM197</f>
        <v>42986</v>
      </c>
      <c r="W396" s="13">
        <f>'[1]V, inciso p) (OP)'!AN197</f>
        <v>43060</v>
      </c>
      <c r="X396" s="7" t="s">
        <v>1062</v>
      </c>
      <c r="Y396" s="7" t="s">
        <v>1063</v>
      </c>
      <c r="Z396" s="7" t="s">
        <v>254</v>
      </c>
      <c r="AA396" s="7" t="s">
        <v>40</v>
      </c>
      <c r="AB396" s="7" t="s">
        <v>40</v>
      </c>
    </row>
    <row r="397" spans="1:28" ht="69.95" customHeight="1">
      <c r="A397" s="7">
        <v>2017</v>
      </c>
      <c r="B397" s="7" t="s">
        <v>30</v>
      </c>
      <c r="C397" s="7" t="str">
        <f>'[1]V, inciso p) (OP)'!D198</f>
        <v>DOPI-EST-FOCOCI-IU-LP-114-2017</v>
      </c>
      <c r="D397" s="13">
        <f>'[1]V, inciso p) (OP)'!AD198</f>
        <v>42972</v>
      </c>
      <c r="E397" s="7" t="str">
        <f>'[1]V, inciso p) (OP)'!AL198</f>
        <v>Construcción de Centro Comunitario San Juan de Ocotán, en el municipio de Zapopan, Jalisco.</v>
      </c>
      <c r="F397" s="7" t="s">
        <v>669</v>
      </c>
      <c r="G397" s="11">
        <f>'[1]V, inciso p) (OP)'!AJ198</f>
        <v>8779696.0700000003</v>
      </c>
      <c r="H397" s="7" t="str">
        <f>'[1]V, inciso p) (OP)'!AS198</f>
        <v>San Juan de Ocotán</v>
      </c>
      <c r="I397" s="7" t="str">
        <f>'[1]V, inciso p) (OP)'!T198</f>
        <v>JOSÉ ANTONIO</v>
      </c>
      <c r="J397" s="7" t="str">
        <f>'[1]V, inciso p) (OP)'!U198</f>
        <v>CISNEROS</v>
      </c>
      <c r="K397" s="7" t="str">
        <f>'[1]V, inciso p) (OP)'!V198</f>
        <v>CASTILLO</v>
      </c>
      <c r="L397" s="7" t="str">
        <f>'[1]V, inciso p) (OP)'!W198</f>
        <v>AXIOMA PROYECTOS E INGENIERIA, S.A. DE C.V.</v>
      </c>
      <c r="M397" s="7" t="str">
        <f>'[1]V, inciso p) (OP)'!X198</f>
        <v>APE111122MI0</v>
      </c>
      <c r="N397" s="11">
        <f t="shared" si="9"/>
        <v>8779696.0700000003</v>
      </c>
      <c r="O397" s="7" t="s">
        <v>40</v>
      </c>
      <c r="P397" s="14" t="s">
        <v>1098</v>
      </c>
      <c r="Q397" s="12">
        <f>N397/1316</f>
        <v>6671.5015729483284</v>
      </c>
      <c r="R397" s="7" t="s">
        <v>42</v>
      </c>
      <c r="S397" s="15">
        <v>28652</v>
      </c>
      <c r="T397" s="7" t="s">
        <v>43</v>
      </c>
      <c r="U397" s="7" t="s">
        <v>584</v>
      </c>
      <c r="V397" s="13">
        <f>'[1]V, inciso p) (OP)'!AM198</f>
        <v>42972</v>
      </c>
      <c r="W397" s="13">
        <f>'[1]V, inciso p) (OP)'!AN198</f>
        <v>43077</v>
      </c>
      <c r="X397" s="7" t="s">
        <v>950</v>
      </c>
      <c r="Y397" s="7" t="s">
        <v>1099</v>
      </c>
      <c r="Z397" s="7" t="s">
        <v>254</v>
      </c>
      <c r="AA397" s="7" t="s">
        <v>40</v>
      </c>
      <c r="AB397" s="7" t="s">
        <v>40</v>
      </c>
    </row>
    <row r="398" spans="1:28" ht="69.95" customHeight="1">
      <c r="A398" s="7">
        <v>2017</v>
      </c>
      <c r="B398" s="7" t="s">
        <v>30</v>
      </c>
      <c r="C398" s="7" t="str">
        <f>'[1]V, inciso p) (OP)'!D199</f>
        <v>DOPI-EST-CM-PAV-LP-115-2017</v>
      </c>
      <c r="D398" s="13">
        <f>'[1]V, inciso p) (OP)'!AD199</f>
        <v>42972</v>
      </c>
      <c r="E398" s="7" t="str">
        <f>'[1]V, inciso p) (OP)'!AL199</f>
        <v>Renovación urbana en área habitacional y de zona comercial de solución vial Parres Arias, en el municipio de Zapopan, Jalisco, frente 1.</v>
      </c>
      <c r="F398" s="7" t="s">
        <v>669</v>
      </c>
      <c r="G398" s="11">
        <f>'[1]V, inciso p) (OP)'!AJ199</f>
        <v>15421203.91</v>
      </c>
      <c r="H398" s="7" t="str">
        <f>'[1]V, inciso p) (OP)'!AS199</f>
        <v>Parque Industrial Los Belenes</v>
      </c>
      <c r="I398" s="7" t="str">
        <f>'[1]V, inciso p) (OP)'!T199</f>
        <v>IGNACIO JAVIER</v>
      </c>
      <c r="J398" s="7" t="str">
        <f>'[1]V, inciso p) (OP)'!U199</f>
        <v>CURIEL</v>
      </c>
      <c r="K398" s="7" t="str">
        <f>'[1]V, inciso p) (OP)'!V199</f>
        <v>DUEÑAS</v>
      </c>
      <c r="L398" s="7" t="str">
        <f>'[1]V, inciso p) (OP)'!W199</f>
        <v>TC CONSTRUCCIÓN Y MANTENIMIENTO, S.A. DE C.V.</v>
      </c>
      <c r="M398" s="7" t="str">
        <f>'[1]V, inciso p) (OP)'!X199</f>
        <v>TCM100915HA1</v>
      </c>
      <c r="N398" s="11">
        <f t="shared" si="9"/>
        <v>15421203.91</v>
      </c>
      <c r="O398" s="7" t="s">
        <v>40</v>
      </c>
      <c r="P398" s="14" t="s">
        <v>1100</v>
      </c>
      <c r="Q398" s="12">
        <f>N398/957</f>
        <v>16114.110668756532</v>
      </c>
      <c r="R398" s="7" t="s">
        <v>42</v>
      </c>
      <c r="S398" s="15">
        <v>1332272</v>
      </c>
      <c r="T398" s="7" t="s">
        <v>43</v>
      </c>
      <c r="U398" s="7" t="s">
        <v>584</v>
      </c>
      <c r="V398" s="13">
        <f>'[1]V, inciso p) (OP)'!AM199</f>
        <v>42972</v>
      </c>
      <c r="W398" s="13">
        <f>'[1]V, inciso p) (OP)'!AN199</f>
        <v>43093</v>
      </c>
      <c r="X398" s="7" t="s">
        <v>1101</v>
      </c>
      <c r="Y398" s="7" t="s">
        <v>975</v>
      </c>
      <c r="Z398" s="7" t="s">
        <v>976</v>
      </c>
      <c r="AA398" s="7" t="s">
        <v>40</v>
      </c>
      <c r="AB398" s="7" t="s">
        <v>40</v>
      </c>
    </row>
    <row r="399" spans="1:28" ht="69.95" customHeight="1">
      <c r="A399" s="7">
        <v>2017</v>
      </c>
      <c r="B399" s="7" t="s">
        <v>30</v>
      </c>
      <c r="C399" s="7" t="str">
        <f>'[1]V, inciso p) (OP)'!D200</f>
        <v>DOPI-EST-CM-PAV-LP-116-2017</v>
      </c>
      <c r="D399" s="13">
        <f>'[1]V, inciso p) (OP)'!AD200</f>
        <v>42972</v>
      </c>
      <c r="E399" s="7" t="str">
        <f>'[1]V, inciso p) (OP)'!AL200</f>
        <v>Renovación urbana en área habitacional y de zona comercial de solución vial Parres Arias, en el municipio de Zapopan, Jalisco, frente 2.</v>
      </c>
      <c r="F399" s="7" t="s">
        <v>669</v>
      </c>
      <c r="G399" s="11">
        <f>'[1]V, inciso p) (OP)'!AJ200</f>
        <v>15180002.890000001</v>
      </c>
      <c r="H399" s="7" t="str">
        <f>'[1]V, inciso p) (OP)'!AS200</f>
        <v>Parque Industrial Los Belenes</v>
      </c>
      <c r="I399" s="7" t="str">
        <f>'[1]V, inciso p) (OP)'!T200</f>
        <v>RODRIGO</v>
      </c>
      <c r="J399" s="7" t="str">
        <f>'[1]V, inciso p) (OP)'!U200</f>
        <v>RAMOS</v>
      </c>
      <c r="K399" s="7" t="str">
        <f>'[1]V, inciso p) (OP)'!V200</f>
        <v>GARIBI</v>
      </c>
      <c r="L399" s="7" t="str">
        <f>'[1]V, inciso p) (OP)'!W200</f>
        <v>CINCO CONTEMPORANEA, S.A. DE C.V.</v>
      </c>
      <c r="M399" s="7" t="str">
        <f>'[1]V, inciso p) (OP)'!X200</f>
        <v>CCO990211T64</v>
      </c>
      <c r="N399" s="11">
        <f t="shared" si="9"/>
        <v>15180002.890000001</v>
      </c>
      <c r="O399" s="7" t="s">
        <v>40</v>
      </c>
      <c r="P399" s="14" t="s">
        <v>1100</v>
      </c>
      <c r="Q399" s="12">
        <f>N399/957</f>
        <v>15862.071985370951</v>
      </c>
      <c r="R399" s="7" t="s">
        <v>42</v>
      </c>
      <c r="S399" s="15">
        <v>1332272</v>
      </c>
      <c r="T399" s="7" t="s">
        <v>43</v>
      </c>
      <c r="U399" s="7" t="s">
        <v>584</v>
      </c>
      <c r="V399" s="13">
        <f>'[1]V, inciso p) (OP)'!AM200</f>
        <v>42972</v>
      </c>
      <c r="W399" s="13">
        <f>'[1]V, inciso p) (OP)'!AN200</f>
        <v>43093</v>
      </c>
      <c r="X399" s="7" t="s">
        <v>1101</v>
      </c>
      <c r="Y399" s="7" t="s">
        <v>975</v>
      </c>
      <c r="Z399" s="7" t="s">
        <v>976</v>
      </c>
      <c r="AA399" s="7" t="s">
        <v>40</v>
      </c>
      <c r="AB399" s="7" t="s">
        <v>40</v>
      </c>
    </row>
    <row r="400" spans="1:28" ht="69.95" customHeight="1">
      <c r="A400" s="7">
        <v>2017</v>
      </c>
      <c r="B400" s="7" t="s">
        <v>296</v>
      </c>
      <c r="C400" s="7" t="str">
        <f>'[1]V, inciso p) (OP)'!D201</f>
        <v>DOPI-MUN-R33R-DS-CI-117-2017</v>
      </c>
      <c r="D400" s="13">
        <f>'[1]V, inciso p) (OP)'!AD201</f>
        <v>42985</v>
      </c>
      <c r="E400" s="7" t="s">
        <v>1102</v>
      </c>
      <c r="F400" s="7" t="s">
        <v>1073</v>
      </c>
      <c r="G400" s="11">
        <f>'[1]V, inciso p) (OP)'!AJ201</f>
        <v>4243025.28</v>
      </c>
      <c r="H400" s="7" t="str">
        <f>'[1]V, inciso p) (OP)'!AS201</f>
        <v>Colonia Colinas del Rio</v>
      </c>
      <c r="I400" s="7" t="str">
        <f>'[1]V, inciso p) (OP)'!T201</f>
        <v>VICTOR</v>
      </c>
      <c r="J400" s="7" t="str">
        <f>'[1]V, inciso p) (OP)'!U201</f>
        <v>ZAYAS</v>
      </c>
      <c r="K400" s="7" t="str">
        <f>'[1]V, inciso p) (OP)'!V201</f>
        <v>RIQUELME</v>
      </c>
      <c r="L400" s="7" t="str">
        <f>'[1]V, inciso p) (OP)'!W201</f>
        <v>GEMINIS INTERNACIONAL CONSTRUCTORA, S.A. DE C.V.</v>
      </c>
      <c r="M400" s="7" t="str">
        <f>'[1]V, inciso p) (OP)'!X201</f>
        <v>GIC810323RA6</v>
      </c>
      <c r="N400" s="11">
        <f t="shared" si="9"/>
        <v>4243025.28</v>
      </c>
      <c r="O400" s="7" t="s">
        <v>40</v>
      </c>
      <c r="P400" s="14" t="s">
        <v>1103</v>
      </c>
      <c r="Q400" s="12">
        <f>N400/1100</f>
        <v>3857.2957090909094</v>
      </c>
      <c r="R400" s="7" t="s">
        <v>42</v>
      </c>
      <c r="S400" s="15">
        <v>265</v>
      </c>
      <c r="T400" s="7" t="s">
        <v>43</v>
      </c>
      <c r="U400" s="7" t="s">
        <v>584</v>
      </c>
      <c r="V400" s="13">
        <f>'[1]V, inciso p) (OP)'!AM201</f>
        <v>42986</v>
      </c>
      <c r="W400" s="13">
        <f>'[1]V, inciso p) (OP)'!AN201</f>
        <v>43083</v>
      </c>
      <c r="X400" s="7" t="s">
        <v>1026</v>
      </c>
      <c r="Y400" s="7" t="s">
        <v>1065</v>
      </c>
      <c r="Z400" s="7" t="s">
        <v>139</v>
      </c>
      <c r="AA400" s="7" t="s">
        <v>40</v>
      </c>
      <c r="AB400" s="7" t="s">
        <v>40</v>
      </c>
    </row>
    <row r="401" spans="1:28" ht="69.95" customHeight="1">
      <c r="A401" s="7">
        <v>2017</v>
      </c>
      <c r="B401" s="7" t="s">
        <v>296</v>
      </c>
      <c r="C401" s="7" t="str">
        <f>'[1]V, inciso p) (OP)'!D202</f>
        <v>DOPI-MUN-R33R-PAV-CI-118-2017</v>
      </c>
      <c r="D401" s="13">
        <f>'[1]V, inciso p) (OP)'!AD202</f>
        <v>42985</v>
      </c>
      <c r="E401" s="7" t="s">
        <v>1104</v>
      </c>
      <c r="F401" s="7" t="s">
        <v>1073</v>
      </c>
      <c r="G401" s="11">
        <f>'[1]V, inciso p) (OP)'!AJ202</f>
        <v>3570586.87</v>
      </c>
      <c r="H401" s="7" t="str">
        <f>'[1]V, inciso p) (OP)'!AS202</f>
        <v>Colonia El Fresno</v>
      </c>
      <c r="I401" s="7" t="str">
        <f>'[1]V, inciso p) (OP)'!T202</f>
        <v>AARON</v>
      </c>
      <c r="J401" s="7" t="str">
        <f>'[1]V, inciso p) (OP)'!U202</f>
        <v>AMARAL</v>
      </c>
      <c r="K401" s="7" t="str">
        <f>'[1]V, inciso p) (OP)'!V202</f>
        <v>LÓPEZ</v>
      </c>
      <c r="L401" s="7" t="str">
        <f>'[1]V, inciso p) (OP)'!W202</f>
        <v>GLOBAL CONSTRUCCIÓNES Y CONSULTORIA, S.A. DE C.V.</v>
      </c>
      <c r="M401" s="7" t="str">
        <f>'[1]V, inciso p) (OP)'!X202</f>
        <v>GCC1102098R8</v>
      </c>
      <c r="N401" s="11">
        <f t="shared" si="9"/>
        <v>3570586.87</v>
      </c>
      <c r="O401" s="7" t="s">
        <v>40</v>
      </c>
      <c r="P401" s="14" t="s">
        <v>1105</v>
      </c>
      <c r="Q401" s="12">
        <f>N401/1703</f>
        <v>2096.6452554315915</v>
      </c>
      <c r="R401" s="7" t="s">
        <v>42</v>
      </c>
      <c r="S401" s="15">
        <v>364</v>
      </c>
      <c r="T401" s="7" t="s">
        <v>43</v>
      </c>
      <c r="U401" s="7" t="s">
        <v>584</v>
      </c>
      <c r="V401" s="13">
        <f>'[1]V, inciso p) (OP)'!AM202</f>
        <v>42986</v>
      </c>
      <c r="W401" s="13">
        <f>'[1]V, inciso p) (OP)'!AN202</f>
        <v>43075</v>
      </c>
      <c r="X401" s="7" t="s">
        <v>1062</v>
      </c>
      <c r="Y401" s="7" t="s">
        <v>1063</v>
      </c>
      <c r="Z401" s="7" t="s">
        <v>254</v>
      </c>
      <c r="AA401" s="7" t="s">
        <v>40</v>
      </c>
      <c r="AB401" s="7" t="s">
        <v>40</v>
      </c>
    </row>
    <row r="402" spans="1:28" ht="69.95" customHeight="1">
      <c r="A402" s="7">
        <v>2017</v>
      </c>
      <c r="B402" s="7" t="s">
        <v>64</v>
      </c>
      <c r="C402" s="7" t="str">
        <f>'[1]V, inciso o) (OP)'!C206</f>
        <v>DOPI-MUN-FORTA-BAN-AD-119-2017</v>
      </c>
      <c r="D402" s="13">
        <f>'[1]V, inciso o) (OP)'!V206</f>
        <v>42899</v>
      </c>
      <c r="E402" s="7" t="str">
        <f>'[1]V, inciso o) (OP)'!AA206</f>
        <v>Peatonalización, construcción de banquetas, sustitución de guarniciones, bolardos y obra complementaria en el estacionamiento en el Hospital General de Zapopan, Municipio de Zapopan, Jalisco.</v>
      </c>
      <c r="F402" s="7" t="s">
        <v>939</v>
      </c>
      <c r="G402" s="11">
        <f>'[1]V, inciso o) (OP)'!Y206</f>
        <v>1702315.57</v>
      </c>
      <c r="H402" s="7" t="s">
        <v>215</v>
      </c>
      <c r="I402" s="7" t="str">
        <f>'[1]V, inciso o) (OP)'!M206</f>
        <v xml:space="preserve">Eduardo </v>
      </c>
      <c r="J402" s="7" t="str">
        <f>'[1]V, inciso o) (OP)'!N206</f>
        <v>Plascencia</v>
      </c>
      <c r="K402" s="7" t="str">
        <f>'[1]V, inciso o) (OP)'!O206</f>
        <v>Macias</v>
      </c>
      <c r="L402" s="7" t="str">
        <f>'[1]V, inciso o) (OP)'!P206</f>
        <v>Constructora y Edificadora Plasma, S.A. de C.V.</v>
      </c>
      <c r="M402" s="7" t="str">
        <f>'[1]V, inciso o) (OP)'!Q206</f>
        <v>CEP080129EK6</v>
      </c>
      <c r="N402" s="11">
        <f t="shared" si="9"/>
        <v>1702315.57</v>
      </c>
      <c r="O402" s="7" t="s">
        <v>40</v>
      </c>
      <c r="P402" s="7" t="s">
        <v>1106</v>
      </c>
      <c r="Q402" s="11">
        <f>N402/774</f>
        <v>2199.3741214470283</v>
      </c>
      <c r="R402" s="7" t="s">
        <v>42</v>
      </c>
      <c r="S402" s="15">
        <v>1332272</v>
      </c>
      <c r="T402" s="7" t="s">
        <v>43</v>
      </c>
      <c r="U402" s="7" t="s">
        <v>584</v>
      </c>
      <c r="V402" s="13">
        <f>'[1]V, inciso o) (OP)'!AD206</f>
        <v>42900</v>
      </c>
      <c r="W402" s="13">
        <f>'[1]V, inciso o) (OP)'!AE206</f>
        <v>42942</v>
      </c>
      <c r="X402" s="7" t="s">
        <v>1107</v>
      </c>
      <c r="Y402" s="7" t="s">
        <v>1108</v>
      </c>
      <c r="Z402" s="7" t="s">
        <v>1109</v>
      </c>
      <c r="AA402" s="7" t="s">
        <v>40</v>
      </c>
      <c r="AB402" s="7" t="s">
        <v>40</v>
      </c>
    </row>
    <row r="403" spans="1:28" ht="69.95" customHeight="1">
      <c r="A403" s="7">
        <v>2017</v>
      </c>
      <c r="B403" s="7" t="s">
        <v>64</v>
      </c>
      <c r="C403" s="7" t="str">
        <f>'[1]V, inciso o) (OP)'!C207</f>
        <v>DOPI-MUN-RM-BACHEO-AD-120-2017</v>
      </c>
      <c r="D403" s="13">
        <f>'[1]V, inciso o) (OP)'!V207</f>
        <v>42919</v>
      </c>
      <c r="E403" s="7" t="str">
        <f>'[1]V, inciso o) (OP)'!AA207</f>
        <v>Programa emergente de bacheo, renivelaciones y sellado en vialidades, Zona Centro, Frente 1, municipio de Zapopan, Jalisco.</v>
      </c>
      <c r="F403" s="7" t="s">
        <v>67</v>
      </c>
      <c r="G403" s="11">
        <f>'[1]V, inciso o) (OP)'!Y207</f>
        <v>1715234.39</v>
      </c>
      <c r="H403" s="7" t="s">
        <v>215</v>
      </c>
      <c r="I403" s="7" t="str">
        <f>'[1]V, inciso o) (OP)'!M207</f>
        <v>Luis Armando</v>
      </c>
      <c r="J403" s="7" t="str">
        <f>'[1]V, inciso o) (OP)'!N207</f>
        <v>Linares</v>
      </c>
      <c r="K403" s="7" t="str">
        <f>'[1]V, inciso o) (OP)'!O207</f>
        <v>Cacho</v>
      </c>
      <c r="L403" s="7" t="str">
        <f>'[1]V, inciso o) (OP)'!P207</f>
        <v>Urbanizadora y Constructora Roal, S.A. de C.V.</v>
      </c>
      <c r="M403" s="7" t="str">
        <f>'[1]V, inciso o) (OP)'!Q207</f>
        <v>URC160310857</v>
      </c>
      <c r="N403" s="11">
        <f t="shared" si="9"/>
        <v>1715234.39</v>
      </c>
      <c r="O403" s="7" t="s">
        <v>40</v>
      </c>
      <c r="P403" s="7" t="s">
        <v>1110</v>
      </c>
      <c r="Q403" s="11">
        <f>N403/12047</f>
        <v>142.37854984643479</v>
      </c>
      <c r="R403" s="7" t="s">
        <v>42</v>
      </c>
      <c r="S403" s="15">
        <v>4249</v>
      </c>
      <c r="T403" s="7" t="s">
        <v>43</v>
      </c>
      <c r="U403" s="7" t="s">
        <v>584</v>
      </c>
      <c r="V403" s="13">
        <f>'[1]V, inciso o) (OP)'!AD207</f>
        <v>42919</v>
      </c>
      <c r="W403" s="13">
        <f>'[1]V, inciso o) (OP)'!AE207</f>
        <v>42993</v>
      </c>
      <c r="X403" s="7" t="s">
        <v>1111</v>
      </c>
      <c r="Y403" s="7" t="s">
        <v>1112</v>
      </c>
      <c r="Z403" s="7" t="s">
        <v>405</v>
      </c>
      <c r="AA403" s="7" t="s">
        <v>40</v>
      </c>
      <c r="AB403" s="7" t="s">
        <v>40</v>
      </c>
    </row>
    <row r="404" spans="1:28" ht="69.95" customHeight="1">
      <c r="A404" s="7">
        <v>2017</v>
      </c>
      <c r="B404" s="7" t="s">
        <v>64</v>
      </c>
      <c r="C404" s="7" t="str">
        <f>'[1]V, inciso o) (OP)'!C208</f>
        <v>DOPI-MUN-RM-BACHEO-AD-121-2017</v>
      </c>
      <c r="D404" s="13">
        <f>'[1]V, inciso o) (OP)'!V208</f>
        <v>42919</v>
      </c>
      <c r="E404" s="7" t="str">
        <f>'[1]V, inciso o) (OP)'!AA208</f>
        <v>Programa emergente de bacheo, renivelaciones y sellado en vialidades, Zona Centro, Frente 2, municipio de Zapopan, Jalisco.</v>
      </c>
      <c r="F404" s="7" t="s">
        <v>67</v>
      </c>
      <c r="G404" s="11">
        <f>'[1]V, inciso o) (OP)'!Y208</f>
        <v>1724125.79</v>
      </c>
      <c r="H404" s="7" t="s">
        <v>215</v>
      </c>
      <c r="I404" s="7" t="str">
        <f>'[1]V, inciso o) (OP)'!M208</f>
        <v>José Antonio</v>
      </c>
      <c r="J404" s="7" t="str">
        <f>'[1]V, inciso o) (OP)'!N208</f>
        <v>Álvarez</v>
      </c>
      <c r="K404" s="7" t="str">
        <f>'[1]V, inciso o) (OP)'!O208</f>
        <v>Garcia</v>
      </c>
      <c r="L404" s="7" t="str">
        <f>'[1]V, inciso o) (OP)'!P208</f>
        <v>Urcoma 1970, S. A. de C. V. PCZ-041/2016</v>
      </c>
      <c r="M404" s="7" t="str">
        <f>'[1]V, inciso o) (OP)'!Q208</f>
        <v>UMN160125869</v>
      </c>
      <c r="N404" s="11">
        <f t="shared" si="9"/>
        <v>1724125.79</v>
      </c>
      <c r="O404" s="7" t="s">
        <v>40</v>
      </c>
      <c r="P404" s="7" t="s">
        <v>1113</v>
      </c>
      <c r="Q404" s="11">
        <f>N404/1504</f>
        <v>1146.360232712766</v>
      </c>
      <c r="R404" s="7" t="s">
        <v>42</v>
      </c>
      <c r="S404" s="15">
        <v>947</v>
      </c>
      <c r="T404" s="7" t="s">
        <v>43</v>
      </c>
      <c r="U404" s="7" t="s">
        <v>584</v>
      </c>
      <c r="V404" s="13">
        <f>'[1]V, inciso o) (OP)'!AD208</f>
        <v>42919</v>
      </c>
      <c r="W404" s="13">
        <f>'[1]V, inciso o) (OP)'!AE208</f>
        <v>42993</v>
      </c>
      <c r="X404" s="7" t="s">
        <v>1111</v>
      </c>
      <c r="Y404" s="7" t="s">
        <v>1112</v>
      </c>
      <c r="Z404" s="7" t="s">
        <v>405</v>
      </c>
      <c r="AA404" s="7" t="s">
        <v>40</v>
      </c>
      <c r="AB404" s="7" t="s">
        <v>40</v>
      </c>
    </row>
    <row r="405" spans="1:28" ht="69.95" customHeight="1">
      <c r="A405" s="7">
        <v>2017</v>
      </c>
      <c r="B405" s="7" t="s">
        <v>64</v>
      </c>
      <c r="C405" s="7" t="str">
        <f>'[1]V, inciso o) (OP)'!C209</f>
        <v>DOPI-MUN-RM-IM-AD-122-2017</v>
      </c>
      <c r="D405" s="13">
        <f>'[1]V, inciso o) (OP)'!V209</f>
        <v>42915</v>
      </c>
      <c r="E405" s="7" t="str">
        <f>'[1]V, inciso o) (OP)'!AA209</f>
        <v>Rehabilitación de Salón Vecinal, zona 6, Colonia Paseos del Sol, municipio de Zapopan, Jalisco, primera etapa.</v>
      </c>
      <c r="F405" s="7" t="s">
        <v>67</v>
      </c>
      <c r="G405" s="11">
        <f>'[1]V, inciso o) (OP)'!Y209</f>
        <v>998558.74</v>
      </c>
      <c r="H405" s="7" t="s">
        <v>1114</v>
      </c>
      <c r="I405" s="7" t="str">
        <f>'[1]V, inciso o) (OP)'!M209</f>
        <v>J. JESÚS</v>
      </c>
      <c r="J405" s="7" t="str">
        <f>'[1]V, inciso o) (OP)'!N209</f>
        <v>CONTRERAS</v>
      </c>
      <c r="K405" s="7" t="str">
        <f>'[1]V, inciso o) (OP)'!O209</f>
        <v>VILLANUEVA</v>
      </c>
      <c r="L405" s="7" t="str">
        <f>'[1]V, inciso o) (OP)'!P209</f>
        <v>CONSTRUCCIÓNES COVIMEX, S.A. DE C.V.</v>
      </c>
      <c r="M405" s="7" t="str">
        <f>'[1]V, inciso o) (OP)'!Q209</f>
        <v>CCO0404226D8</v>
      </c>
      <c r="N405" s="11">
        <f t="shared" si="9"/>
        <v>998558.74</v>
      </c>
      <c r="O405" s="7" t="s">
        <v>40</v>
      </c>
      <c r="P405" s="7" t="s">
        <v>1115</v>
      </c>
      <c r="Q405" s="11">
        <f>N405/14736</f>
        <v>67.763215255157434</v>
      </c>
      <c r="R405" s="7" t="s">
        <v>42</v>
      </c>
      <c r="S405" s="15">
        <v>4853</v>
      </c>
      <c r="T405" s="7" t="s">
        <v>43</v>
      </c>
      <c r="U405" s="7" t="s">
        <v>584</v>
      </c>
      <c r="V405" s="13">
        <f>'[1]V, inciso o) (OP)'!AD209</f>
        <v>42919</v>
      </c>
      <c r="W405" s="13">
        <f>'[1]V, inciso o) (OP)'!AE209</f>
        <v>42962</v>
      </c>
      <c r="X405" s="7" t="s">
        <v>846</v>
      </c>
      <c r="Y405" s="7" t="s">
        <v>847</v>
      </c>
      <c r="Z405" s="7" t="s">
        <v>848</v>
      </c>
      <c r="AA405" s="7" t="s">
        <v>40</v>
      </c>
      <c r="AB405" s="7" t="s">
        <v>40</v>
      </c>
    </row>
    <row r="406" spans="1:28" ht="69.95" customHeight="1">
      <c r="A406" s="7">
        <v>2017</v>
      </c>
      <c r="B406" s="7" t="s">
        <v>64</v>
      </c>
      <c r="C406" s="7" t="str">
        <f>'[1]V, inciso o) (OP)'!C210</f>
        <v>DOPI-MUN-R33-IH-AD-123-2017</v>
      </c>
      <c r="D406" s="13">
        <f>'[1]V, inciso o) (OP)'!V210</f>
        <v>42915</v>
      </c>
      <c r="E406" s="7" t="str">
        <f>'[1]V, inciso o) (OP)'!AA210</f>
        <v>Revestimiento de canal pluvial y obras de drenaje, sobre calle Pinos de calle Periodistas a calle Fresno, en la colonia Lomas del Centinela, municipio de Zapopan, Jalisco. Primera etapa.</v>
      </c>
      <c r="F406" s="7" t="s">
        <v>747</v>
      </c>
      <c r="G406" s="11">
        <f>'[1]V, inciso o) (OP)'!Y210</f>
        <v>1700244.87</v>
      </c>
      <c r="H406" s="7" t="s">
        <v>1116</v>
      </c>
      <c r="I406" s="7" t="str">
        <f>'[1]V, inciso o) (OP)'!M210</f>
        <v>CARLOS CELSO</v>
      </c>
      <c r="J406" s="7" t="str">
        <f>'[1]V, inciso o) (OP)'!N210</f>
        <v>GARCÍA</v>
      </c>
      <c r="K406" s="7" t="str">
        <f>'[1]V, inciso o) (OP)'!O210</f>
        <v>QUINTERO</v>
      </c>
      <c r="L406" s="7" t="str">
        <f>'[1]V, inciso o) (OP)'!P210</f>
        <v>GRUPO CONSTRUCTOR HISACA, S.A. DE C.V.</v>
      </c>
      <c r="M406" s="7" t="str">
        <f>'[1]V, inciso o) (OP)'!Q210</f>
        <v>GCH070702SH8</v>
      </c>
      <c r="N406" s="11">
        <f t="shared" si="9"/>
        <v>1700244.87</v>
      </c>
      <c r="O406" s="7" t="s">
        <v>40</v>
      </c>
      <c r="P406" s="7" t="s">
        <v>1117</v>
      </c>
      <c r="Q406" s="11">
        <f>N406/99</f>
        <v>17174.190606060609</v>
      </c>
      <c r="R406" s="7" t="s">
        <v>42</v>
      </c>
      <c r="S406" s="15">
        <v>2184</v>
      </c>
      <c r="T406" s="7" t="s">
        <v>43</v>
      </c>
      <c r="U406" s="7" t="s">
        <v>584</v>
      </c>
      <c r="V406" s="13">
        <f>'[1]V, inciso o) (OP)'!AD210</f>
        <v>42919</v>
      </c>
      <c r="W406" s="13">
        <f>'[1]V, inciso o) (OP)'!AE210</f>
        <v>42981</v>
      </c>
      <c r="X406" s="7" t="s">
        <v>1054</v>
      </c>
      <c r="Y406" s="7" t="s">
        <v>1055</v>
      </c>
      <c r="Z406" s="7" t="s">
        <v>145</v>
      </c>
      <c r="AA406" s="7" t="s">
        <v>40</v>
      </c>
      <c r="AB406" s="7" t="s">
        <v>40</v>
      </c>
    </row>
    <row r="407" spans="1:28" ht="69.95" customHeight="1">
      <c r="A407" s="7">
        <v>2017</v>
      </c>
      <c r="B407" s="7" t="s">
        <v>64</v>
      </c>
      <c r="C407" s="7" t="str">
        <f>'[1]V, inciso o) (OP)'!C211</f>
        <v>DOPI-MUN-RM-BACHEO-AD-124-2017</v>
      </c>
      <c r="D407" s="13">
        <f>'[1]V, inciso o) (OP)'!V211</f>
        <v>42919</v>
      </c>
      <c r="E407" s="7" t="str">
        <f>'[1]V, inciso o) (OP)'!AA211</f>
        <v>Programa emergente de bacheo, renivelaciones y sellado en vialidades, Zona Sur, Frente 1, municipio de Zapopan, Jalisco.</v>
      </c>
      <c r="F407" s="7" t="s">
        <v>67</v>
      </c>
      <c r="G407" s="11">
        <f>'[1]V, inciso o) (OP)'!Y211</f>
        <v>1718789.14</v>
      </c>
      <c r="H407" s="7" t="s">
        <v>582</v>
      </c>
      <c r="I407" s="7" t="str">
        <f>'[1]V, inciso o) (OP)'!M211</f>
        <v>Rodrigo</v>
      </c>
      <c r="J407" s="7" t="str">
        <f>'[1]V, inciso o) (OP)'!N211</f>
        <v>Ramos</v>
      </c>
      <c r="K407" s="7" t="str">
        <f>'[1]V, inciso o) (OP)'!O211</f>
        <v>Garibi</v>
      </c>
      <c r="L407" s="7" t="str">
        <f>'[1]V, inciso o) (OP)'!P211</f>
        <v>Metro Asfaltos, S.A. de C.V.</v>
      </c>
      <c r="M407" s="7" t="str">
        <f>'[1]V, inciso o) (OP)'!Q211</f>
        <v>CMA070307RU6</v>
      </c>
      <c r="N407" s="11">
        <f t="shared" si="9"/>
        <v>1718789.14</v>
      </c>
      <c r="O407" s="7" t="s">
        <v>40</v>
      </c>
      <c r="P407" s="7" t="s">
        <v>1118</v>
      </c>
      <c r="Q407" s="11">
        <f>N407/340</f>
        <v>5055.2621764705882</v>
      </c>
      <c r="R407" s="7" t="s">
        <v>42</v>
      </c>
      <c r="S407" s="15">
        <v>2413</v>
      </c>
      <c r="T407" s="7" t="s">
        <v>43</v>
      </c>
      <c r="U407" s="7" t="s">
        <v>584</v>
      </c>
      <c r="V407" s="13">
        <f>'[1]V, inciso o) (OP)'!AD211</f>
        <v>42919</v>
      </c>
      <c r="W407" s="13">
        <f>'[1]V, inciso o) (OP)'!AE211</f>
        <v>42993</v>
      </c>
      <c r="X407" s="7" t="s">
        <v>762</v>
      </c>
      <c r="Y407" s="7" t="s">
        <v>763</v>
      </c>
      <c r="Z407" s="7" t="s">
        <v>764</v>
      </c>
      <c r="AA407" s="7" t="s">
        <v>40</v>
      </c>
      <c r="AB407" s="7" t="s">
        <v>40</v>
      </c>
    </row>
    <row r="408" spans="1:28" ht="69.95" customHeight="1">
      <c r="A408" s="7">
        <v>2017</v>
      </c>
      <c r="B408" s="7" t="s">
        <v>64</v>
      </c>
      <c r="C408" s="7" t="str">
        <f>'[1]V, inciso o) (OP)'!C212</f>
        <v>DOPI-MUN-RM-BACHEO-AD-125-2017</v>
      </c>
      <c r="D408" s="13">
        <f>'[1]V, inciso o) (OP)'!V212</f>
        <v>42919</v>
      </c>
      <c r="E408" s="7" t="str">
        <f>'[1]V, inciso o) (OP)'!AA212</f>
        <v>Programa emergente de bacheo, renivelaciones y sellado en vialidades, Zona Surponiente, Frente 1, municipio de Zapopan, Jalisco.</v>
      </c>
      <c r="F408" s="7" t="s">
        <v>67</v>
      </c>
      <c r="G408" s="11">
        <f>'[1]V, inciso o) (OP)'!Y212</f>
        <v>1102004.26</v>
      </c>
      <c r="H408" s="7" t="s">
        <v>582</v>
      </c>
      <c r="I408" s="7" t="str">
        <f>'[1]V, inciso o) (OP)'!M212</f>
        <v>SALVADOR ALEJANDRO</v>
      </c>
      <c r="J408" s="7" t="str">
        <f>'[1]V, inciso o) (OP)'!N212</f>
        <v>CURIEL</v>
      </c>
      <c r="K408" s="7" t="str">
        <f>'[1]V, inciso o) (OP)'!O212</f>
        <v>SANCHEZ</v>
      </c>
      <c r="L408" s="7" t="str">
        <f>'[1]V, inciso o) (OP)'!P212</f>
        <v>PROYECTOS Y CONSTRUCCIONES CUPE, S.A. DE C.V.</v>
      </c>
      <c r="M408" s="7" t="str">
        <f>'[1]V, inciso o) (OP)'!Q212</f>
        <v>PYC1004139E5</v>
      </c>
      <c r="N408" s="11">
        <f t="shared" si="9"/>
        <v>1102004.26</v>
      </c>
      <c r="O408" s="7" t="s">
        <v>40</v>
      </c>
      <c r="P408" s="7" t="s">
        <v>1119</v>
      </c>
      <c r="Q408" s="11">
        <f>N408/130</f>
        <v>8476.9558461538454</v>
      </c>
      <c r="R408" s="7" t="s">
        <v>42</v>
      </c>
      <c r="S408" s="15">
        <v>2256</v>
      </c>
      <c r="T408" s="7" t="s">
        <v>43</v>
      </c>
      <c r="U408" s="7" t="s">
        <v>584</v>
      </c>
      <c r="V408" s="13">
        <f>'[1]V, inciso o) (OP)'!AD212</f>
        <v>42919</v>
      </c>
      <c r="W408" s="13">
        <f>'[1]V, inciso o) (OP)'!AE212</f>
        <v>42993</v>
      </c>
      <c r="X408" s="7" t="s">
        <v>762</v>
      </c>
      <c r="Y408" s="7" t="s">
        <v>763</v>
      </c>
      <c r="Z408" s="7" t="s">
        <v>764</v>
      </c>
      <c r="AA408" s="7" t="s">
        <v>40</v>
      </c>
      <c r="AB408" s="7" t="s">
        <v>40</v>
      </c>
    </row>
    <row r="409" spans="1:28" ht="69.95" customHeight="1">
      <c r="A409" s="7">
        <v>2017</v>
      </c>
      <c r="B409" s="7" t="s">
        <v>64</v>
      </c>
      <c r="C409" s="7" t="str">
        <f>'[1]V, inciso o) (OP)'!C213</f>
        <v>DOPI-MUN-RM-BACHEO-AD-126-2017</v>
      </c>
      <c r="D409" s="13">
        <f>'[1]V, inciso o) (OP)'!V213</f>
        <v>42919</v>
      </c>
      <c r="E409" s="7" t="str">
        <f>'[1]V, inciso o) (OP)'!AA213</f>
        <v>Programa emergente de bacheo, renivelaciones y sellado en vialidades, Zona Poniente, Frente 1, municipio de Zapopan, Jalisco.</v>
      </c>
      <c r="F409" s="7" t="s">
        <v>67</v>
      </c>
      <c r="G409" s="11">
        <f>'[1]V, inciso o) (OP)'!Y213</f>
        <v>1720415.17</v>
      </c>
      <c r="H409" s="7" t="s">
        <v>582</v>
      </c>
      <c r="I409" s="7" t="str">
        <f>'[1]V, inciso o) (OP)'!M213</f>
        <v>Mario</v>
      </c>
      <c r="J409" s="7" t="str">
        <f>'[1]V, inciso o) (OP)'!N213</f>
        <v>Beltrán</v>
      </c>
      <c r="K409" s="7" t="str">
        <f>'[1]V, inciso o) (OP)'!O213</f>
        <v>Rodríguez</v>
      </c>
      <c r="L409" s="7" t="str">
        <f>'[1]V, inciso o) (OP)'!P213</f>
        <v xml:space="preserve">Constructora y Desarrolladora Barba y Asociados, S. A. de C. V. </v>
      </c>
      <c r="M409" s="7" t="str">
        <f>'[1]V, inciso o) (OP)'!Q213</f>
        <v>CDB0506068Z4</v>
      </c>
      <c r="N409" s="11">
        <f t="shared" si="9"/>
        <v>1720415.17</v>
      </c>
      <c r="O409" s="7" t="s">
        <v>40</v>
      </c>
      <c r="P409" s="7" t="s">
        <v>1120</v>
      </c>
      <c r="Q409" s="11">
        <f>N409/1620</f>
        <v>1061.9846728395062</v>
      </c>
      <c r="R409" s="7" t="s">
        <v>42</v>
      </c>
      <c r="S409" s="15">
        <v>332272</v>
      </c>
      <c r="T409" s="7" t="s">
        <v>43</v>
      </c>
      <c r="U409" s="7" t="s">
        <v>584</v>
      </c>
      <c r="V409" s="13">
        <f>'[1]V, inciso o) (OP)'!AD213</f>
        <v>42919</v>
      </c>
      <c r="W409" s="13">
        <f>'[1]V, inciso o) (OP)'!AE213</f>
        <v>42993</v>
      </c>
      <c r="X409" s="7" t="s">
        <v>571</v>
      </c>
      <c r="Y409" s="7" t="s">
        <v>572</v>
      </c>
      <c r="Z409" s="7" t="s">
        <v>573</v>
      </c>
      <c r="AA409" s="7" t="s">
        <v>40</v>
      </c>
      <c r="AB409" s="7" t="s">
        <v>40</v>
      </c>
    </row>
    <row r="410" spans="1:28" ht="69.95" customHeight="1">
      <c r="A410" s="7">
        <v>2017</v>
      </c>
      <c r="B410" s="7" t="s">
        <v>64</v>
      </c>
      <c r="C410" s="7" t="str">
        <f>'[1]V, inciso o) (OP)'!C214</f>
        <v>DOPI-MUN-RM-BACHEO-AD-127-2017</v>
      </c>
      <c r="D410" s="13">
        <f>'[1]V, inciso o) (OP)'!V214</f>
        <v>42920</v>
      </c>
      <c r="E410" s="7" t="str">
        <f>'[1]V, inciso o) (OP)'!AA214</f>
        <v>Programa emergente de bacheo, renivelaciones y sellado en vialidades, Zona Norponiente, Frente 1, municipio de Zapopan, Jalisco.</v>
      </c>
      <c r="F410" s="7" t="s">
        <v>67</v>
      </c>
      <c r="G410" s="11">
        <f>'[1]V, inciso o) (OP)'!Y214</f>
        <v>1151981.04</v>
      </c>
      <c r="H410" s="7" t="s">
        <v>582</v>
      </c>
      <c r="I410" s="7" t="str">
        <f>'[1]V, inciso o) (OP)'!M214</f>
        <v>CARLOS OMAR</v>
      </c>
      <c r="J410" s="7" t="str">
        <f>'[1]V, inciso o) (OP)'!N214</f>
        <v>FIGUEROA</v>
      </c>
      <c r="K410" s="7" t="str">
        <f>'[1]V, inciso o) (OP)'!O214</f>
        <v>CORONADO</v>
      </c>
      <c r="L410" s="7" t="str">
        <f>'[1]V, inciso o) (OP)'!P214</f>
        <v>VACO GRUPO TECNICO DE CONSTRUCCIONES, S.A. DE C.V.</v>
      </c>
      <c r="M410" s="7" t="str">
        <f>'[1]V, inciso o) (OP)'!Q214</f>
        <v>VGT1402126T0</v>
      </c>
      <c r="N410" s="11">
        <f t="shared" si="9"/>
        <v>1151981.04</v>
      </c>
      <c r="O410" s="7" t="s">
        <v>40</v>
      </c>
      <c r="P410" s="7" t="s">
        <v>1121</v>
      </c>
      <c r="Q410" s="11">
        <f>N410/562</f>
        <v>2049.7883274021351</v>
      </c>
      <c r="R410" s="7" t="s">
        <v>42</v>
      </c>
      <c r="S410" s="15">
        <v>19013</v>
      </c>
      <c r="T410" s="7" t="s">
        <v>43</v>
      </c>
      <c r="U410" s="7" t="s">
        <v>584</v>
      </c>
      <c r="V410" s="13">
        <f>'[1]V, inciso o) (OP)'!AD214</f>
        <v>42920</v>
      </c>
      <c r="W410" s="13">
        <f>'[1]V, inciso o) (OP)'!AE214</f>
        <v>42994</v>
      </c>
      <c r="X410" s="7" t="s">
        <v>544</v>
      </c>
      <c r="Y410" s="7" t="s">
        <v>545</v>
      </c>
      <c r="Z410" s="7" t="s">
        <v>212</v>
      </c>
      <c r="AA410" s="7" t="s">
        <v>40</v>
      </c>
      <c r="AB410" s="7" t="s">
        <v>40</v>
      </c>
    </row>
    <row r="411" spans="1:28" ht="69.95" customHeight="1">
      <c r="A411" s="7">
        <v>2017</v>
      </c>
      <c r="B411" s="7" t="s">
        <v>64</v>
      </c>
      <c r="C411" s="7" t="str">
        <f>'[1]V, inciso o) (OP)'!C215</f>
        <v>DOPI-MUN-RM-BACHEO-AD-128-2017</v>
      </c>
      <c r="D411" s="13">
        <f>'[1]V, inciso o) (OP)'!V215</f>
        <v>42919</v>
      </c>
      <c r="E411" s="7" t="str">
        <f>'[1]V, inciso o) (OP)'!AA215</f>
        <v>Programa emergente de bacheo, renivelaciones y sellado en vialidades, Zona Norte, Frente 1, municipio de Zapopan, Jalisco.</v>
      </c>
      <c r="F411" s="7" t="s">
        <v>67</v>
      </c>
      <c r="G411" s="11">
        <f>'[1]V, inciso o) (OP)'!Y215</f>
        <v>1724418.16</v>
      </c>
      <c r="H411" s="7" t="s">
        <v>582</v>
      </c>
      <c r="I411" s="7" t="str">
        <f>'[1]V, inciso o) (OP)'!M215</f>
        <v>ANGEL SALOMON</v>
      </c>
      <c r="J411" s="7" t="str">
        <f>'[1]V, inciso o) (OP)'!N215</f>
        <v>RINCON</v>
      </c>
      <c r="K411" s="7" t="str">
        <f>'[1]V, inciso o) (OP)'!O215</f>
        <v>DE LA ROSA</v>
      </c>
      <c r="L411" s="7" t="str">
        <f>'[1]V, inciso o) (OP)'!P215</f>
        <v>ARO ASFALTOS Y RIEGOS DE OCCIDENTE, S.A. DE C.V.</v>
      </c>
      <c r="M411" s="7" t="str">
        <f>'[1]V, inciso o) (OP)'!Q215</f>
        <v>AAR120507VA9</v>
      </c>
      <c r="N411" s="11">
        <f t="shared" si="9"/>
        <v>1724418.16</v>
      </c>
      <c r="O411" s="7" t="s">
        <v>40</v>
      </c>
      <c r="P411" s="7" t="s">
        <v>1122</v>
      </c>
      <c r="Q411" s="11">
        <f>N411/265</f>
        <v>6507.2383396226414</v>
      </c>
      <c r="R411" s="7" t="s">
        <v>42</v>
      </c>
      <c r="S411" s="15">
        <v>17963</v>
      </c>
      <c r="T411" s="7" t="s">
        <v>43</v>
      </c>
      <c r="U411" s="7" t="s">
        <v>584</v>
      </c>
      <c r="V411" s="13">
        <f>'[1]V, inciso o) (OP)'!AD215</f>
        <v>42919</v>
      </c>
      <c r="W411" s="13">
        <f>'[1]V, inciso o) (OP)'!AE215</f>
        <v>42993</v>
      </c>
      <c r="X411" s="7" t="s">
        <v>1111</v>
      </c>
      <c r="Y411" s="7" t="s">
        <v>1112</v>
      </c>
      <c r="Z411" s="7" t="s">
        <v>405</v>
      </c>
      <c r="AA411" s="7" t="s">
        <v>40</v>
      </c>
      <c r="AB411" s="7" t="s">
        <v>40</v>
      </c>
    </row>
    <row r="412" spans="1:28" ht="69.95" customHeight="1">
      <c r="A412" s="7">
        <v>2017</v>
      </c>
      <c r="B412" s="7" t="s">
        <v>64</v>
      </c>
      <c r="C412" s="7" t="str">
        <f>'[1]V, inciso o) (OP)'!C216</f>
        <v>DOPI-MUN-RM-BACHEO-AD-129-2017</v>
      </c>
      <c r="D412" s="13">
        <f>'[1]V, inciso o) (OP)'!V216</f>
        <v>42919</v>
      </c>
      <c r="E412" s="7" t="str">
        <f>'[1]V, inciso o) (OP)'!AA216</f>
        <v>Programa emergente de bacheo por el método de bacheo a presión en vialidades, Zonas Centro y Sur, Frente 2, municipio de Zapopan, Jalisco.</v>
      </c>
      <c r="F412" s="7" t="s">
        <v>67</v>
      </c>
      <c r="G412" s="11">
        <f>'[1]V, inciso o) (OP)'!Y216</f>
        <v>1705443.99</v>
      </c>
      <c r="H412" s="7" t="s">
        <v>582</v>
      </c>
      <c r="I412" s="7" t="str">
        <f>'[1]V, inciso o) (OP)'!M216</f>
        <v xml:space="preserve">HUGO </v>
      </c>
      <c r="J412" s="7" t="str">
        <f>'[1]V, inciso o) (OP)'!N216</f>
        <v>BOJORQUEZ</v>
      </c>
      <c r="K412" s="7" t="str">
        <f>'[1]V, inciso o) (OP)'!O216</f>
        <v>SANCHEZ</v>
      </c>
      <c r="L412" s="7" t="str">
        <f>'[1]V, inciso o) (OP)'!P216</f>
        <v>BACHEO JET, S.A. DE C.V.</v>
      </c>
      <c r="M412" s="7" t="str">
        <f>'[1]V, inciso o) (OP)'!Q216</f>
        <v>BJE1308202Z2</v>
      </c>
      <c r="N412" s="11">
        <f t="shared" si="9"/>
        <v>1705443.99</v>
      </c>
      <c r="O412" s="7" t="s">
        <v>40</v>
      </c>
      <c r="P412" s="7" t="s">
        <v>1123</v>
      </c>
      <c r="Q412" s="11">
        <f>N412/269</f>
        <v>6339.9404832713753</v>
      </c>
      <c r="R412" s="7" t="s">
        <v>42</v>
      </c>
      <c r="S412" s="15">
        <v>19874</v>
      </c>
      <c r="T412" s="7" t="s">
        <v>43</v>
      </c>
      <c r="U412" s="7" t="s">
        <v>584</v>
      </c>
      <c r="V412" s="13">
        <f>'[1]V, inciso o) (OP)'!AD216</f>
        <v>42919</v>
      </c>
      <c r="W412" s="13">
        <f>'[1]V, inciso o) (OP)'!AE216</f>
        <v>42993</v>
      </c>
      <c r="X412" s="7" t="s">
        <v>762</v>
      </c>
      <c r="Y412" s="7" t="s">
        <v>763</v>
      </c>
      <c r="Z412" s="7" t="s">
        <v>764</v>
      </c>
      <c r="AA412" s="7" t="s">
        <v>40</v>
      </c>
      <c r="AB412" s="7" t="s">
        <v>40</v>
      </c>
    </row>
    <row r="413" spans="1:28" ht="69.95" customHeight="1">
      <c r="A413" s="7">
        <v>2017</v>
      </c>
      <c r="B413" s="7" t="s">
        <v>64</v>
      </c>
      <c r="C413" s="7" t="str">
        <f>'[1]V, inciso o) (OP)'!C217</f>
        <v>DOPI-MUN-FORTA-IM-AD-130-2017</v>
      </c>
      <c r="D413" s="13">
        <f>'[1]V, inciso o) (OP)'!V217</f>
        <v>42919</v>
      </c>
      <c r="E413" s="7" t="str">
        <f>'[1]V, inciso o) (OP)'!AA217</f>
        <v>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v>
      </c>
      <c r="F413" s="7" t="s">
        <v>939</v>
      </c>
      <c r="G413" s="11">
        <f>'[1]V, inciso o) (OP)'!Y217</f>
        <v>1530188.23</v>
      </c>
      <c r="H413" s="7" t="s">
        <v>1124</v>
      </c>
      <c r="I413" s="7" t="str">
        <f>'[1]V, inciso o) (OP)'!M217</f>
        <v>CLAUDIA PATRICIA</v>
      </c>
      <c r="J413" s="7" t="str">
        <f>'[1]V, inciso o) (OP)'!N217</f>
        <v xml:space="preserve">SANCHEZ </v>
      </c>
      <c r="K413" s="7" t="str">
        <f>'[1]V, inciso o) (OP)'!O217</f>
        <v>VALLES</v>
      </c>
      <c r="L413" s="7" t="str">
        <f>'[1]V, inciso o) (OP)'!P217</f>
        <v>CONSTRUCTORA JMA, S.A. DE C.V.</v>
      </c>
      <c r="M413" s="7" t="str">
        <f>'[1]V, inciso o) (OP)'!Q217</f>
        <v>CJM121221Q73</v>
      </c>
      <c r="N413" s="11">
        <f t="shared" si="9"/>
        <v>1530188.23</v>
      </c>
      <c r="O413" s="7" t="s">
        <v>40</v>
      </c>
      <c r="P413" s="7" t="s">
        <v>1125</v>
      </c>
      <c r="Q413" s="11">
        <f>N413/100</f>
        <v>15301.882299999999</v>
      </c>
      <c r="R413" s="7" t="s">
        <v>42</v>
      </c>
      <c r="S413" s="15">
        <v>164</v>
      </c>
      <c r="T413" s="7" t="s">
        <v>43</v>
      </c>
      <c r="U413" s="7" t="s">
        <v>584</v>
      </c>
      <c r="V413" s="13">
        <f>'[1]V, inciso o) (OP)'!AD217</f>
        <v>42920</v>
      </c>
      <c r="W413" s="13">
        <f>'[1]V, inciso o) (OP)'!AE217</f>
        <v>42977</v>
      </c>
      <c r="X413" s="7" t="s">
        <v>842</v>
      </c>
      <c r="Y413" s="7" t="s">
        <v>519</v>
      </c>
      <c r="Z413" s="7" t="s">
        <v>63</v>
      </c>
      <c r="AA413" s="7" t="s">
        <v>40</v>
      </c>
      <c r="AB413" s="7" t="s">
        <v>40</v>
      </c>
    </row>
    <row r="414" spans="1:28" ht="69.95" customHeight="1">
      <c r="A414" s="7">
        <v>2017</v>
      </c>
      <c r="B414" s="7" t="s">
        <v>64</v>
      </c>
      <c r="C414" s="7" t="str">
        <f>'[1]V, inciso o) (OP)'!C218</f>
        <v>DOPI-MUN-FORTA-IS-AD-131-2017</v>
      </c>
      <c r="D414" s="13">
        <f>'[1]V, inciso o) (OP)'!V218</f>
        <v>42919</v>
      </c>
      <c r="E414" s="7" t="str">
        <f>'[1]V, inciso o) (OP)'!AA218</f>
        <v>Obra complementaria para la terminación del Centro de Salud Atemajac, ubicado en la colonia Atemajac del Valle, municipio de Zapopan, Jalisco.</v>
      </c>
      <c r="F414" s="7" t="s">
        <v>939</v>
      </c>
      <c r="G414" s="11">
        <f>'[1]V, inciso o) (OP)'!Y218</f>
        <v>705487.23</v>
      </c>
      <c r="H414" s="7" t="s">
        <v>1126</v>
      </c>
      <c r="I414" s="7" t="str">
        <f>'[1]V, inciso o) (OP)'!M218</f>
        <v xml:space="preserve">Eduardo </v>
      </c>
      <c r="J414" s="7" t="str">
        <f>'[1]V, inciso o) (OP)'!N218</f>
        <v>Plascencia</v>
      </c>
      <c r="K414" s="7" t="str">
        <f>'[1]V, inciso o) (OP)'!O218</f>
        <v>Macias</v>
      </c>
      <c r="L414" s="7" t="str">
        <f>'[1]V, inciso o) (OP)'!P218</f>
        <v>Constructora y Edificadora Plasma, S.A. de C.V.</v>
      </c>
      <c r="M414" s="7" t="str">
        <f>'[1]V, inciso o) (OP)'!Q218</f>
        <v>CEP080129EK6</v>
      </c>
      <c r="N414" s="11">
        <f t="shared" si="9"/>
        <v>705487.23</v>
      </c>
      <c r="O414" s="7" t="s">
        <v>40</v>
      </c>
      <c r="P414" s="7" t="s">
        <v>1125</v>
      </c>
      <c r="Q414" s="11">
        <f>N414/100</f>
        <v>7054.8723</v>
      </c>
      <c r="R414" s="7" t="s">
        <v>42</v>
      </c>
      <c r="S414" s="15">
        <v>1499</v>
      </c>
      <c r="T414" s="7" t="s">
        <v>43</v>
      </c>
      <c r="U414" s="7" t="s">
        <v>584</v>
      </c>
      <c r="V414" s="13">
        <f>'[1]V, inciso o) (OP)'!AD218</f>
        <v>42920</v>
      </c>
      <c r="W414" s="13">
        <f>'[1]V, inciso o) (OP)'!AE218</f>
        <v>42977</v>
      </c>
      <c r="X414" s="7" t="s">
        <v>842</v>
      </c>
      <c r="Y414" s="7" t="s">
        <v>519</v>
      </c>
      <c r="Z414" s="7" t="s">
        <v>63</v>
      </c>
      <c r="AA414" s="7" t="s">
        <v>40</v>
      </c>
      <c r="AB414" s="7" t="s">
        <v>40</v>
      </c>
    </row>
    <row r="415" spans="1:28" ht="69.95" customHeight="1">
      <c r="A415" s="7">
        <v>2017</v>
      </c>
      <c r="B415" s="7" t="s">
        <v>64</v>
      </c>
      <c r="C415" s="7" t="str">
        <f>'[1]V, inciso o) (OP)'!C219</f>
        <v>DOPI-MUN-FORTA-IU-AD-132-2017</v>
      </c>
      <c r="D415" s="13">
        <f>'[1]V, inciso o) (OP)'!V219</f>
        <v>42940</v>
      </c>
      <c r="E415" s="7" t="str">
        <f>'[1]V, inciso o) (OP)'!AA219</f>
        <v>Primera etapa de la renovación de imagen urbana en la colonia Díaz Ordaz, municipio de Zapopan, Jalisco.</v>
      </c>
      <c r="F415" s="7" t="s">
        <v>939</v>
      </c>
      <c r="G415" s="11">
        <f>'[1]V, inciso o) (OP)'!Y219</f>
        <v>1630250.47</v>
      </c>
      <c r="H415" s="7" t="s">
        <v>1127</v>
      </c>
      <c r="I415" s="7" t="str">
        <f>'[1]V, inciso o) (OP)'!M219</f>
        <v xml:space="preserve">RAFAEL </v>
      </c>
      <c r="J415" s="7" t="str">
        <f>'[1]V, inciso o) (OP)'!N219</f>
        <v>ARREGUIN</v>
      </c>
      <c r="K415" s="7" t="str">
        <f>'[1]V, inciso o) (OP)'!O219</f>
        <v>RENTERIA</v>
      </c>
      <c r="L415" s="7" t="str">
        <f>'[1]V, inciso o) (OP)'!P219</f>
        <v xml:space="preserve">ARH DESARROLLOS INMOBILIARIOS, S.A. DE C.V. </v>
      </c>
      <c r="M415" s="7" t="str">
        <f>'[1]V, inciso o) (OP)'!Q219</f>
        <v>ADI130522MB7</v>
      </c>
      <c r="N415" s="11">
        <f t="shared" si="9"/>
        <v>1630250.47</v>
      </c>
      <c r="O415" s="7" t="s">
        <v>40</v>
      </c>
      <c r="P415" s="7" t="s">
        <v>1128</v>
      </c>
      <c r="Q415" s="11">
        <f>N415/268</f>
        <v>6083.0241417910447</v>
      </c>
      <c r="R415" s="7" t="s">
        <v>42</v>
      </c>
      <c r="S415" s="15">
        <v>18730</v>
      </c>
      <c r="T415" s="7" t="s">
        <v>43</v>
      </c>
      <c r="U415" s="7" t="s">
        <v>584</v>
      </c>
      <c r="V415" s="13">
        <f>'[1]V, inciso o) (OP)'!AD219</f>
        <v>42940</v>
      </c>
      <c r="W415" s="13">
        <f>'[1]V, inciso o) (OP)'!AE219</f>
        <v>43022</v>
      </c>
      <c r="X415" s="7" t="s">
        <v>1026</v>
      </c>
      <c r="Y415" s="7" t="s">
        <v>975</v>
      </c>
      <c r="Z415" s="7" t="s">
        <v>1079</v>
      </c>
      <c r="AA415" s="7" t="s">
        <v>40</v>
      </c>
      <c r="AB415" s="7" t="s">
        <v>40</v>
      </c>
    </row>
    <row r="416" spans="1:28" ht="69.95" customHeight="1">
      <c r="A416" s="7">
        <v>2017</v>
      </c>
      <c r="B416" s="7" t="s">
        <v>64</v>
      </c>
      <c r="C416" s="7" t="str">
        <f>'[1]V, inciso o) (OP)'!C220</f>
        <v>DOPI-MUN-RM-PAV-AD-133-2017</v>
      </c>
      <c r="D416" s="13">
        <f>'[1]V, inciso o) (OP)'!V220</f>
        <v>42935</v>
      </c>
      <c r="E416" s="7" t="str">
        <f>'[1]V, inciso o) (OP)'!AA220</f>
        <v>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v>
      </c>
      <c r="F416" s="7" t="s">
        <v>67</v>
      </c>
      <c r="G416" s="11">
        <f>'[1]V, inciso o) (OP)'!Y220</f>
        <v>1228660.2</v>
      </c>
      <c r="H416" s="7" t="s">
        <v>1129</v>
      </c>
      <c r="I416" s="7" t="str">
        <f>'[1]V, inciso o) (OP)'!M220</f>
        <v xml:space="preserve">SANTIAGO </v>
      </c>
      <c r="J416" s="7" t="str">
        <f>'[1]V, inciso o) (OP)'!N220</f>
        <v xml:space="preserve">BUENO </v>
      </c>
      <c r="K416" s="7" t="str">
        <f>'[1]V, inciso o) (OP)'!O220</f>
        <v>FUENTES</v>
      </c>
      <c r="L416" s="7" t="str">
        <f>'[1]V, inciso o) (OP)'!P220</f>
        <v>CONSTRUCTORA SBF, S.A. DE C.V.</v>
      </c>
      <c r="M416" s="7" t="str">
        <f>'[1]V, inciso o) (OP)'!Q220</f>
        <v>CSB940503EB3</v>
      </c>
      <c r="N416" s="11">
        <f t="shared" si="9"/>
        <v>1228660.2</v>
      </c>
      <c r="O416" s="7" t="s">
        <v>40</v>
      </c>
      <c r="P416" s="7" t="s">
        <v>1130</v>
      </c>
      <c r="Q416" s="11">
        <f>N416/172</f>
        <v>7143.3732558139536</v>
      </c>
      <c r="R416" s="7" t="s">
        <v>42</v>
      </c>
      <c r="S416" s="15">
        <v>19641</v>
      </c>
      <c r="T416" s="7" t="s">
        <v>43</v>
      </c>
      <c r="U416" s="7" t="s">
        <v>584</v>
      </c>
      <c r="V416" s="13">
        <f>'[1]V, inciso o) (OP)'!AD220</f>
        <v>42936</v>
      </c>
      <c r="W416" s="13">
        <f>'[1]V, inciso o) (OP)'!AE220</f>
        <v>42977</v>
      </c>
      <c r="X416" s="7" t="s">
        <v>1111</v>
      </c>
      <c r="Y416" s="7" t="s">
        <v>1112</v>
      </c>
      <c r="Z416" s="7" t="s">
        <v>405</v>
      </c>
      <c r="AA416" s="7" t="s">
        <v>40</v>
      </c>
      <c r="AB416" s="7" t="s">
        <v>40</v>
      </c>
    </row>
    <row r="417" spans="1:28" ht="69.95" customHeight="1">
      <c r="A417" s="7">
        <v>2017</v>
      </c>
      <c r="B417" s="7" t="s">
        <v>64</v>
      </c>
      <c r="C417" s="7" t="str">
        <f>'[1]V, inciso o) (OP)'!C221</f>
        <v>DOPI-MUN-RM-IM-AD-134-2017</v>
      </c>
      <c r="D417" s="13">
        <f>'[1]V, inciso o) (OP)'!V221</f>
        <v>42935</v>
      </c>
      <c r="E417" s="7" t="str">
        <f>'[1]V, inciso o) (OP)'!AA221</f>
        <v>Automatización del sistema de bombeo en la red de drenaje, cárcamo de agua residuales y construcción de losa de techo en la colonia Lomas Atlas, municipio de Zapopan, Jalisco.</v>
      </c>
      <c r="F417" s="7" t="s">
        <v>67</v>
      </c>
      <c r="G417" s="11">
        <f>'[1]V, inciso o) (OP)'!Y221</f>
        <v>997556.34</v>
      </c>
      <c r="H417" s="7" t="s">
        <v>712</v>
      </c>
      <c r="I417" s="7" t="str">
        <f>'[1]V, inciso o) (OP)'!M221</f>
        <v>DAVID SERGIO</v>
      </c>
      <c r="J417" s="7" t="str">
        <f>'[1]V, inciso o) (OP)'!N221</f>
        <v>DOMINGUEZ</v>
      </c>
      <c r="K417" s="7" t="str">
        <f>'[1]V, inciso o) (OP)'!O221</f>
        <v>MEZA</v>
      </c>
      <c r="L417" s="7" t="str">
        <f>'[1]V, inciso o) (OP)'!P221</f>
        <v>VALIKA CONSTRUCTORA, S.A. DE C.V.</v>
      </c>
      <c r="M417" s="7" t="str">
        <f>'[1]V, inciso o) (OP)'!Q221</f>
        <v>VCO9412201J0</v>
      </c>
      <c r="N417" s="11">
        <f t="shared" si="9"/>
        <v>997556.34</v>
      </c>
      <c r="O417" s="7" t="s">
        <v>40</v>
      </c>
      <c r="P417" s="7" t="s">
        <v>1128</v>
      </c>
      <c r="Q417" s="11">
        <f>N417/268</f>
        <v>3722.2251492537312</v>
      </c>
      <c r="R417" s="7" t="s">
        <v>42</v>
      </c>
      <c r="S417" s="15">
        <v>22905</v>
      </c>
      <c r="T417" s="7" t="s">
        <v>43</v>
      </c>
      <c r="U417" s="7" t="s">
        <v>584</v>
      </c>
      <c r="V417" s="13">
        <f>'[1]V, inciso o) (OP)'!AD221</f>
        <v>42936</v>
      </c>
      <c r="W417" s="13">
        <f>'[1]V, inciso o) (OP)'!AE221</f>
        <v>42977</v>
      </c>
      <c r="X417" s="7" t="s">
        <v>701</v>
      </c>
      <c r="Y417" s="7" t="s">
        <v>524</v>
      </c>
      <c r="Z417" s="7" t="s">
        <v>254</v>
      </c>
      <c r="AA417" s="7" t="s">
        <v>40</v>
      </c>
      <c r="AB417" s="7" t="s">
        <v>40</v>
      </c>
    </row>
    <row r="418" spans="1:28" ht="69.95" customHeight="1">
      <c r="A418" s="7">
        <v>2017</v>
      </c>
      <c r="B418" s="7" t="s">
        <v>64</v>
      </c>
      <c r="C418" s="7" t="str">
        <f>'[1]V, inciso o) (OP)'!C222</f>
        <v>DOPI-MUN-FORTA-PAV-AD-135-2017</v>
      </c>
      <c r="D418" s="13">
        <f>'[1]V, inciso o) (OP)'!V222</f>
        <v>42930</v>
      </c>
      <c r="E418" s="7" t="str">
        <f>'[1]V, inciso o) (OP)'!AA222</f>
        <v>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v>
      </c>
      <c r="F418" s="7" t="s">
        <v>939</v>
      </c>
      <c r="G418" s="11">
        <f>'[1]V, inciso o) (OP)'!Y222</f>
        <v>1710514.78</v>
      </c>
      <c r="H418" s="7" t="s">
        <v>1131</v>
      </c>
      <c r="I418" s="7" t="str">
        <f>'[1]V, inciso o) (OP)'!M222</f>
        <v>TOMAS</v>
      </c>
      <c r="J418" s="7" t="str">
        <f>'[1]V, inciso o) (OP)'!N222</f>
        <v>SANDOVAL</v>
      </c>
      <c r="K418" s="7" t="str">
        <f>'[1]V, inciso o) (OP)'!O222</f>
        <v>ALVAREZ</v>
      </c>
      <c r="L418" s="7" t="str">
        <f>'[1]V, inciso o) (OP)'!P222</f>
        <v>CONSTRUCCIONES Y RENTAS DE MAQUINARIA DE OCCIDENTE, S.A. DE C.V.</v>
      </c>
      <c r="M418" s="7" t="str">
        <f>'[1]V, inciso o) (OP)'!Q222</f>
        <v>CRM910909K48</v>
      </c>
      <c r="N418" s="11">
        <f t="shared" ref="N418:N445" si="11">G418</f>
        <v>1710514.78</v>
      </c>
      <c r="O418" s="7" t="s">
        <v>40</v>
      </c>
      <c r="P418" s="7" t="s">
        <v>1132</v>
      </c>
      <c r="Q418" s="11">
        <f>N418/180</f>
        <v>9502.8598888888882</v>
      </c>
      <c r="R418" s="7" t="s">
        <v>42</v>
      </c>
      <c r="S418" s="15">
        <v>23048</v>
      </c>
      <c r="T418" s="7" t="s">
        <v>43</v>
      </c>
      <c r="U418" s="7" t="s">
        <v>584</v>
      </c>
      <c r="V418" s="13">
        <f>'[1]V, inciso o) (OP)'!AD222</f>
        <v>42930</v>
      </c>
      <c r="W418" s="13">
        <f>'[1]V, inciso o) (OP)'!AE222</f>
        <v>42993</v>
      </c>
      <c r="X418" s="7" t="s">
        <v>544</v>
      </c>
      <c r="Y418" s="7" t="s">
        <v>545</v>
      </c>
      <c r="Z418" s="7" t="s">
        <v>212</v>
      </c>
      <c r="AA418" s="7" t="s">
        <v>40</v>
      </c>
      <c r="AB418" s="7" t="s">
        <v>40</v>
      </c>
    </row>
    <row r="419" spans="1:28" ht="69.95" customHeight="1">
      <c r="A419" s="7">
        <v>2017</v>
      </c>
      <c r="B419" s="7" t="s">
        <v>64</v>
      </c>
      <c r="C419" s="7" t="str">
        <f>'[1]V, inciso o) (OP)'!C223</f>
        <v>DOPI-MUN-FORTA-PAV-AD-136-2017</v>
      </c>
      <c r="D419" s="13">
        <f>'[1]V, inciso o) (OP)'!V223</f>
        <v>42935</v>
      </c>
      <c r="E419" s="7" t="str">
        <f>'[1]V, inciso o) (OP)'!AA223</f>
        <v>Sello asfáltico, renivelaciones y bacheo en vialidades de la colonia Loma Bonita Ejidal, municipio de Zapopan, Jalisco, primera etapa.</v>
      </c>
      <c r="F419" s="7" t="s">
        <v>939</v>
      </c>
      <c r="G419" s="11">
        <f>'[1]V, inciso o) (OP)'!Y223</f>
        <v>1004338.5</v>
      </c>
      <c r="H419" s="7" t="s">
        <v>984</v>
      </c>
      <c r="I419" s="7" t="str">
        <f>'[1]V, inciso o) (OP)'!M223</f>
        <v xml:space="preserve">GUILLERMO EMMANUEL </v>
      </c>
      <c r="J419" s="7" t="str">
        <f>'[1]V, inciso o) (OP)'!N223</f>
        <v xml:space="preserve">LARA </v>
      </c>
      <c r="K419" s="7" t="str">
        <f>'[1]V, inciso o) (OP)'!O223</f>
        <v>OCHOA</v>
      </c>
      <c r="L419" s="7" t="str">
        <f>'[1]V, inciso o) (OP)'!P223</f>
        <v>ALQUIMIA GRUPO CONSTRUCTOR, S.A. DE C.V.</v>
      </c>
      <c r="M419" s="7" t="str">
        <f>'[1]V, inciso o) (OP)'!Q223</f>
        <v>AGC070223J95</v>
      </c>
      <c r="N419" s="11">
        <f t="shared" si="11"/>
        <v>1004338.5</v>
      </c>
      <c r="O419" s="7" t="s">
        <v>40</v>
      </c>
      <c r="P419" s="7" t="s">
        <v>1123</v>
      </c>
      <c r="Q419" s="11">
        <f>N419/269</f>
        <v>3733.6003717472117</v>
      </c>
      <c r="R419" s="7" t="s">
        <v>42</v>
      </c>
      <c r="S419" s="15">
        <v>20733</v>
      </c>
      <c r="T419" s="7" t="s">
        <v>43</v>
      </c>
      <c r="U419" s="7" t="s">
        <v>584</v>
      </c>
      <c r="V419" s="13">
        <f>'[1]V, inciso o) (OP)'!AD223</f>
        <v>42935</v>
      </c>
      <c r="W419" s="13">
        <f>'[1]V, inciso o) (OP)'!AE223</f>
        <v>42962</v>
      </c>
      <c r="X419" s="7" t="s">
        <v>571</v>
      </c>
      <c r="Y419" s="7" t="s">
        <v>572</v>
      </c>
      <c r="Z419" s="7" t="s">
        <v>573</v>
      </c>
      <c r="AA419" s="7" t="s">
        <v>40</v>
      </c>
      <c r="AB419" s="7" t="s">
        <v>40</v>
      </c>
    </row>
    <row r="420" spans="1:28" ht="69.95" customHeight="1">
      <c r="A420" s="7">
        <v>2017</v>
      </c>
      <c r="B420" s="7" t="s">
        <v>64</v>
      </c>
      <c r="C420" s="7" t="str">
        <f>'[1]V, inciso o) (OP)'!C224</f>
        <v>DOPI-MUN-RM-PAV-AD-137-2017</v>
      </c>
      <c r="D420" s="13">
        <f>'[1]V, inciso o) (OP)'!V224</f>
        <v>42935</v>
      </c>
      <c r="E420" s="7" t="str">
        <f>'[1]V, inciso o) (OP)'!AA224</f>
        <v>Construcción de camino de acceso a la celda 5 del relleno sanitario Picachos, municipio de Zapopan, Jalisco.</v>
      </c>
      <c r="F420" s="7" t="s">
        <v>67</v>
      </c>
      <c r="G420" s="11">
        <f>'[1]V, inciso o) (OP)'!Y224</f>
        <v>978686.25</v>
      </c>
      <c r="H420" s="7" t="s">
        <v>970</v>
      </c>
      <c r="I420" s="7" t="str">
        <f>'[1]V, inciso o) (OP)'!M224</f>
        <v>JESUS DAVID</v>
      </c>
      <c r="J420" s="7" t="str">
        <f>'[1]V, inciso o) (OP)'!N224</f>
        <v xml:space="preserve">GARZA </v>
      </c>
      <c r="K420" s="7" t="str">
        <f>'[1]V, inciso o) (OP)'!O224</f>
        <v>GARCIA</v>
      </c>
      <c r="L420" s="7" t="str">
        <f>'[1]V, inciso o) (OP)'!P224</f>
        <v>CONSTRUCCIONES  ELECTRIFICACIONES Y ARRENDAMIENTO DE MAQUINARIA S.A. DE C.V.</v>
      </c>
      <c r="M420" s="7" t="str">
        <f>'[1]V, inciso o) (OP)'!Q224</f>
        <v>CEA010615GT0</v>
      </c>
      <c r="N420" s="11">
        <f t="shared" si="11"/>
        <v>978686.25</v>
      </c>
      <c r="O420" s="7" t="s">
        <v>40</v>
      </c>
      <c r="P420" s="7" t="s">
        <v>1133</v>
      </c>
      <c r="Q420" s="11">
        <f>N420/266</f>
        <v>3679.2716165413535</v>
      </c>
      <c r="R420" s="7" t="s">
        <v>42</v>
      </c>
      <c r="S420" s="15">
        <v>21494</v>
      </c>
      <c r="T420" s="7" t="s">
        <v>43</v>
      </c>
      <c r="U420" s="7" t="s">
        <v>584</v>
      </c>
      <c r="V420" s="13">
        <f>'[1]V, inciso o) (OP)'!AD224</f>
        <v>42935</v>
      </c>
      <c r="W420" s="13">
        <f>'[1]V, inciso o) (OP)'!AE224</f>
        <v>42962</v>
      </c>
      <c r="X420" s="7" t="s">
        <v>699</v>
      </c>
      <c r="Y420" s="7" t="s">
        <v>240</v>
      </c>
      <c r="Z420" s="7" t="s">
        <v>1134</v>
      </c>
      <c r="AA420" s="7" t="s">
        <v>40</v>
      </c>
      <c r="AB420" s="7" t="s">
        <v>40</v>
      </c>
    </row>
    <row r="421" spans="1:28" ht="69.95" customHeight="1">
      <c r="A421" s="7">
        <v>2017</v>
      </c>
      <c r="B421" s="7" t="s">
        <v>64</v>
      </c>
      <c r="C421" s="7" t="str">
        <f>'[1]V, inciso o) (OP)'!C225</f>
        <v>DOPI-MUN-FORTA-ID-AD-138-2017</v>
      </c>
      <c r="D421" s="13">
        <f>'[1]V, inciso o) (OP)'!V225</f>
        <v>42935</v>
      </c>
      <c r="E421" s="7" t="str">
        <f>'[1]V, inciso o) (OP)'!AA225</f>
        <v>Albañilería, acabados, pasto sintético y mobiliario urbano en el Polvorín, municipio de Zapopan, Jalisco.</v>
      </c>
      <c r="F421" s="7" t="s">
        <v>939</v>
      </c>
      <c r="G421" s="11">
        <f>'[1]V, inciso o) (OP)'!Y225</f>
        <v>937274.17</v>
      </c>
      <c r="H421" s="7" t="s">
        <v>289</v>
      </c>
      <c r="I421" s="7" t="str">
        <f>'[1]V, inciso o) (OP)'!M225</f>
        <v>JAIME FERNANDO</v>
      </c>
      <c r="J421" s="7" t="str">
        <f>'[1]V, inciso o) (OP)'!N225</f>
        <v>ALVAREZ</v>
      </c>
      <c r="K421" s="7" t="str">
        <f>'[1]V, inciso o) (OP)'!O225</f>
        <v>LOZANO</v>
      </c>
      <c r="L421" s="7" t="str">
        <f>'[1]V, inciso o) (OP)'!P225</f>
        <v>INOVACIONES EN MOBILIARIO URBANO S.A. DE C.V.</v>
      </c>
      <c r="M421" s="7" t="str">
        <f>'[1]V, inciso o) (OP)'!Q225</f>
        <v>IMU120820NM7</v>
      </c>
      <c r="N421" s="11">
        <f t="shared" si="11"/>
        <v>937274.17</v>
      </c>
      <c r="O421" s="7" t="s">
        <v>40</v>
      </c>
      <c r="P421" s="7" t="s">
        <v>1135</v>
      </c>
      <c r="Q421" s="11">
        <f>N421/920</f>
        <v>1018.7762717391305</v>
      </c>
      <c r="R421" s="7" t="s">
        <v>42</v>
      </c>
      <c r="S421" s="15">
        <v>1025</v>
      </c>
      <c r="T421" s="7" t="s">
        <v>43</v>
      </c>
      <c r="U421" s="7" t="s">
        <v>584</v>
      </c>
      <c r="V421" s="13">
        <f>'[1]V, inciso o) (OP)'!AD225</f>
        <v>42935</v>
      </c>
      <c r="W421" s="13">
        <f>'[1]V, inciso o) (OP)'!AE225</f>
        <v>42977</v>
      </c>
      <c r="X421" s="7" t="s">
        <v>701</v>
      </c>
      <c r="Y421" s="7" t="s">
        <v>524</v>
      </c>
      <c r="Z421" s="7" t="s">
        <v>254</v>
      </c>
      <c r="AA421" s="7" t="s">
        <v>40</v>
      </c>
      <c r="AB421" s="7" t="s">
        <v>40</v>
      </c>
    </row>
    <row r="422" spans="1:28" ht="69.95" customHeight="1">
      <c r="A422" s="7">
        <v>2017</v>
      </c>
      <c r="B422" s="7" t="s">
        <v>64</v>
      </c>
      <c r="C422" s="7" t="str">
        <f>'[1]V, inciso o) (OP)'!C226</f>
        <v>DOPI-MUN-RM-IE-AD-139-2017</v>
      </c>
      <c r="D422" s="13">
        <f>'[1]V, inciso o) (OP)'!V226</f>
        <v>42982</v>
      </c>
      <c r="E422" s="7" t="str">
        <f>'[1]V, inciso o) (OP)'!AA226</f>
        <v>Estructura para protección de rayos ultravioleta en la secundaria 18 mixta, ubicada en Privada Circunvalación Oriente, entre Calzada de Los Fresnos y calzada de Los Ángeles, en la colonia Ciudad Granja, municipio de Zapopan, Jalisco.</v>
      </c>
      <c r="F422" s="7" t="s">
        <v>67</v>
      </c>
      <c r="G422" s="11">
        <f>'[1]V, inciso o) (OP)'!Y226</f>
        <v>1712572.4</v>
      </c>
      <c r="H422" s="7" t="s">
        <v>347</v>
      </c>
      <c r="I422" s="7" t="str">
        <f>'[1]V, inciso o) (OP)'!M226</f>
        <v xml:space="preserve">JESÚS </v>
      </c>
      <c r="J422" s="7" t="str">
        <f>'[1]V, inciso o) (OP)'!N226</f>
        <v>CUETO</v>
      </c>
      <c r="K422" s="7" t="str">
        <f>'[1]V, inciso o) (OP)'!O226</f>
        <v>GARCÍA</v>
      </c>
      <c r="L422" s="7" t="str">
        <f>'[1]V, inciso o) (OP)'!P226</f>
        <v>CONSTRUCTORA MICUET, S.A. DE C.V.</v>
      </c>
      <c r="M422" s="7" t="str">
        <f>'[1]V, inciso o) (OP)'!Q226</f>
        <v>CMI0312018W4</v>
      </c>
      <c r="N422" s="11">
        <f t="shared" si="11"/>
        <v>1712572.4</v>
      </c>
      <c r="O422" s="7" t="s">
        <v>40</v>
      </c>
      <c r="P422" s="7" t="s">
        <v>1136</v>
      </c>
      <c r="Q422" s="11">
        <f>N422/608</f>
        <v>2816.7309210526314</v>
      </c>
      <c r="R422" s="7" t="s">
        <v>42</v>
      </c>
      <c r="S422" s="15">
        <v>628</v>
      </c>
      <c r="T422" s="7" t="s">
        <v>43</v>
      </c>
      <c r="U422" s="7" t="s">
        <v>584</v>
      </c>
      <c r="V422" s="13">
        <f>'[1]V, inciso o) (OP)'!AD226</f>
        <v>42989</v>
      </c>
      <c r="W422" s="13">
        <f>'[1]V, inciso o) (OP)'!AE226</f>
        <v>43063</v>
      </c>
      <c r="X422" s="7" t="s">
        <v>701</v>
      </c>
      <c r="Y422" s="7" t="s">
        <v>524</v>
      </c>
      <c r="Z422" s="7" t="s">
        <v>254</v>
      </c>
      <c r="AA422" s="7" t="s">
        <v>40</v>
      </c>
      <c r="AB422" s="7" t="s">
        <v>40</v>
      </c>
    </row>
    <row r="423" spans="1:28" ht="69.95" customHeight="1">
      <c r="A423" s="7">
        <v>2017</v>
      </c>
      <c r="B423" s="7" t="s">
        <v>64</v>
      </c>
      <c r="C423" s="7" t="str">
        <f>'[1]V, inciso o) (OP)'!C227</f>
        <v>DOPI-MUN-R33R-DS-AD-140-2017</v>
      </c>
      <c r="D423" s="13">
        <f>'[1]V, inciso o) (OP)'!V227</f>
        <v>42937</v>
      </c>
      <c r="E423" s="7" t="str">
        <f>'[1]V, inciso o) (OP)'!AA227</f>
        <v>Construcción de red de drenaje sanitario en las calles: San Nicolás, El Palomar e Ing. Gómez, en la colonia los Cajetes, municipio de Zapopan, Jalisco.</v>
      </c>
      <c r="F423" s="7" t="s">
        <v>1073</v>
      </c>
      <c r="G423" s="11">
        <f>'[1]V, inciso o) (OP)'!Y227</f>
        <v>997850.24</v>
      </c>
      <c r="H423" s="7" t="s">
        <v>1137</v>
      </c>
      <c r="I423" s="7" t="str">
        <f>'[1]V, inciso o) (OP)'!M227</f>
        <v>IRMA GUADALUPE</v>
      </c>
      <c r="J423" s="7" t="str">
        <f>'[1]V, inciso o) (OP)'!N227</f>
        <v>RIZO</v>
      </c>
      <c r="K423" s="7" t="str">
        <f>'[1]V, inciso o) (OP)'!O227</f>
        <v>ACUÑA</v>
      </c>
      <c r="L423" s="7" t="str">
        <f>'[1]V, inciso o) (OP)'!P227</f>
        <v>FOGU GRUPO CONSTRUCTOR, S.A. DE C.V.</v>
      </c>
      <c r="M423" s="7" t="str">
        <f>'[1]V, inciso o) (OP)'!Q227</f>
        <v>FGC100909TW9</v>
      </c>
      <c r="N423" s="11">
        <f t="shared" si="11"/>
        <v>997850.24</v>
      </c>
      <c r="O423" s="7" t="s">
        <v>40</v>
      </c>
      <c r="P423" s="7" t="s">
        <v>1138</v>
      </c>
      <c r="Q423" s="11">
        <f>N423/450</f>
        <v>2217.4449777777777</v>
      </c>
      <c r="R423" s="7" t="s">
        <v>42</v>
      </c>
      <c r="S423" s="15">
        <v>523</v>
      </c>
      <c r="T423" s="7" t="s">
        <v>43</v>
      </c>
      <c r="U423" s="7" t="s">
        <v>584</v>
      </c>
      <c r="V423" s="13">
        <f>'[1]V, inciso o) (OP)'!AD227</f>
        <v>42940</v>
      </c>
      <c r="W423" s="13">
        <f>'[1]V, inciso o) (OP)'!AE227</f>
        <v>43023</v>
      </c>
      <c r="X423" s="7" t="s">
        <v>571</v>
      </c>
      <c r="Y423" s="7" t="s">
        <v>572</v>
      </c>
      <c r="Z423" s="7" t="s">
        <v>573</v>
      </c>
      <c r="AA423" s="7" t="s">
        <v>40</v>
      </c>
      <c r="AB423" s="7" t="s">
        <v>40</v>
      </c>
    </row>
    <row r="424" spans="1:28" ht="69.95" customHeight="1">
      <c r="A424" s="7">
        <v>2017</v>
      </c>
      <c r="B424" s="7" t="s">
        <v>64</v>
      </c>
      <c r="C424" s="7" t="str">
        <f>'[1]V, inciso o) (OP)'!C228</f>
        <v>DOPI-MUN-FORTA-BAN-AD-141-2017</v>
      </c>
      <c r="D424" s="13">
        <f>'[1]V, inciso o) (OP)'!V228</f>
        <v>42920</v>
      </c>
      <c r="E424" s="7" t="str">
        <f>'[1]V, inciso o) (OP)'!AA228</f>
        <v>Peatonalización, construcción de banquetas, sustitución de guarniciones, bolardos, en Prolongación Av. Guadalupe, de Prolongación Mariano Otero al Arroyo El Garabato, municipio de Zapopan, Jalisco.</v>
      </c>
      <c r="F424" s="7" t="s">
        <v>939</v>
      </c>
      <c r="G424" s="11">
        <f>'[1]V, inciso o) (OP)'!Y228</f>
        <v>1279687.06</v>
      </c>
      <c r="H424" s="7" t="s">
        <v>1139</v>
      </c>
      <c r="I424" s="7" t="str">
        <f>'[1]V, inciso o) (OP)'!M228</f>
        <v>SERGIO CESAR</v>
      </c>
      <c r="J424" s="7" t="str">
        <f>'[1]V, inciso o) (OP)'!N228</f>
        <v>DÍAZ</v>
      </c>
      <c r="K424" s="7" t="str">
        <f>'[1]V, inciso o) (OP)'!O228</f>
        <v>QUIROZ</v>
      </c>
      <c r="L424" s="7" t="str">
        <f>'[1]V, inciso o) (OP)'!P228</f>
        <v>TRANSCRETO S.A. DE C.V.</v>
      </c>
      <c r="M424" s="7" t="str">
        <f>'[1]V, inciso o) (OP)'!Q228</f>
        <v>TRA750528286</v>
      </c>
      <c r="N424" s="11">
        <f t="shared" si="11"/>
        <v>1279687.06</v>
      </c>
      <c r="O424" s="7" t="s">
        <v>40</v>
      </c>
      <c r="P424" s="7" t="s">
        <v>1140</v>
      </c>
      <c r="Q424" s="11">
        <f>N424/1063</f>
        <v>1203.8448353715899</v>
      </c>
      <c r="R424" s="7" t="s">
        <v>42</v>
      </c>
      <c r="S424" s="15">
        <v>3695</v>
      </c>
      <c r="T424" s="7" t="s">
        <v>43</v>
      </c>
      <c r="U424" s="7" t="s">
        <v>584</v>
      </c>
      <c r="V424" s="13">
        <f>'[1]V, inciso o) (OP)'!AD228</f>
        <v>42920</v>
      </c>
      <c r="W424" s="13">
        <f>'[1]V, inciso o) (OP)'!AE228</f>
        <v>42962</v>
      </c>
      <c r="X424" s="7" t="s">
        <v>536</v>
      </c>
      <c r="Y424" s="7" t="s">
        <v>383</v>
      </c>
      <c r="Z424" s="7" t="s">
        <v>300</v>
      </c>
      <c r="AA424" s="7" t="s">
        <v>40</v>
      </c>
      <c r="AB424" s="7" t="s">
        <v>40</v>
      </c>
    </row>
    <row r="425" spans="1:28" ht="69.95" customHeight="1">
      <c r="A425" s="7">
        <v>2017</v>
      </c>
      <c r="B425" s="7" t="s">
        <v>64</v>
      </c>
      <c r="C425" s="7" t="str">
        <f>'[1]V, inciso o) (OP)'!C229</f>
        <v>DOPI-MUN-RM-PAV-AD-142-2017</v>
      </c>
      <c r="D425" s="13">
        <f>'[1]V, inciso o) (OP)'!V229</f>
        <v>42982</v>
      </c>
      <c r="E425" s="7" t="str">
        <f>'[1]V, inciso o) (OP)'!AA229</f>
        <v>Pavimentación con adoquín y empedrado tradicional con material producto de recuperación en diferentes vialidades en el municipio de Zapopan, Jalisco, frente 2.</v>
      </c>
      <c r="F425" s="7" t="s">
        <v>67</v>
      </c>
      <c r="G425" s="11">
        <f>'[1]V, inciso o) (OP)'!Y229</f>
        <v>1650254.87</v>
      </c>
      <c r="H425" s="7" t="s">
        <v>225</v>
      </c>
      <c r="I425" s="7" t="str">
        <f>'[1]V, inciso o) (OP)'!M229</f>
        <v>JOSÉ OMAR</v>
      </c>
      <c r="J425" s="7" t="str">
        <f>'[1]V, inciso o) (OP)'!N229</f>
        <v>FERNÁNDEZ</v>
      </c>
      <c r="K425" s="7" t="str">
        <f>'[1]V, inciso o) (OP)'!O229</f>
        <v>VÁZQUEZ</v>
      </c>
      <c r="L425" s="7" t="str">
        <f>'[1]V, inciso o) (OP)'!P229</f>
        <v>EXTRA CONSTRUCCIÓNES, S.A. DE C.V.</v>
      </c>
      <c r="M425" s="7" t="str">
        <f>'[1]V, inciso o) (OP)'!Q229</f>
        <v>ECO0908115Z7</v>
      </c>
      <c r="N425" s="11">
        <f t="shared" si="11"/>
        <v>1650254.87</v>
      </c>
      <c r="O425" s="7" t="s">
        <v>40</v>
      </c>
      <c r="P425" s="7" t="s">
        <v>1141</v>
      </c>
      <c r="Q425" s="11">
        <f>N425/1335</f>
        <v>1236.1459700374533</v>
      </c>
      <c r="R425" s="7" t="s">
        <v>42</v>
      </c>
      <c r="S425" s="15">
        <v>869</v>
      </c>
      <c r="T425" s="7" t="s">
        <v>43</v>
      </c>
      <c r="U425" s="7" t="s">
        <v>584</v>
      </c>
      <c r="V425" s="13">
        <f>'[1]V, inciso o) (OP)'!AD229</f>
        <v>42989</v>
      </c>
      <c r="W425" s="13">
        <f>'[1]V, inciso o) (OP)'!AE229</f>
        <v>43078</v>
      </c>
      <c r="X425" s="7" t="s">
        <v>987</v>
      </c>
      <c r="Y425" s="7" t="s">
        <v>1142</v>
      </c>
      <c r="Z425" s="7" t="s">
        <v>872</v>
      </c>
      <c r="AA425" s="7" t="s">
        <v>40</v>
      </c>
      <c r="AB425" s="7" t="s">
        <v>40</v>
      </c>
    </row>
    <row r="426" spans="1:28" ht="69.95" customHeight="1">
      <c r="A426" s="7">
        <v>2017</v>
      </c>
      <c r="B426" s="7" t="s">
        <v>64</v>
      </c>
      <c r="C426" s="7" t="str">
        <f>'[1]V, inciso o) (OP)'!C230</f>
        <v>DOPI-MUN-RM-PROY-AD-143-2017</v>
      </c>
      <c r="D426" s="13">
        <f>'[1]V, inciso o) (OP)'!V230</f>
        <v>42982</v>
      </c>
      <c r="E426" s="7" t="str">
        <f>'[1]V, inciso o) (OP)'!AA230</f>
        <v>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v>
      </c>
      <c r="F426" s="7" t="s">
        <v>67</v>
      </c>
      <c r="G426" s="11">
        <f>'[1]V, inciso o) (OP)'!Y230</f>
        <v>542300</v>
      </c>
      <c r="H426" s="7" t="s">
        <v>396</v>
      </c>
      <c r="I426" s="7" t="str">
        <f>'[1]V, inciso o) (OP)'!M230</f>
        <v>CARLOS CELSO</v>
      </c>
      <c r="J426" s="7" t="str">
        <f>'[1]V, inciso o) (OP)'!N230</f>
        <v>GARCÍA</v>
      </c>
      <c r="K426" s="7" t="str">
        <f>'[1]V, inciso o) (OP)'!O230</f>
        <v>QUINTERO</v>
      </c>
      <c r="L426" s="7" t="str">
        <f>'[1]V, inciso o) (OP)'!P230</f>
        <v>GRUPO CONSTRUCTOR HISACA, S.A. DE C.V.</v>
      </c>
      <c r="M426" s="7" t="str">
        <f>'[1]V, inciso o) (OP)'!Q230</f>
        <v>GCH070702SH8</v>
      </c>
      <c r="N426" s="11">
        <f t="shared" si="11"/>
        <v>542300</v>
      </c>
      <c r="O426" s="7" t="s">
        <v>40</v>
      </c>
      <c r="P426" s="7" t="s">
        <v>739</v>
      </c>
      <c r="Q426" s="11">
        <f>N426/1</f>
        <v>542300</v>
      </c>
      <c r="R426" s="7" t="s">
        <v>42</v>
      </c>
      <c r="S426" s="15" t="s">
        <v>232</v>
      </c>
      <c r="T426" s="7" t="s">
        <v>43</v>
      </c>
      <c r="U426" s="7" t="s">
        <v>584</v>
      </c>
      <c r="V426" s="13">
        <f>'[1]V, inciso o) (OP)'!AD230</f>
        <v>42989</v>
      </c>
      <c r="W426" s="13">
        <f>'[1]V, inciso o) (OP)'!AE230</f>
        <v>43058</v>
      </c>
      <c r="X426" s="7" t="s">
        <v>924</v>
      </c>
      <c r="Y426" s="7" t="s">
        <v>925</v>
      </c>
      <c r="Z426" s="7" t="s">
        <v>263</v>
      </c>
      <c r="AA426" s="7" t="s">
        <v>40</v>
      </c>
      <c r="AB426" s="7" t="s">
        <v>40</v>
      </c>
    </row>
    <row r="427" spans="1:28" ht="69.95" customHeight="1">
      <c r="A427" s="7">
        <v>2017</v>
      </c>
      <c r="B427" s="7" t="s">
        <v>64</v>
      </c>
      <c r="C427" s="7" t="str">
        <f>'[1]V, inciso o) (OP)'!C231</f>
        <v>DOPI-MUN-R33R-AP-AD-144-2017</v>
      </c>
      <c r="D427" s="13">
        <f>'[1]V, inciso o) (OP)'!V231</f>
        <v>42944</v>
      </c>
      <c r="E427" s="7" t="str">
        <f>'[1]V, inciso o) (OP)'!AA231</f>
        <v>Construcción de red de agua potable y drenaje sanitario en la calle Ramón López Velarde de calle Pablo Neruda a cerrada, y calle Juan José Arreola de calle Pablo Neruda a cerrada, colonia La Coronilla, municipio de Zapopan, Jalisco.</v>
      </c>
      <c r="F427" s="7" t="s">
        <v>1073</v>
      </c>
      <c r="G427" s="11">
        <f>'[1]V, inciso o) (OP)'!Y231</f>
        <v>950235.48</v>
      </c>
      <c r="H427" s="7" t="s">
        <v>1143</v>
      </c>
      <c r="I427" s="7" t="str">
        <f>'[1]V, inciso o) (OP)'!M231</f>
        <v>JOSÉ DE JESÚS</v>
      </c>
      <c r="J427" s="7" t="str">
        <f>'[1]V, inciso o) (OP)'!N231</f>
        <v>PALAFOX</v>
      </c>
      <c r="K427" s="7" t="str">
        <f>'[1]V, inciso o) (OP)'!O231</f>
        <v>VILLEGAS</v>
      </c>
      <c r="L427" s="7" t="str">
        <f>'[1]V, inciso o) (OP)'!P231</f>
        <v>MEGAENLACE CONSTRUCCIÓNES S.A. DE C.V.</v>
      </c>
      <c r="M427" s="7" t="str">
        <f>'[1]V, inciso o) (OP)'!Q231</f>
        <v>MCO1510113H8</v>
      </c>
      <c r="N427" s="11">
        <f t="shared" si="11"/>
        <v>950235.48</v>
      </c>
      <c r="O427" s="7" t="s">
        <v>40</v>
      </c>
      <c r="P427" s="7" t="s">
        <v>746</v>
      </c>
      <c r="Q427" s="11">
        <f>N427/300</f>
        <v>3167.4515999999999</v>
      </c>
      <c r="R427" s="7" t="s">
        <v>42</v>
      </c>
      <c r="S427" s="15">
        <v>268</v>
      </c>
      <c r="T427" s="7" t="s">
        <v>43</v>
      </c>
      <c r="U427" s="7" t="s">
        <v>584</v>
      </c>
      <c r="V427" s="13">
        <f>'[1]V, inciso o) (OP)'!AD231</f>
        <v>42945</v>
      </c>
      <c r="W427" s="13">
        <f>'[1]V, inciso o) (OP)'!AE231</f>
        <v>43028</v>
      </c>
      <c r="X427" s="7" t="s">
        <v>571</v>
      </c>
      <c r="Y427" s="7" t="s">
        <v>572</v>
      </c>
      <c r="Z427" s="7" t="s">
        <v>573</v>
      </c>
      <c r="AA427" s="7" t="s">
        <v>40</v>
      </c>
      <c r="AB427" s="7" t="s">
        <v>40</v>
      </c>
    </row>
    <row r="428" spans="1:28" ht="69.95" customHeight="1">
      <c r="A428" s="7">
        <v>2017</v>
      </c>
      <c r="B428" s="7" t="str">
        <f>'[1]V, inciso p) (OP)'!B203</f>
        <v>Licitación por Invitación Restringida</v>
      </c>
      <c r="C428" s="7" t="str">
        <f>'[1]V, inciso p) (OP)'!D203</f>
        <v>DOPI-MUN-RM-PAV-CI-145-2017</v>
      </c>
      <c r="D428" s="13">
        <f>'[1]V, inciso p) (OP)'!AD203</f>
        <v>42975</v>
      </c>
      <c r="E428" s="7" t="str">
        <f>'[1]V, inciso p) (OP)'!AL203</f>
        <v>Programa emergente de bacheo, renivelaciones y sellado en vialidades, Zonas Norte y Centro, municipio de Zapopan, Jalisco.</v>
      </c>
      <c r="F428" s="7" t="s">
        <v>67</v>
      </c>
      <c r="G428" s="11">
        <f>'[1]V, inciso p) (OP)'!AJ203</f>
        <v>3192151.8</v>
      </c>
      <c r="H428" s="7" t="str">
        <f>'[1]V, inciso p) (OP)'!AS203</f>
        <v>Zonas Norte y Centro</v>
      </c>
      <c r="I428" s="7" t="str">
        <f>'[1]V, inciso p) (OP)'!T203</f>
        <v>MARIO</v>
      </c>
      <c r="J428" s="7" t="str">
        <f>'[1]V, inciso p) (OP)'!U203</f>
        <v>BELTRÁN</v>
      </c>
      <c r="K428" s="7" t="str">
        <f>'[1]V, inciso p) (OP)'!V203</f>
        <v>RODRÍGUEZ Y SUSARREY</v>
      </c>
      <c r="L428" s="7" t="str">
        <f>'[1]V, inciso p) (OP)'!W203</f>
        <v>CONSTRUCTORA Y DESARROLLADORA BARBA Y ASOCIADOS, S.A. DE C.V.</v>
      </c>
      <c r="M428" s="7" t="str">
        <f>'[1]V, inciso p) (OP)'!X203</f>
        <v>CDB0506068Z4</v>
      </c>
      <c r="N428" s="11">
        <f t="shared" si="11"/>
        <v>3192151.8</v>
      </c>
      <c r="O428" s="7" t="s">
        <v>40</v>
      </c>
      <c r="P428" s="14" t="s">
        <v>1144</v>
      </c>
      <c r="Q428" s="12">
        <f>N428/248</f>
        <v>12871.579838709677</v>
      </c>
      <c r="R428" s="7" t="s">
        <v>42</v>
      </c>
      <c r="S428" s="15">
        <v>356804</v>
      </c>
      <c r="T428" s="7" t="s">
        <v>43</v>
      </c>
      <c r="U428" s="7" t="s">
        <v>584</v>
      </c>
      <c r="V428" s="13">
        <f>'[1]V, inciso p) (OP)'!AM203</f>
        <v>42975</v>
      </c>
      <c r="W428" s="13">
        <f>'[1]V, inciso p) (OP)'!AN203</f>
        <v>43035</v>
      </c>
      <c r="X428" s="7" t="s">
        <v>571</v>
      </c>
      <c r="Y428" s="7" t="s">
        <v>572</v>
      </c>
      <c r="Z428" s="7" t="s">
        <v>573</v>
      </c>
      <c r="AA428" s="7" t="s">
        <v>40</v>
      </c>
      <c r="AB428" s="7" t="s">
        <v>40</v>
      </c>
    </row>
    <row r="429" spans="1:28" ht="69.95" customHeight="1">
      <c r="A429" s="7">
        <v>2017</v>
      </c>
      <c r="B429" s="7" t="str">
        <f>'[1]V, inciso p) (OP)'!B204</f>
        <v>Licitación por Invitación Restringida</v>
      </c>
      <c r="C429" s="7" t="str">
        <f>'[1]V, inciso p) (OP)'!D204</f>
        <v>DOPI-MUN-RM-PAV-CI-146-2017</v>
      </c>
      <c r="D429" s="13">
        <f>'[1]V, inciso p) (OP)'!AD204</f>
        <v>42975</v>
      </c>
      <c r="E429" s="7" t="str">
        <f>'[1]V, inciso p) (OP)'!AL204</f>
        <v>Programa emergente de bacheo, renivelaciones y sellado en vialidades, Zonas Sur y Surponiente, municipio de Zapopan, Jalisco.</v>
      </c>
      <c r="F429" s="7" t="s">
        <v>67</v>
      </c>
      <c r="G429" s="11">
        <f>'[1]V, inciso p) (OP)'!AJ204</f>
        <v>3149824.73</v>
      </c>
      <c r="H429" s="7" t="str">
        <f>'[1]V, inciso p) (OP)'!AS204</f>
        <v>Zonas Sur y Surponiente</v>
      </c>
      <c r="I429" s="7" t="str">
        <f>'[1]V, inciso p) (OP)'!T204</f>
        <v>ÁNGEL SALOMÓN</v>
      </c>
      <c r="J429" s="7" t="str">
        <f>'[1]V, inciso p) (OP)'!U204</f>
        <v>RINCÓN</v>
      </c>
      <c r="K429" s="7" t="str">
        <f>'[1]V, inciso p) (OP)'!V204</f>
        <v>DE LA ROSA</v>
      </c>
      <c r="L429" s="7" t="str">
        <f>'[1]V, inciso p) (OP)'!W204</f>
        <v>ARO ASFALTOS Y RIEGOS DE OCCIDENTE, S.A. DE C.V.</v>
      </c>
      <c r="M429" s="7" t="str">
        <f>'[1]V, inciso p) (OP)'!X204</f>
        <v>AAR120507VA9</v>
      </c>
      <c r="N429" s="11">
        <f t="shared" si="11"/>
        <v>3149824.73</v>
      </c>
      <c r="O429" s="7" t="s">
        <v>40</v>
      </c>
      <c r="P429" s="14" t="s">
        <v>1145</v>
      </c>
      <c r="Q429" s="12">
        <f>N429/281</f>
        <v>11209.340676156584</v>
      </c>
      <c r="R429" s="7" t="s">
        <v>42</v>
      </c>
      <c r="S429" s="15">
        <v>398702</v>
      </c>
      <c r="T429" s="7" t="s">
        <v>43</v>
      </c>
      <c r="U429" s="7" t="s">
        <v>584</v>
      </c>
      <c r="V429" s="13">
        <f>'[1]V, inciso p) (OP)'!AM204</f>
        <v>42975</v>
      </c>
      <c r="W429" s="13">
        <f>'[1]V, inciso p) (OP)'!AN204</f>
        <v>43035</v>
      </c>
      <c r="X429" s="7" t="s">
        <v>571</v>
      </c>
      <c r="Y429" s="7" t="s">
        <v>572</v>
      </c>
      <c r="Z429" s="7" t="s">
        <v>573</v>
      </c>
      <c r="AA429" s="7" t="s">
        <v>40</v>
      </c>
      <c r="AB429" s="7" t="s">
        <v>40</v>
      </c>
    </row>
    <row r="430" spans="1:28" ht="69.95" customHeight="1">
      <c r="A430" s="7">
        <v>2017</v>
      </c>
      <c r="B430" s="7" t="str">
        <f>'[1]V, inciso p) (OP)'!B205</f>
        <v>Licitación por Invitación Restringida</v>
      </c>
      <c r="C430" s="7" t="str">
        <f>'[1]V, inciso p) (OP)'!D205</f>
        <v>DOPI-MUN-RM-PAV-CI-147-2017</v>
      </c>
      <c r="D430" s="13">
        <f>'[1]V, inciso p) (OP)'!AD205</f>
        <v>42975</v>
      </c>
      <c r="E430" s="7" t="str">
        <f>'[1]V, inciso p) (OP)'!AL205</f>
        <v>Programa emergente de bacheo, renivelaciones y sellado en vialidades, Zona Poniente, Frente 2, municipio de Zapopan, Jalisco.</v>
      </c>
      <c r="F430" s="7" t="s">
        <v>67</v>
      </c>
      <c r="G430" s="11">
        <f>'[1]V, inciso p) (OP)'!AJ205</f>
        <v>2697299.66</v>
      </c>
      <c r="H430" s="7" t="str">
        <f>'[1]V, inciso p) (OP)'!AS205</f>
        <v>Zona Poniente</v>
      </c>
      <c r="I430" s="7" t="str">
        <f>'[1]V, inciso p) (OP)'!T205</f>
        <v>RODRIGO</v>
      </c>
      <c r="J430" s="7" t="str">
        <f>'[1]V, inciso p) (OP)'!U205</f>
        <v>RAMOS</v>
      </c>
      <c r="K430" s="7" t="str">
        <f>'[1]V, inciso p) (OP)'!V205</f>
        <v>GARIBI</v>
      </c>
      <c r="L430" s="7" t="str">
        <f>'[1]V, inciso p) (OP)'!W205</f>
        <v>METRO ASFALTOS, S.A. DE C.V.</v>
      </c>
      <c r="M430" s="7" t="str">
        <f>'[1]V, inciso p) (OP)'!X205</f>
        <v>CMA070307RU6</v>
      </c>
      <c r="N430" s="11">
        <f t="shared" si="11"/>
        <v>2697299.66</v>
      </c>
      <c r="O430" s="7" t="s">
        <v>40</v>
      </c>
      <c r="P430" s="14" t="s">
        <v>1146</v>
      </c>
      <c r="Q430" s="12">
        <f>N430/210</f>
        <v>12844.284095238096</v>
      </c>
      <c r="R430" s="7" t="s">
        <v>42</v>
      </c>
      <c r="S430" s="15">
        <v>295430</v>
      </c>
      <c r="T430" s="7" t="s">
        <v>43</v>
      </c>
      <c r="U430" s="7" t="s">
        <v>584</v>
      </c>
      <c r="V430" s="13">
        <f>'[1]V, inciso p) (OP)'!AM205</f>
        <v>42975</v>
      </c>
      <c r="W430" s="13">
        <f>'[1]V, inciso p) (OP)'!AN205</f>
        <v>43035</v>
      </c>
      <c r="X430" s="7" t="s">
        <v>571</v>
      </c>
      <c r="Y430" s="7" t="s">
        <v>572</v>
      </c>
      <c r="Z430" s="7" t="s">
        <v>573</v>
      </c>
      <c r="AA430" s="7" t="s">
        <v>40</v>
      </c>
      <c r="AB430" s="7" t="s">
        <v>40</v>
      </c>
    </row>
    <row r="431" spans="1:28" ht="69.95" customHeight="1">
      <c r="A431" s="7">
        <v>2017</v>
      </c>
      <c r="B431" s="7" t="str">
        <f>'[1]V, inciso p) (OP)'!B206</f>
        <v>Licitación por Invitación Restringida</v>
      </c>
      <c r="C431" s="7" t="str">
        <f>'[1]V, inciso p) (OP)'!D206</f>
        <v>DOPI-MUN-RM-PAV-CI-148-2017</v>
      </c>
      <c r="D431" s="13">
        <f>'[1]V, inciso p) (OP)'!AD206</f>
        <v>42975</v>
      </c>
      <c r="E431" s="7" t="str">
        <f>'[1]V, inciso p) (OP)'!AL206</f>
        <v>Programa emergente de bacheo, renivelaciones y sellado en vialidades, Zonas Norte y Norponiente, municipio de Zapopan, Jalisco.</v>
      </c>
      <c r="F431" s="7" t="s">
        <v>67</v>
      </c>
      <c r="G431" s="11">
        <f>'[1]V, inciso p) (OP)'!AJ206</f>
        <v>2255906.54</v>
      </c>
      <c r="H431" s="7" t="str">
        <f>'[1]V, inciso p) (OP)'!AS206</f>
        <v>Zonas Norte y Norponiente</v>
      </c>
      <c r="I431" s="7" t="str">
        <f>'[1]V, inciso p) (OP)'!T206</f>
        <v>JOSÉ DE JESÚS</v>
      </c>
      <c r="J431" s="7" t="str">
        <f>'[1]V, inciso p) (OP)'!U206</f>
        <v>ROMERO</v>
      </c>
      <c r="K431" s="7" t="str">
        <f>'[1]V, inciso p) (OP)'!V206</f>
        <v>GARCÍA</v>
      </c>
      <c r="L431" s="7" t="str">
        <f>'[1]V, inciso p) (OP)'!W206</f>
        <v>URBANIZADORA Y CONSTRUCTORA ROAL, S.A. DE C.V.</v>
      </c>
      <c r="M431" s="7" t="str">
        <f>'[1]V, inciso p) (OP)'!X206</f>
        <v>URC160310857</v>
      </c>
      <c r="N431" s="11">
        <f t="shared" si="11"/>
        <v>2255906.54</v>
      </c>
      <c r="O431" s="7" t="s">
        <v>40</v>
      </c>
      <c r="P431" s="14" t="s">
        <v>1147</v>
      </c>
      <c r="Q431" s="12">
        <f>N431/184</f>
        <v>12260.361630434783</v>
      </c>
      <c r="R431" s="7" t="s">
        <v>42</v>
      </c>
      <c r="S431" s="15">
        <v>276023</v>
      </c>
      <c r="T431" s="7" t="s">
        <v>43</v>
      </c>
      <c r="U431" s="7" t="s">
        <v>584</v>
      </c>
      <c r="V431" s="13">
        <f>'[1]V, inciso p) (OP)'!AM206</f>
        <v>42975</v>
      </c>
      <c r="W431" s="13">
        <f>'[1]V, inciso p) (OP)'!AN206</f>
        <v>43035</v>
      </c>
      <c r="X431" s="7" t="s">
        <v>586</v>
      </c>
      <c r="Y431" s="7" t="s">
        <v>404</v>
      </c>
      <c r="Z431" s="7" t="s">
        <v>405</v>
      </c>
      <c r="AA431" s="7" t="s">
        <v>40</v>
      </c>
      <c r="AB431" s="7" t="s">
        <v>40</v>
      </c>
    </row>
    <row r="432" spans="1:28" ht="69.95" customHeight="1">
      <c r="A432" s="7">
        <v>2017</v>
      </c>
      <c r="B432" s="7" t="str">
        <f>'[1]V, inciso p) (OP)'!B207</f>
        <v>Licitación por Invitación Restringida</v>
      </c>
      <c r="C432" s="7" t="str">
        <f>'[1]V, inciso p) (OP)'!D207</f>
        <v>DOPI-MUN-R33R-DS-CI-149-2017</v>
      </c>
      <c r="D432" s="13">
        <f>'[1]V, inciso p) (OP)'!AD207</f>
        <v>42975</v>
      </c>
      <c r="E432" s="7" t="str">
        <f>'[1]V, inciso p) (OP)'!AL207</f>
        <v>Construcción de colector de aguas negras sobre arroyo, de calle Cholollán a calle Paseo de las Bugambilias,  construcción de drenaje en la calle Paseo del Manzano y calle Nogal en la colonia Mesa de los Ocotes, municipio de Zapopan, Jalisco.</v>
      </c>
      <c r="F432" s="7" t="str">
        <f>'[1]V, inciso p) (OP)'!AR207</f>
        <v>Remanentes del FAISM 2010-2015</v>
      </c>
      <c r="G432" s="11">
        <f>'[1]V, inciso p) (OP)'!AJ207</f>
        <v>4249089</v>
      </c>
      <c r="H432" s="7" t="str">
        <f>'[1]V, inciso p) (OP)'!AS207</f>
        <v>Col. Mesa de los Ocotes</v>
      </c>
      <c r="I432" s="7" t="str">
        <f>'[1]V, inciso p) (OP)'!T207</f>
        <v>OMAR</v>
      </c>
      <c r="J432" s="7" t="str">
        <f>'[1]V, inciso p) (OP)'!U207</f>
        <v>MORA</v>
      </c>
      <c r="K432" s="7" t="str">
        <f>'[1]V, inciso p) (OP)'!V207</f>
        <v>MONTES DE OCA</v>
      </c>
      <c r="L432" s="7" t="str">
        <f>'[1]V, inciso p) (OP)'!W207</f>
        <v>DOMMONT CONSTRUCCIÓNES, S.A. DE C.V.</v>
      </c>
      <c r="M432" s="7" t="str">
        <f>'[1]V, inciso p) (OP)'!X207</f>
        <v>DCO130215C16</v>
      </c>
      <c r="N432" s="11">
        <f t="shared" si="11"/>
        <v>4249089</v>
      </c>
      <c r="O432" s="7" t="s">
        <v>40</v>
      </c>
      <c r="P432" s="14" t="s">
        <v>1148</v>
      </c>
      <c r="Q432" s="12">
        <f>N432/1010</f>
        <v>4207.0188118811884</v>
      </c>
      <c r="R432" s="7" t="s">
        <v>42</v>
      </c>
      <c r="S432" s="15">
        <v>256</v>
      </c>
      <c r="T432" s="7" t="s">
        <v>43</v>
      </c>
      <c r="U432" s="7" t="s">
        <v>584</v>
      </c>
      <c r="V432" s="13">
        <f>'[1]V, inciso p) (OP)'!AM207</f>
        <v>42975</v>
      </c>
      <c r="W432" s="13">
        <f>'[1]V, inciso p) (OP)'!AN207</f>
        <v>43079</v>
      </c>
      <c r="X432" s="7" t="s">
        <v>999</v>
      </c>
      <c r="Y432" s="7" t="s">
        <v>1075</v>
      </c>
      <c r="Z432" s="7" t="s">
        <v>1001</v>
      </c>
      <c r="AA432" s="7" t="s">
        <v>40</v>
      </c>
      <c r="AB432" s="7" t="s">
        <v>40</v>
      </c>
    </row>
    <row r="433" spans="1:28" ht="69.95" customHeight="1">
      <c r="A433" s="7">
        <v>2017</v>
      </c>
      <c r="B433" s="7" t="str">
        <f>'[1]V, inciso p) (OP)'!B208</f>
        <v>Licitación por Invitación Restringida</v>
      </c>
      <c r="C433" s="7" t="str">
        <f>'[1]V, inciso p) (OP)'!D208</f>
        <v>DOPI-MUN-R33-DS-CI-150-2017</v>
      </c>
      <c r="D433" s="13">
        <f>'[1]V, inciso p) (OP)'!AD208</f>
        <v>42975</v>
      </c>
      <c r="E433" s="7" t="str">
        <f>'[1]V, inciso p) (OP)'!AL208</f>
        <v>Construcción de red de agua potable y drenaje sanitario en la colonia Lomas del Centinela 2, municipio de Zapopan, Jalisco. Primera etapa.</v>
      </c>
      <c r="F433" s="7" t="str">
        <f>'[1]V, inciso p) (OP)'!AR208</f>
        <v>Fondo para la Infraestructura Social Municipal 2017</v>
      </c>
      <c r="G433" s="11">
        <f>'[1]V, inciso p) (OP)'!AJ208</f>
        <v>6378234.8399999999</v>
      </c>
      <c r="H433" s="7" t="str">
        <f>'[1]V, inciso p) (OP)'!AS208</f>
        <v>Col. Lomas del Centinela 2</v>
      </c>
      <c r="I433" s="7" t="str">
        <f>'[1]V, inciso p) (OP)'!T208</f>
        <v xml:space="preserve">RODOLFO </v>
      </c>
      <c r="J433" s="7" t="str">
        <f>'[1]V, inciso p) (OP)'!U208</f>
        <v xml:space="preserve">VELAZQUEZ </v>
      </c>
      <c r="K433" s="7" t="str">
        <f>'[1]V, inciso p) (OP)'!V208</f>
        <v>ORDOÑEZ</v>
      </c>
      <c r="L433" s="7" t="str">
        <f>'[1]V, inciso p) (OP)'!W208</f>
        <v>VELAZQUEZ INGENIERIA ECOLOGICA, S.A. DE C.V.</v>
      </c>
      <c r="M433" s="7" t="str">
        <f>'[1]V, inciso p) (OP)'!X208</f>
        <v>VIE110125RL4</v>
      </c>
      <c r="N433" s="11">
        <f t="shared" si="11"/>
        <v>6378234.8399999999</v>
      </c>
      <c r="O433" s="7" t="s">
        <v>40</v>
      </c>
      <c r="P433" s="14" t="s">
        <v>1149</v>
      </c>
      <c r="Q433" s="12">
        <f>N433/650</f>
        <v>9812.668984615384</v>
      </c>
      <c r="R433" s="7" t="s">
        <v>42</v>
      </c>
      <c r="S433" s="15">
        <v>365</v>
      </c>
      <c r="T433" s="7" t="s">
        <v>43</v>
      </c>
      <c r="U433" s="7" t="s">
        <v>584</v>
      </c>
      <c r="V433" s="13">
        <f>'[1]V, inciso p) (OP)'!AM208</f>
        <v>42975</v>
      </c>
      <c r="W433" s="13">
        <f>'[1]V, inciso p) (OP)'!AN208</f>
        <v>43079</v>
      </c>
      <c r="X433" s="7" t="s">
        <v>1150</v>
      </c>
      <c r="Y433" s="7" t="s">
        <v>1151</v>
      </c>
      <c r="Z433" s="7" t="s">
        <v>145</v>
      </c>
      <c r="AA433" s="7" t="s">
        <v>40</v>
      </c>
      <c r="AB433" s="7" t="s">
        <v>40</v>
      </c>
    </row>
    <row r="434" spans="1:28" ht="69.95" customHeight="1">
      <c r="A434" s="7">
        <v>2017</v>
      </c>
      <c r="B434" s="7" t="str">
        <f>'[1]V, inciso p) (OP)'!B209</f>
        <v>Licitación por Invitación Restringida</v>
      </c>
      <c r="C434" s="7" t="str">
        <f>'[1]V, inciso p) (OP)'!D209</f>
        <v>DOPI-MUN-R33R-DS-CI-151-2017</v>
      </c>
      <c r="D434" s="13">
        <f>'[1]V, inciso p) (OP)'!AD209</f>
        <v>42975</v>
      </c>
      <c r="E434" s="7" t="str">
        <f>'[1]V, inciso p) (OP)'!AL209</f>
        <v>Construcción de red de drenaje en las calles Oxtol, Zochiquetzal, Texcoco, Cuaticue, Pachtli y Negri en la colonia Mesa Colorada Poniente, municipio de Zapopan, Jalisco.</v>
      </c>
      <c r="F434" s="7" t="str">
        <f>'[1]V, inciso p) (OP)'!AR209</f>
        <v>Remanentes del FAISM 2010-2015</v>
      </c>
      <c r="G434" s="11">
        <f>'[1]V, inciso p) (OP)'!AJ209</f>
        <v>6048490.1900000004</v>
      </c>
      <c r="H434" s="7" t="str">
        <f>'[1]V, inciso p) (OP)'!AS209</f>
        <v>Col. Mesa Colorada</v>
      </c>
      <c r="I434" s="7" t="str">
        <f>'[1]V, inciso p) (OP)'!T209</f>
        <v xml:space="preserve">EDUARDO </v>
      </c>
      <c r="J434" s="7" t="str">
        <f>'[1]V, inciso p) (OP)'!U209</f>
        <v>CRUZ</v>
      </c>
      <c r="K434" s="7" t="str">
        <f>'[1]V, inciso p) (OP)'!V209</f>
        <v>MOGUEL</v>
      </c>
      <c r="L434" s="7" t="str">
        <f>'[1]V, inciso p) (OP)'!W209</f>
        <v>BALKEN, S.A. DE C.V.</v>
      </c>
      <c r="M434" s="7" t="str">
        <f>'[1]V, inciso p) (OP)'!X209</f>
        <v>BAL990803661</v>
      </c>
      <c r="N434" s="11">
        <f t="shared" si="11"/>
        <v>6048490.1900000004</v>
      </c>
      <c r="O434" s="7" t="s">
        <v>40</v>
      </c>
      <c r="P434" s="14" t="s">
        <v>1152</v>
      </c>
      <c r="Q434" s="12">
        <f>N434/1045</f>
        <v>5788.0288899521538</v>
      </c>
      <c r="R434" s="7" t="s">
        <v>42</v>
      </c>
      <c r="S434" s="15">
        <v>121</v>
      </c>
      <c r="T434" s="7" t="s">
        <v>43</v>
      </c>
      <c r="U434" s="7" t="s">
        <v>584</v>
      </c>
      <c r="V434" s="13">
        <f>'[1]V, inciso p) (OP)'!AM209</f>
        <v>42975</v>
      </c>
      <c r="W434" s="13">
        <f>'[1]V, inciso p) (OP)'!AN209</f>
        <v>43079</v>
      </c>
      <c r="X434" s="7" t="s">
        <v>556</v>
      </c>
      <c r="Y434" s="7" t="s">
        <v>557</v>
      </c>
      <c r="Z434" s="7" t="s">
        <v>558</v>
      </c>
      <c r="AA434" s="7" t="s">
        <v>40</v>
      </c>
      <c r="AB434" s="7" t="s">
        <v>40</v>
      </c>
    </row>
    <row r="435" spans="1:28" ht="69.95" customHeight="1">
      <c r="A435" s="7">
        <v>2017</v>
      </c>
      <c r="B435" s="7" t="str">
        <f>'[1]V, inciso p) (OP)'!B210</f>
        <v>Licitación por Invitación Restringida</v>
      </c>
      <c r="C435" s="7" t="str">
        <f>'[1]V, inciso p) (OP)'!D210</f>
        <v>DOPI-MUN-R33R-IH-CI-152-2017</v>
      </c>
      <c r="D435" s="13">
        <f>'[1]V, inciso p) (OP)'!AD210</f>
        <v>42975</v>
      </c>
      <c r="E435" s="7" t="str">
        <f>'[1]V, inciso p) (OP)'!AL210</f>
        <v>Construcción de línea de conducción del poblado San Rafael hasta el poblado Río Blanco y construcción de línea de conducción del pozo al tanque en el poblado de Río Blanco en la colonia San Rafael y Río Blanco, Municipio de Zapopan, Jalisco.</v>
      </c>
      <c r="F435" s="7" t="str">
        <f>'[1]V, inciso p) (OP)'!AR210</f>
        <v>Remanentes del FAISM 2010-2015</v>
      </c>
      <c r="G435" s="11">
        <f>'[1]V, inciso p) (OP)'!AJ210</f>
        <v>2284098.15</v>
      </c>
      <c r="H435" s="7" t="str">
        <f>'[1]V, inciso p) (OP)'!AS210</f>
        <v>Col. San Rafael y Rio Blanco</v>
      </c>
      <c r="I435" s="7" t="str">
        <f>'[1]V, inciso p) (OP)'!T210</f>
        <v xml:space="preserve">EDUARDO </v>
      </c>
      <c r="J435" s="7" t="str">
        <f>'[1]V, inciso p) (OP)'!U210</f>
        <v>MORA</v>
      </c>
      <c r="K435" s="7" t="str">
        <f>'[1]V, inciso p) (OP)'!V210</f>
        <v>BLACKALLER</v>
      </c>
      <c r="L435" s="7" t="str">
        <f>'[1]V, inciso p) (OP)'!W210</f>
        <v>GRUPO CONSTRUCTOR INNOBLACK, S.A. DE C.V.</v>
      </c>
      <c r="M435" s="7" t="str">
        <f>'[1]V, inciso p) (OP)'!X210</f>
        <v>GCI070523CW4</v>
      </c>
      <c r="N435" s="11">
        <f t="shared" si="11"/>
        <v>2284098.15</v>
      </c>
      <c r="O435" s="7" t="s">
        <v>40</v>
      </c>
      <c r="P435" s="14" t="s">
        <v>1153</v>
      </c>
      <c r="Q435" s="12">
        <f>N435/3205</f>
        <v>712.66712948517943</v>
      </c>
      <c r="R435" s="7" t="s">
        <v>42</v>
      </c>
      <c r="S435" s="15">
        <v>205</v>
      </c>
      <c r="T435" s="7" t="s">
        <v>43</v>
      </c>
      <c r="U435" s="7" t="s">
        <v>584</v>
      </c>
      <c r="V435" s="13">
        <f>'[1]V, inciso p) (OP)'!AM210</f>
        <v>42975</v>
      </c>
      <c r="W435" s="13">
        <f>'[1]V, inciso p) (OP)'!AN210</f>
        <v>43079</v>
      </c>
      <c r="X435" s="7" t="s">
        <v>699</v>
      </c>
      <c r="Y435" s="7" t="s">
        <v>513</v>
      </c>
      <c r="Z435" s="7" t="s">
        <v>280</v>
      </c>
      <c r="AA435" s="7" t="s">
        <v>40</v>
      </c>
      <c r="AB435" s="7" t="s">
        <v>40</v>
      </c>
    </row>
    <row r="436" spans="1:28" ht="69.95" customHeight="1">
      <c r="A436" s="7">
        <v>2017</v>
      </c>
      <c r="B436" s="7" t="str">
        <f>'[1]V, inciso p) (OP)'!B211</f>
        <v>Licitación por Invitación Restringida</v>
      </c>
      <c r="C436" s="7" t="str">
        <f>'[1]V, inciso p) (OP)'!D211</f>
        <v>DOPI-MUN-R33R-IH-CI-153-2017</v>
      </c>
      <c r="D436" s="13">
        <f>'[1]V, inciso p) (OP)'!AD211</f>
        <v>42975</v>
      </c>
      <c r="E436" s="7" t="str">
        <f>'[1]V, inciso p) (OP)'!AL211</f>
        <v>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v>
      </c>
      <c r="F436" s="7" t="str">
        <f>'[1]V, inciso p) (OP)'!AR211</f>
        <v>Remanentes del FAISM 2010-2015</v>
      </c>
      <c r="G436" s="11">
        <f>'[1]V, inciso p) (OP)'!AJ211</f>
        <v>3699901.7</v>
      </c>
      <c r="H436" s="7" t="str">
        <f>'[1]V, inciso p) (OP)'!AS211</f>
        <v>Colonias La Vinatera y Ejido Copalita</v>
      </c>
      <c r="I436" s="7" t="str">
        <f>'[1]V, inciso p) (OP)'!T211</f>
        <v>MIGUEL ÁNGEL</v>
      </c>
      <c r="J436" s="7" t="str">
        <f>'[1]V, inciso p) (OP)'!U211</f>
        <v>ROMERO</v>
      </c>
      <c r="K436" s="7" t="str">
        <f>'[1]V, inciso p) (OP)'!V211</f>
        <v>LUGO</v>
      </c>
      <c r="L436" s="7" t="str">
        <f>'[1]V, inciso p) (OP)'!W211</f>
        <v>OBRAS Y COMERCIALIZACION DE LA CONSTRUCCIÓN, S.A. DE C.V.</v>
      </c>
      <c r="M436" s="7" t="str">
        <f>'[1]V, inciso p) (OP)'!X211</f>
        <v>OCC940714PB0</v>
      </c>
      <c r="N436" s="11">
        <f t="shared" si="11"/>
        <v>3699901.7</v>
      </c>
      <c r="O436" s="7" t="s">
        <v>40</v>
      </c>
      <c r="P436" s="14" t="s">
        <v>1154</v>
      </c>
      <c r="Q436" s="12">
        <f>N436/2122</f>
        <v>1743.591753063148</v>
      </c>
      <c r="R436" s="7" t="s">
        <v>42</v>
      </c>
      <c r="S436" s="15">
        <v>106</v>
      </c>
      <c r="T436" s="7" t="s">
        <v>43</v>
      </c>
      <c r="U436" s="7" t="s">
        <v>584</v>
      </c>
      <c r="V436" s="13">
        <f>'[1]V, inciso p) (OP)'!AM211</f>
        <v>42975</v>
      </c>
      <c r="W436" s="13">
        <f>'[1]V, inciso p) (OP)'!AN211</f>
        <v>43079</v>
      </c>
      <c r="X436" s="7" t="s">
        <v>544</v>
      </c>
      <c r="Y436" s="7" t="s">
        <v>545</v>
      </c>
      <c r="Z436" s="7" t="s">
        <v>212</v>
      </c>
      <c r="AA436" s="7" t="s">
        <v>40</v>
      </c>
      <c r="AB436" s="7" t="s">
        <v>40</v>
      </c>
    </row>
    <row r="437" spans="1:28" ht="69.95" customHeight="1">
      <c r="A437" s="7">
        <v>2017</v>
      </c>
      <c r="B437" s="7" t="str">
        <f>'[1]V, inciso p) (OP)'!B212</f>
        <v>Licitación por Invitación Restringida</v>
      </c>
      <c r="C437" s="7" t="str">
        <f>'[1]V, inciso p) (OP)'!D212</f>
        <v>DOPI-MUN-R33R-PAV-CI-154-2017</v>
      </c>
      <c r="D437" s="13">
        <f>'[1]V, inciso p) (OP)'!AD212</f>
        <v>42975</v>
      </c>
      <c r="E437" s="7" t="str">
        <f>'[1]V, inciso p) (OP)'!AL212</f>
        <v>Pavimentación de las calles Cofradía y Panteón, incluye: red de agua potable y de drenaje sanitario en la colonia La Venta del Astillero, municipio de Zapopan, Jalisco.</v>
      </c>
      <c r="F437" s="7" t="str">
        <f>'[1]V, inciso p) (OP)'!AR212</f>
        <v>Remanentes del FAISM 2010-2015</v>
      </c>
      <c r="G437" s="11">
        <f>'[1]V, inciso p) (OP)'!AJ212</f>
        <v>3973341.33</v>
      </c>
      <c r="H437" s="7" t="str">
        <f>'[1]V, inciso p) (OP)'!AS212</f>
        <v>Col. Venta del Astillero</v>
      </c>
      <c r="I437" s="7" t="str">
        <f>'[1]V, inciso p) (OP)'!T212</f>
        <v>EDWIN</v>
      </c>
      <c r="J437" s="7" t="str">
        <f>'[1]V, inciso p) (OP)'!U212</f>
        <v>AGUIAR</v>
      </c>
      <c r="K437" s="7" t="str">
        <f>'[1]V, inciso p) (OP)'!V212</f>
        <v>ESCATEL</v>
      </c>
      <c r="L437" s="7" t="str">
        <f>'[1]V, inciso p) (OP)'!W212</f>
        <v>MANJARREZ URBANIZACIONES, S.A. DE C.V.</v>
      </c>
      <c r="M437" s="7" t="str">
        <f>'[1]V, inciso p) (OP)'!X212</f>
        <v>MUR090325P33</v>
      </c>
      <c r="N437" s="11">
        <f t="shared" si="11"/>
        <v>3973341.33</v>
      </c>
      <c r="O437" s="7" t="s">
        <v>40</v>
      </c>
      <c r="P437" s="14" t="s">
        <v>1155</v>
      </c>
      <c r="Q437" s="12">
        <f>N437/1709</f>
        <v>2324.951041544763</v>
      </c>
      <c r="R437" s="7" t="s">
        <v>42</v>
      </c>
      <c r="S437" s="15">
        <v>625</v>
      </c>
      <c r="T437" s="7" t="s">
        <v>43</v>
      </c>
      <c r="U437" s="7" t="s">
        <v>584</v>
      </c>
      <c r="V437" s="13">
        <f>'[1]V, inciso p) (OP)'!AM212</f>
        <v>42975</v>
      </c>
      <c r="W437" s="13">
        <f>'[1]V, inciso p) (OP)'!AN212</f>
        <v>43079</v>
      </c>
      <c r="X437" s="7" t="s">
        <v>1150</v>
      </c>
      <c r="Y437" s="7" t="s">
        <v>1151</v>
      </c>
      <c r="Z437" s="7" t="s">
        <v>145</v>
      </c>
      <c r="AA437" s="7" t="s">
        <v>40</v>
      </c>
      <c r="AB437" s="7" t="s">
        <v>40</v>
      </c>
    </row>
    <row r="438" spans="1:28" ht="69.95" customHeight="1">
      <c r="A438" s="7">
        <v>2017</v>
      </c>
      <c r="B438" s="7" t="str">
        <f>'[1]V, inciso p) (OP)'!B213</f>
        <v>Licitación por Invitación Restringida</v>
      </c>
      <c r="C438" s="7" t="str">
        <f>'[1]V, inciso p) (OP)'!D213</f>
        <v>DOPI-MUN-R33R-PAV-CI-155-2017</v>
      </c>
      <c r="D438" s="13">
        <f>'[1]V, inciso p) (OP)'!AD213</f>
        <v>42975</v>
      </c>
      <c r="E438" s="7" t="str">
        <f>'[1]V, inciso p) (OP)'!AL213</f>
        <v>Pavimentación de la calle Manzanos y andadores en la colonia Agua Fría, municipio de Zapopan, Jalisco.</v>
      </c>
      <c r="F438" s="7" t="str">
        <f>'[1]V, inciso p) (OP)'!AR213</f>
        <v>Remanentes del FAISM 2010-2015</v>
      </c>
      <c r="G438" s="11">
        <f>'[1]V, inciso p) (OP)'!AJ213</f>
        <v>4555855.34</v>
      </c>
      <c r="H438" s="7" t="str">
        <f>'[1]V, inciso p) (OP)'!AS213</f>
        <v>Col. Agua Fria</v>
      </c>
      <c r="I438" s="7" t="str">
        <f>'[1]V, inciso p) (OP)'!T213</f>
        <v xml:space="preserve">MARCO ANTONIO </v>
      </c>
      <c r="J438" s="7" t="str">
        <f>'[1]V, inciso p) (OP)'!U213</f>
        <v>LOZANO</v>
      </c>
      <c r="K438" s="7" t="str">
        <f>'[1]V, inciso p) (OP)'!V213</f>
        <v>ESTRADA</v>
      </c>
      <c r="L438" s="7" t="str">
        <f>'[1]V, inciso p) (OP)'!W213</f>
        <v>DESARROLLADORA FULHAM S. DE R.L. DE C.V.</v>
      </c>
      <c r="M438" s="7" t="str">
        <f>'[1]V, inciso p) (OP)'!X213</f>
        <v>DFU090928JB5</v>
      </c>
      <c r="N438" s="11">
        <f t="shared" si="11"/>
        <v>4555855.34</v>
      </c>
      <c r="O438" s="7" t="s">
        <v>40</v>
      </c>
      <c r="P438" s="14" t="s">
        <v>1156</v>
      </c>
      <c r="Q438" s="12">
        <f>N438/1897</f>
        <v>2401.6106167633102</v>
      </c>
      <c r="R438" s="7" t="s">
        <v>42</v>
      </c>
      <c r="S438" s="15">
        <v>621</v>
      </c>
      <c r="T438" s="7" t="s">
        <v>43</v>
      </c>
      <c r="U438" s="7" t="s">
        <v>584</v>
      </c>
      <c r="V438" s="13">
        <f>'[1]V, inciso p) (OP)'!AM213</f>
        <v>42975</v>
      </c>
      <c r="W438" s="13">
        <f>'[1]V, inciso p) (OP)'!AN213</f>
        <v>43079</v>
      </c>
      <c r="X438" s="7" t="s">
        <v>1150</v>
      </c>
      <c r="Y438" s="7" t="s">
        <v>1151</v>
      </c>
      <c r="Z438" s="7" t="s">
        <v>145</v>
      </c>
      <c r="AA438" s="7" t="s">
        <v>40</v>
      </c>
      <c r="AB438" s="7" t="s">
        <v>40</v>
      </c>
    </row>
    <row r="439" spans="1:28" ht="69.95" customHeight="1">
      <c r="A439" s="7">
        <v>2017</v>
      </c>
      <c r="B439" s="7" t="str">
        <f>'[1]V, inciso p) (OP)'!B214</f>
        <v>Licitación por Invitación Restringida</v>
      </c>
      <c r="C439" s="7" t="str">
        <f>'[1]V, inciso p) (OP)'!D214</f>
        <v>DOPI-MUN-R33R-DS-CI-157-2017</v>
      </c>
      <c r="D439" s="13">
        <f>'[1]V, inciso p) (OP)'!AD214</f>
        <v>42975</v>
      </c>
      <c r="E439" s="7" t="str">
        <f>'[1]V, inciso p) (OP)'!AL214</f>
        <v>Construcción de Colector y red de drenaje sanitario en las calles Naranjo, Mandarina, Chabacano, Limón, Manzano, Mango, Las Torres, Guamúchil y Capulín en la colonia Colinas del Rio, municipio de Zapopan, Jalisco. Frente 1.</v>
      </c>
      <c r="F439" s="7" t="str">
        <f>'[1]V, inciso p) (OP)'!AR214</f>
        <v>Remanentes del FAISM 2010-2015</v>
      </c>
      <c r="G439" s="11">
        <f>'[1]V, inciso p) (OP)'!AJ214</f>
        <v>4388451.67</v>
      </c>
      <c r="H439" s="7" t="str">
        <f>'[1]V, inciso p) (OP)'!AS214</f>
        <v>Col. Colinas del Rio</v>
      </c>
      <c r="I439" s="7" t="str">
        <f>'[1]V, inciso p) (OP)'!T214</f>
        <v>CLAUDIO FELIPE</v>
      </c>
      <c r="J439" s="7" t="str">
        <f>'[1]V, inciso p) (OP)'!U214</f>
        <v>TRUJILLO</v>
      </c>
      <c r="K439" s="7" t="str">
        <f>'[1]V, inciso p) (OP)'!V214</f>
        <v>GRACIAN</v>
      </c>
      <c r="L439" s="7" t="str">
        <f>'[1]V, inciso p) (OP)'!W214</f>
        <v>DESARROLLADORA LUMADI, S.A. DE C.V.</v>
      </c>
      <c r="M439" s="7" t="str">
        <f>'[1]V, inciso p) (OP)'!X214</f>
        <v>DLU100818F46</v>
      </c>
      <c r="N439" s="11">
        <f t="shared" si="11"/>
        <v>4388451.67</v>
      </c>
      <c r="O439" s="7" t="s">
        <v>40</v>
      </c>
      <c r="P439" s="14" t="s">
        <v>1157</v>
      </c>
      <c r="Q439" s="12">
        <f>N439/98</f>
        <v>44780.119081632649</v>
      </c>
      <c r="R439" s="7" t="s">
        <v>42</v>
      </c>
      <c r="S439" s="15">
        <v>412</v>
      </c>
      <c r="T439" s="7" t="s">
        <v>43</v>
      </c>
      <c r="U439" s="7" t="s">
        <v>584</v>
      </c>
      <c r="V439" s="13">
        <f>'[1]V, inciso p) (OP)'!AM214</f>
        <v>42975</v>
      </c>
      <c r="W439" s="13">
        <f>'[1]V, inciso p) (OP)'!AN214</f>
        <v>43079</v>
      </c>
      <c r="X439" s="7" t="s">
        <v>974</v>
      </c>
      <c r="Y439" s="7" t="s">
        <v>1158</v>
      </c>
      <c r="Z439" s="7" t="s">
        <v>139</v>
      </c>
      <c r="AA439" s="7" t="s">
        <v>40</v>
      </c>
      <c r="AB439" s="7" t="s">
        <v>40</v>
      </c>
    </row>
    <row r="440" spans="1:28" ht="69.95" customHeight="1">
      <c r="A440" s="7">
        <v>2017</v>
      </c>
      <c r="B440" s="7" t="str">
        <f>'[1]V, inciso p) (OP)'!B215</f>
        <v>Licitación por Invitación Restringida</v>
      </c>
      <c r="C440" s="7" t="str">
        <f>'[1]V, inciso p) (OP)'!D215</f>
        <v>DOPI-MUN-R33R-PAV-CI-158-2017</v>
      </c>
      <c r="D440" s="13">
        <f>'[1]V, inciso p) (OP)'!AD215</f>
        <v>42975</v>
      </c>
      <c r="E440" s="7" t="str">
        <f>'[1]V, inciso p) (OP)'!AL215</f>
        <v>Pavimentación con concreto hidráulico y complemento de las redes de agua potable y drenaje sanitario en calles de la colonia El Fresno, incluye: guarniciones, banquetas, servicios complementarios y señalética, en el municipio de Zapopan, Jalisco, primera etapa, frente 1.</v>
      </c>
      <c r="F440" s="7" t="str">
        <f>'[1]V, inciso p) (OP)'!AR215</f>
        <v>Remanentes del FAISM 2010-2015</v>
      </c>
      <c r="G440" s="11">
        <f>'[1]V, inciso p) (OP)'!AJ215</f>
        <v>3902689.29</v>
      </c>
      <c r="H440" s="7" t="str">
        <f>'[1]V, inciso p) (OP)'!AS215</f>
        <v>Col. El Fresno</v>
      </c>
      <c r="I440" s="7" t="str">
        <f>'[1]V, inciso p) (OP)'!T215</f>
        <v>JUAN JOSÉ</v>
      </c>
      <c r="J440" s="7" t="str">
        <f>'[1]V, inciso p) (OP)'!U215</f>
        <v>GUTIÉRREZ</v>
      </c>
      <c r="K440" s="7" t="str">
        <f>'[1]V, inciso p) (OP)'!V215</f>
        <v>CONTRERAS</v>
      </c>
      <c r="L440" s="7" t="str">
        <f>'[1]V, inciso p) (OP)'!W215</f>
        <v>RENCOIST CONSTRUCCIÓNES, S.A. DE C.V.</v>
      </c>
      <c r="M440" s="7" t="str">
        <f>'[1]V, inciso p) (OP)'!X215</f>
        <v>RCO130920JX9</v>
      </c>
      <c r="N440" s="11">
        <f t="shared" si="11"/>
        <v>3902689.29</v>
      </c>
      <c r="O440" s="7" t="s">
        <v>40</v>
      </c>
      <c r="P440" s="14" t="s">
        <v>1159</v>
      </c>
      <c r="Q440" s="12">
        <f>N440/2086</f>
        <v>1870.8961121764141</v>
      </c>
      <c r="R440" s="7" t="s">
        <v>42</v>
      </c>
      <c r="S440" s="15">
        <v>354</v>
      </c>
      <c r="T440" s="7" t="s">
        <v>43</v>
      </c>
      <c r="U440" s="7" t="s">
        <v>584</v>
      </c>
      <c r="V440" s="13">
        <f>'[1]V, inciso p) (OP)'!AM215</f>
        <v>42975</v>
      </c>
      <c r="W440" s="13">
        <f>'[1]V, inciso p) (OP)'!AN215</f>
        <v>43079</v>
      </c>
      <c r="X440" s="7" t="s">
        <v>1062</v>
      </c>
      <c r="Y440" s="7" t="s">
        <v>1063</v>
      </c>
      <c r="Z440" s="7" t="s">
        <v>254</v>
      </c>
      <c r="AA440" s="7" t="s">
        <v>40</v>
      </c>
      <c r="AB440" s="7" t="s">
        <v>40</v>
      </c>
    </row>
    <row r="441" spans="1:28" ht="69.95" customHeight="1">
      <c r="A441" s="7">
        <v>2017</v>
      </c>
      <c r="B441" s="7" t="str">
        <f>'[1]V, inciso p) (OP)'!B216</f>
        <v>Licitación por Invitación Restringida</v>
      </c>
      <c r="C441" s="7" t="str">
        <f>'[1]V, inciso p) (OP)'!D216</f>
        <v>DOPI-MUN-R33R-DS-CI-159-2017</v>
      </c>
      <c r="D441" s="13">
        <f>'[1]V, inciso p) (OP)'!AD216</f>
        <v>42975</v>
      </c>
      <c r="E441" s="7" t="str">
        <f>'[1]V, inciso p) (OP)'!AL216</f>
        <v>Construcción de Red de drenaje sanitario y línea de alejamiento en calles de la Colonia Rancho El Colorado, municipio de Zapopan, Jalisco. Frente 1.</v>
      </c>
      <c r="F441" s="7" t="str">
        <f>'[1]V, inciso p) (OP)'!AR216</f>
        <v>Remanentes del FAISM 2010-2015</v>
      </c>
      <c r="G441" s="11">
        <f>'[1]V, inciso p) (OP)'!AJ216</f>
        <v>4300702.76</v>
      </c>
      <c r="H441" s="7" t="str">
        <f>'[1]V, inciso p) (OP)'!AS216</f>
        <v>Col. Rancho el Colorado</v>
      </c>
      <c r="I441" s="7" t="str">
        <f>'[1]V, inciso p) (OP)'!T216</f>
        <v>ELVIA ALEJANDRA</v>
      </c>
      <c r="J441" s="7" t="str">
        <f>'[1]V, inciso p) (OP)'!U216</f>
        <v>TORRES</v>
      </c>
      <c r="K441" s="7" t="str">
        <f>'[1]V, inciso p) (OP)'!V216</f>
        <v>VILLA</v>
      </c>
      <c r="L441" s="7" t="str">
        <f>'[1]V, inciso p) (OP)'!W216</f>
        <v>PROCOURZA, S.A. DE C.V.</v>
      </c>
      <c r="M441" s="7" t="str">
        <f>'[1]V, inciso p) (OP)'!X216</f>
        <v>PRO0205208F2</v>
      </c>
      <c r="N441" s="11">
        <f t="shared" si="11"/>
        <v>4300702.76</v>
      </c>
      <c r="O441" s="7" t="s">
        <v>40</v>
      </c>
      <c r="P441" s="14" t="s">
        <v>1160</v>
      </c>
      <c r="Q441" s="12">
        <f>N441/789</f>
        <v>5450.8273257287701</v>
      </c>
      <c r="R441" s="7" t="s">
        <v>42</v>
      </c>
      <c r="S441" s="15">
        <v>698</v>
      </c>
      <c r="T441" s="7" t="s">
        <v>43</v>
      </c>
      <c r="U441" s="7" t="s">
        <v>584</v>
      </c>
      <c r="V441" s="13">
        <f>'[1]V, inciso p) (OP)'!AM216</f>
        <v>42975</v>
      </c>
      <c r="W441" s="13">
        <f>'[1]V, inciso p) (OP)'!AN216</f>
        <v>43079</v>
      </c>
      <c r="X441" s="7" t="s">
        <v>1150</v>
      </c>
      <c r="Y441" s="7" t="s">
        <v>1151</v>
      </c>
      <c r="Z441" s="7" t="s">
        <v>145</v>
      </c>
      <c r="AA441" s="7" t="s">
        <v>40</v>
      </c>
      <c r="AB441" s="7" t="s">
        <v>40</v>
      </c>
    </row>
    <row r="442" spans="1:28" ht="69.95" customHeight="1">
      <c r="A442" s="7">
        <v>2017</v>
      </c>
      <c r="B442" s="7" t="str">
        <f>'[1]V, inciso p) (OP)'!B217</f>
        <v>Licitación por Invitación Restringida</v>
      </c>
      <c r="C442" s="7" t="str">
        <f>'[1]V, inciso p) (OP)'!D217</f>
        <v>DOPI-MUN-R33R-DS-CI-160-2017</v>
      </c>
      <c r="D442" s="13">
        <f>'[1]V, inciso p) (OP)'!AD217</f>
        <v>42975</v>
      </c>
      <c r="E442" s="7" t="str">
        <f>'[1]V, inciso p) (OP)'!AL217</f>
        <v>Construcción de Red de drenaje sanitario y línea de alejamiento en calles de la Colonia Rancho El Colorado, municipio de Zapopan, Jalisco. Frente 2.</v>
      </c>
      <c r="F442" s="7" t="str">
        <f>'[1]V, inciso p) (OP)'!AR217</f>
        <v>Remanentes del FAISM 2010-2015</v>
      </c>
      <c r="G442" s="11">
        <f>'[1]V, inciso p) (OP)'!AJ217</f>
        <v>4367052.4800000004</v>
      </c>
      <c r="H442" s="7" t="str">
        <f>'[1]V, inciso p) (OP)'!AS217</f>
        <v>Col. Rancho el Colorado</v>
      </c>
      <c r="I442" s="7" t="str">
        <f>'[1]V, inciso p) (OP)'!T217</f>
        <v>MARÍA ARCELIA</v>
      </c>
      <c r="J442" s="7" t="str">
        <f>'[1]V, inciso p) (OP)'!U217</f>
        <v>IÑIGUEZ</v>
      </c>
      <c r="K442" s="7" t="str">
        <f>'[1]V, inciso p) (OP)'!V217</f>
        <v>HERNÁNDEZ</v>
      </c>
      <c r="L442" s="7" t="str">
        <f>'[1]V, inciso p) (OP)'!W217</f>
        <v>COMERCIALIZADORA POLIGONO, S..A DE C.V.</v>
      </c>
      <c r="M442" s="7" t="str">
        <f>'[1]V, inciso p) (OP)'!X217</f>
        <v>COP1209104M8</v>
      </c>
      <c r="N442" s="11">
        <f t="shared" si="11"/>
        <v>4367052.4800000004</v>
      </c>
      <c r="O442" s="7" t="s">
        <v>40</v>
      </c>
      <c r="P442" s="14" t="s">
        <v>1161</v>
      </c>
      <c r="Q442" s="12">
        <f>N442/760</f>
        <v>5746.1216842105268</v>
      </c>
      <c r="R442" s="7" t="s">
        <v>42</v>
      </c>
      <c r="S442" s="15">
        <v>698</v>
      </c>
      <c r="T442" s="7" t="s">
        <v>43</v>
      </c>
      <c r="U442" s="7" t="s">
        <v>584</v>
      </c>
      <c r="V442" s="13">
        <f>'[1]V, inciso p) (OP)'!AM217</f>
        <v>42975</v>
      </c>
      <c r="W442" s="13">
        <f>'[1]V, inciso p) (OP)'!AN217</f>
        <v>43079</v>
      </c>
      <c r="X442" s="7" t="s">
        <v>1150</v>
      </c>
      <c r="Y442" s="7" t="s">
        <v>1151</v>
      </c>
      <c r="Z442" s="7" t="s">
        <v>145</v>
      </c>
      <c r="AA442" s="7" t="s">
        <v>40</v>
      </c>
      <c r="AB442" s="7" t="s">
        <v>40</v>
      </c>
    </row>
    <row r="443" spans="1:28" ht="69.95" customHeight="1">
      <c r="A443" s="7">
        <v>2017</v>
      </c>
      <c r="B443" s="7" t="str">
        <f>'[1]V, inciso p) (OP)'!B218</f>
        <v>Licitación por Invitación Restringida</v>
      </c>
      <c r="C443" s="7" t="str">
        <f>'[1]V, inciso p) (OP)'!D218</f>
        <v>DOPI-MUN-R33R-DP-CI-161-2017</v>
      </c>
      <c r="D443" s="13">
        <f>'[1]V, inciso p) (OP)'!AD218</f>
        <v>42985</v>
      </c>
      <c r="E443" s="7" t="str">
        <f>'[1]V, inciso p) (OP)'!AL218</f>
        <v xml:space="preserve">Construcción de drenaje pluvial en la calle Santa Mercedez de Av. Tesistán a Av. Jesús, colonia Tuzania Ejidal, municipio de Zapopan, Jalisco. </v>
      </c>
      <c r="F443" s="7" t="str">
        <f>'[1]V, inciso p) (OP)'!AR218</f>
        <v>Remanentes del FAISM 2010-2015</v>
      </c>
      <c r="G443" s="11">
        <f>'[1]V, inciso p) (OP)'!AJ218</f>
        <v>3237831.14</v>
      </c>
      <c r="H443" s="7" t="str">
        <f>'[1]V, inciso p) (OP)'!AS218</f>
        <v>Colonia Tuzania Ejidal</v>
      </c>
      <c r="I443" s="7" t="str">
        <f>'[1]V, inciso p) (OP)'!T218</f>
        <v>JAVIER</v>
      </c>
      <c r="J443" s="7" t="str">
        <f>'[1]V, inciso p) (OP)'!U218</f>
        <v xml:space="preserve">ÁVILA </v>
      </c>
      <c r="K443" s="7" t="str">
        <f>'[1]V, inciso p) (OP)'!V218</f>
        <v>FLORES</v>
      </c>
      <c r="L443" s="7" t="str">
        <f>'[1]V, inciso p) (OP)'!W218</f>
        <v>SAVHO CONSULTORÍA Y CONSTRUCCIÓN, S.A. DE C.V.</v>
      </c>
      <c r="M443" s="7" t="str">
        <f>'[1]V, inciso p) (OP)'!X218</f>
        <v>SCC060622HZ3</v>
      </c>
      <c r="N443" s="11">
        <f t="shared" si="11"/>
        <v>3237831.14</v>
      </c>
      <c r="O443" s="7" t="s">
        <v>40</v>
      </c>
      <c r="P443" s="14" t="s">
        <v>1162</v>
      </c>
      <c r="Q443" s="12">
        <f>N443/282</f>
        <v>11481.670709219859</v>
      </c>
      <c r="R443" s="7" t="s">
        <v>42</v>
      </c>
      <c r="S443" s="15">
        <v>963</v>
      </c>
      <c r="T443" s="7" t="s">
        <v>43</v>
      </c>
      <c r="U443" s="7" t="s">
        <v>584</v>
      </c>
      <c r="V443" s="13">
        <f>'[1]V, inciso p) (OP)'!AM218</f>
        <v>42986</v>
      </c>
      <c r="W443" s="13">
        <f>'[1]V, inciso p) (OP)'!AN218</f>
        <v>43083</v>
      </c>
      <c r="X443" s="7" t="s">
        <v>571</v>
      </c>
      <c r="Y443" s="7" t="s">
        <v>572</v>
      </c>
      <c r="Z443" s="7" t="s">
        <v>573</v>
      </c>
      <c r="AA443" s="7" t="s">
        <v>40</v>
      </c>
      <c r="AB443" s="7" t="s">
        <v>40</v>
      </c>
    </row>
    <row r="444" spans="1:28" ht="69.95" customHeight="1">
      <c r="A444" s="7">
        <v>2017</v>
      </c>
      <c r="B444" s="7" t="str">
        <f>'[1]V, inciso p) (OP)'!B219</f>
        <v>Licitación por Invitación Restringida</v>
      </c>
      <c r="C444" s="7" t="str">
        <f>'[1]V, inciso p) (OP)'!D219</f>
        <v>DOPI-MUN-R33R-IH-CI-162-2017</v>
      </c>
      <c r="D444" s="13">
        <f>'[1]V, inciso p) (OP)'!AD219</f>
        <v>42985</v>
      </c>
      <c r="E444" s="7" t="str">
        <f>'[1]V, inciso p) (OP)'!AL219</f>
        <v>Construcción de línea de conducción y rehabilitación de tanques en las colonias San Isidro y San Esteban, municipio de Zapopan, Jalisco.</v>
      </c>
      <c r="F444" s="7" t="str">
        <f>'[1]V, inciso p) (OP)'!AR219</f>
        <v>Remanentes del FAISM 2010-2015</v>
      </c>
      <c r="G444" s="11">
        <f>'[1]V, inciso p) (OP)'!AJ219</f>
        <v>2278926.08</v>
      </c>
      <c r="H444" s="7" t="str">
        <f>'[1]V, inciso p) (OP)'!AS219</f>
        <v>Colonias San Isidro y San Esteban</v>
      </c>
      <c r="I444" s="7" t="str">
        <f>'[1]V, inciso p) (OP)'!T219</f>
        <v>JAVIER</v>
      </c>
      <c r="J444" s="7" t="str">
        <f>'[1]V, inciso p) (OP)'!U219</f>
        <v>CHACON</v>
      </c>
      <c r="K444" s="7" t="str">
        <f>'[1]V, inciso p) (OP)'!V219</f>
        <v>BENAVIDES</v>
      </c>
      <c r="L444" s="7" t="str">
        <f>'[1]V, inciso p) (OP)'!W219</f>
        <v>CIARCO CONSTRUCTORA, S.A. DE C.V.</v>
      </c>
      <c r="M444" s="7" t="str">
        <f>'[1]V, inciso p) (OP)'!X219</f>
        <v>CCO9407296S3</v>
      </c>
      <c r="N444" s="11">
        <f t="shared" si="11"/>
        <v>2278926.08</v>
      </c>
      <c r="O444" s="7" t="s">
        <v>40</v>
      </c>
      <c r="P444" s="14" t="s">
        <v>1163</v>
      </c>
      <c r="Q444" s="12">
        <f>N444/1475</f>
        <v>1545.0346305084747</v>
      </c>
      <c r="R444" s="7" t="s">
        <v>42</v>
      </c>
      <c r="S444" s="15">
        <v>169</v>
      </c>
      <c r="T444" s="7" t="s">
        <v>43</v>
      </c>
      <c r="U444" s="7" t="s">
        <v>584</v>
      </c>
      <c r="V444" s="13">
        <f>'[1]V, inciso p) (OP)'!AM219</f>
        <v>42986</v>
      </c>
      <c r="W444" s="13">
        <f>'[1]V, inciso p) (OP)'!AN219</f>
        <v>43075</v>
      </c>
      <c r="X444" s="7" t="s">
        <v>999</v>
      </c>
      <c r="Y444" s="7" t="s">
        <v>1075</v>
      </c>
      <c r="Z444" s="7" t="s">
        <v>1001</v>
      </c>
      <c r="AA444" s="7" t="s">
        <v>40</v>
      </c>
      <c r="AB444" s="7" t="s">
        <v>40</v>
      </c>
    </row>
    <row r="445" spans="1:28" ht="69.95" customHeight="1">
      <c r="A445" s="7">
        <v>2017</v>
      </c>
      <c r="B445" s="7" t="s">
        <v>64</v>
      </c>
      <c r="C445" s="7" t="str">
        <f>'[1]V, inciso o) (OP)'!C232</f>
        <v>DOPI-MUN-R33-IH-AD-163-2017</v>
      </c>
      <c r="D445" s="13">
        <f>'[1]V, inciso o) (OP)'!V232</f>
        <v>42950</v>
      </c>
      <c r="E445" s="7" t="str">
        <f>'[1]V, inciso o) (OP)'!AA232</f>
        <v>Revestimiento de canal pluvial y obras de drenaje, sobre calle Pinos de calle Periodistas a calle Fresno, en la colonia Lomas del Centinela, municipio de Zapopan, Jalisco. Primera etapa.</v>
      </c>
      <c r="F445" s="7" t="s">
        <v>1164</v>
      </c>
      <c r="G445" s="11">
        <f>'[1]V, inciso o) (OP)'!Y232</f>
        <v>1569323.53</v>
      </c>
      <c r="H445" s="7" t="s">
        <v>1165</v>
      </c>
      <c r="I445" s="7" t="str">
        <f>'[1]V, inciso o) (OP)'!M232</f>
        <v>JOSÉ JAIME</v>
      </c>
      <c r="J445" s="7" t="str">
        <f>'[1]V, inciso o) (OP)'!N232</f>
        <v>CAMARENA</v>
      </c>
      <c r="K445" s="7" t="str">
        <f>'[1]V, inciso o) (OP)'!O232</f>
        <v>CORREA</v>
      </c>
      <c r="L445" s="7" t="str">
        <f>'[1]V, inciso o) (OP)'!P232</f>
        <v>FIRMITAS CONSTRUCTA, S.A. DE C.V.</v>
      </c>
      <c r="M445" s="7" t="str">
        <f>'[1]V, inciso o) (OP)'!Q232</f>
        <v>FCO110711N24</v>
      </c>
      <c r="N445" s="11">
        <f t="shared" si="11"/>
        <v>1569323.53</v>
      </c>
      <c r="O445" s="7" t="s">
        <v>40</v>
      </c>
      <c r="P445" s="7" t="s">
        <v>1166</v>
      </c>
      <c r="Q445" s="11">
        <f>N445/740</f>
        <v>2120.7074729729729</v>
      </c>
      <c r="R445" s="7" t="s">
        <v>42</v>
      </c>
      <c r="S445" s="15">
        <v>459</v>
      </c>
      <c r="T445" s="7" t="s">
        <v>43</v>
      </c>
      <c r="U445" s="7" t="s">
        <v>584</v>
      </c>
      <c r="V445" s="13">
        <f>'[1]V, inciso o) (OP)'!AD232</f>
        <v>42954</v>
      </c>
      <c r="W445" s="13">
        <f>'[1]V, inciso o) (OP)'!AE232</f>
        <v>43016</v>
      </c>
      <c r="X445" s="7" t="s">
        <v>1054</v>
      </c>
      <c r="Y445" s="7" t="s">
        <v>1055</v>
      </c>
      <c r="Z445" s="7" t="s">
        <v>145</v>
      </c>
      <c r="AA445" s="7" t="s">
        <v>40</v>
      </c>
      <c r="AB445" s="7" t="s">
        <v>40</v>
      </c>
    </row>
    <row r="446" spans="1:28" ht="69.95" customHeight="1">
      <c r="A446" s="7">
        <v>2017</v>
      </c>
      <c r="B446" s="7" t="str">
        <f>'[1]V, inciso p) (OP)'!B220</f>
        <v>Licitación Pública</v>
      </c>
      <c r="C446" s="7" t="str">
        <f>'[1]V, inciso p) (OP)'!D220</f>
        <v>DOPI-EST-FOCOCI-IU-LP-164-2017</v>
      </c>
      <c r="D446" s="13">
        <f>'[1]V, inciso p) (OP)'!AD220</f>
        <v>43014</v>
      </c>
      <c r="E446" s="7" t="str">
        <f>'[1]V, inciso p) (OP)'!AL220</f>
        <v>Rehabilitación del Parque Unidad de Manejo Ambiental Villa Fantasía, en la colonia Tepeyac, frente 1, (ingreso, cafetería, área lúdica pedagógica y áreas exteriores), en el municipio de Zapopan, Jalisco.</v>
      </c>
      <c r="F446" s="7" t="str">
        <f>'[1]V, inciso p) (OP)'!AR220</f>
        <v>FONDO COMÚN CONCURSABLE PARA LA INFRAESTRUCTURA 2017</v>
      </c>
      <c r="G446" s="11">
        <f>'[1]V, inciso p) (OP)'!AJ220</f>
        <v>13203258.699999999</v>
      </c>
      <c r="H446" s="7" t="str">
        <f>'[1]V, inciso p) (OP)'!AS220</f>
        <v>Colonia Tepeyac</v>
      </c>
      <c r="I446" s="7" t="str">
        <f>'[1]V, inciso p) (OP)'!T220</f>
        <v>ERNESTO</v>
      </c>
      <c r="J446" s="7" t="str">
        <f>'[1]V, inciso p) (OP)'!U220</f>
        <v>OLIVARES</v>
      </c>
      <c r="K446" s="7" t="str">
        <f>'[1]V, inciso p) (OP)'!V220</f>
        <v>ÁLVAREZ</v>
      </c>
      <c r="L446" s="7" t="str">
        <f>'[1]V, inciso p) (OP)'!W220</f>
        <v>SERVICIOS METROPOLITANOS DE JALISCO, S.A. DE C.V.</v>
      </c>
      <c r="M446" s="7" t="str">
        <f>'[1]V, inciso p) (OP)'!X220</f>
        <v>SMJ090317FS9</v>
      </c>
      <c r="N446" s="11">
        <f>G446</f>
        <v>13203258.699999999</v>
      </c>
      <c r="O446" s="7" t="s">
        <v>40</v>
      </c>
      <c r="P446" s="14" t="s">
        <v>1167</v>
      </c>
      <c r="Q446" s="12">
        <f>N446/5692</f>
        <v>2319.6167779339421</v>
      </c>
      <c r="R446" s="7" t="s">
        <v>42</v>
      </c>
      <c r="S446" s="15">
        <v>1332272</v>
      </c>
      <c r="T446" s="7" t="s">
        <v>43</v>
      </c>
      <c r="U446" s="7" t="s">
        <v>584</v>
      </c>
      <c r="V446" s="13">
        <f>'[1]V, inciso p) (OP)'!AM220</f>
        <v>43014</v>
      </c>
      <c r="W446" s="13">
        <f>'[1]V, inciso p) (OP)'!AN220</f>
        <v>43100</v>
      </c>
      <c r="X446" s="7" t="s">
        <v>1086</v>
      </c>
      <c r="Y446" s="7" t="s">
        <v>687</v>
      </c>
      <c r="Z446" s="7" t="s">
        <v>268</v>
      </c>
      <c r="AA446" s="7" t="s">
        <v>40</v>
      </c>
      <c r="AB446" s="7" t="s">
        <v>40</v>
      </c>
    </row>
    <row r="447" spans="1:28" ht="69.95" customHeight="1">
      <c r="A447" s="7">
        <v>2017</v>
      </c>
      <c r="B447" s="7" t="str">
        <f>'[1]V, inciso p) (OP)'!B221</f>
        <v>Licitación Pública</v>
      </c>
      <c r="C447" s="7" t="str">
        <f>'[1]V, inciso p) (OP)'!D221</f>
        <v>DOPI-EST-FOCOCI-IU-LP-165-2017</v>
      </c>
      <c r="D447" s="13">
        <f>'[1]V, inciso p) (OP)'!AD221</f>
        <v>43014</v>
      </c>
      <c r="E447" s="7" t="str">
        <f>'[1]V, inciso p) (OP)'!AL221</f>
        <v>Rehabilitación del Parque Unidad de Manejo Ambiental Villa Fantasía, en la colonia Tepeyac, frente 2, (clínica, edificio administrativo y módulo de baños), en el municipio de Zapopan, Jalisco.</v>
      </c>
      <c r="F447" s="7" t="str">
        <f>'[1]V, inciso p) (OP)'!AR221</f>
        <v>FONDO COMÚN CONCURSABLE PARA LA INFRAESTRUCTURA 2017</v>
      </c>
      <c r="G447" s="11">
        <f>'[1]V, inciso p) (OP)'!AJ221</f>
        <v>7332126.9800000004</v>
      </c>
      <c r="H447" s="7" t="str">
        <f>'[1]V, inciso p) (OP)'!AS221</f>
        <v>Colonia Tepeyac</v>
      </c>
      <c r="I447" s="7" t="str">
        <f>'[1]V, inciso p) (OP)'!T221</f>
        <v>IGNACIO JAVIER</v>
      </c>
      <c r="J447" s="7" t="str">
        <f>'[1]V, inciso p) (OP)'!U221</f>
        <v>CURIEL</v>
      </c>
      <c r="K447" s="7" t="str">
        <f>'[1]V, inciso p) (OP)'!V221</f>
        <v>DUEÑAS</v>
      </c>
      <c r="L447" s="7" t="str">
        <f>'[1]V, inciso p) (OP)'!W221</f>
        <v>TC CONSTRUCCIÓN Y MANTENIMIENTO, S.A. DE C.V.</v>
      </c>
      <c r="M447" s="7" t="str">
        <f>'[1]V, inciso p) (OP)'!X221</f>
        <v>TCM100915HA1</v>
      </c>
      <c r="N447" s="11">
        <f t="shared" ref="N447:N465" si="12">G447</f>
        <v>7332126.9800000004</v>
      </c>
      <c r="O447" s="7" t="s">
        <v>40</v>
      </c>
      <c r="P447" s="14" t="s">
        <v>1168</v>
      </c>
      <c r="Q447" s="12">
        <f>N447/568</f>
        <v>12908.674260563381</v>
      </c>
      <c r="R447" s="7" t="s">
        <v>42</v>
      </c>
      <c r="S447" s="15">
        <v>1332272</v>
      </c>
      <c r="T447" s="7" t="s">
        <v>43</v>
      </c>
      <c r="U447" s="7" t="s">
        <v>584</v>
      </c>
      <c r="V447" s="13">
        <f>'[1]V, inciso p) (OP)'!AM221</f>
        <v>43014</v>
      </c>
      <c r="W447" s="13">
        <f>'[1]V, inciso p) (OP)'!AN221</f>
        <v>43100</v>
      </c>
      <c r="X447" s="7" t="s">
        <v>1086</v>
      </c>
      <c r="Y447" s="7" t="s">
        <v>687</v>
      </c>
      <c r="Z447" s="7" t="s">
        <v>268</v>
      </c>
      <c r="AA447" s="7" t="s">
        <v>40</v>
      </c>
      <c r="AB447" s="7" t="s">
        <v>40</v>
      </c>
    </row>
    <row r="448" spans="1:28" ht="69.95" customHeight="1">
      <c r="A448" s="7">
        <v>2017</v>
      </c>
      <c r="B448" s="7" t="str">
        <f>'[1]V, inciso p) (OP)'!B222</f>
        <v>Licitación Pública</v>
      </c>
      <c r="C448" s="7" t="str">
        <f>'[1]V, inciso p) (OP)'!D222</f>
        <v>DOPI-EST-FOCOCI-IU-LP-166-2017</v>
      </c>
      <c r="D448" s="13">
        <f>'[1]V, inciso p) (OP)'!AD222</f>
        <v>43014</v>
      </c>
      <c r="E448" s="7" t="str">
        <f>'[1]V, inciso p) (OP)'!AL222</f>
        <v>Rehabilitación del Parque Unidad de Manejo Ambiental Villa Fantasía, en la colonia Tepeyac, frente 3, (hábitats zona 1), en el municipio de Zapopan, Jalisco.</v>
      </c>
      <c r="F448" s="7" t="str">
        <f>'[1]V, inciso p) (OP)'!AR222</f>
        <v>FONDO COMÚN CONCURSABLE PARA LA INFRAESTRUCTURA 2017</v>
      </c>
      <c r="G448" s="11">
        <f>'[1]V, inciso p) (OP)'!AJ222</f>
        <v>5976486.5099999998</v>
      </c>
      <c r="H448" s="7" t="str">
        <f>'[1]V, inciso p) (OP)'!AS222</f>
        <v>Colonia Tepeyac</v>
      </c>
      <c r="I448" s="7" t="str">
        <f>'[1]V, inciso p) (OP)'!T222</f>
        <v>ERICK</v>
      </c>
      <c r="J448" s="7" t="str">
        <f>'[1]V, inciso p) (OP)'!U222</f>
        <v>VILLASEÑOR</v>
      </c>
      <c r="K448" s="7" t="str">
        <f>'[1]V, inciso p) (OP)'!V222</f>
        <v>GUTIÉRREZ</v>
      </c>
      <c r="L448" s="7" t="str">
        <f>'[1]V, inciso p) (OP)'!W222</f>
        <v>PIXIDE CONSTRUCTORA, S.A. DE C.V.</v>
      </c>
      <c r="M448" s="7" t="str">
        <f>'[1]V, inciso p) (OP)'!X222</f>
        <v>PCO140829425</v>
      </c>
      <c r="N448" s="11">
        <f t="shared" si="12"/>
        <v>5976486.5099999998</v>
      </c>
      <c r="O448" s="7" t="s">
        <v>40</v>
      </c>
      <c r="P448" s="14" t="s">
        <v>1169</v>
      </c>
      <c r="Q448" s="12">
        <f>N448/16</f>
        <v>373530.40687499999</v>
      </c>
      <c r="R448" s="7" t="s">
        <v>42</v>
      </c>
      <c r="S448" s="15">
        <v>1332272</v>
      </c>
      <c r="T448" s="7" t="s">
        <v>43</v>
      </c>
      <c r="U448" s="7" t="s">
        <v>584</v>
      </c>
      <c r="V448" s="13">
        <f>'[1]V, inciso p) (OP)'!AM222</f>
        <v>43014</v>
      </c>
      <c r="W448" s="13">
        <f>'[1]V, inciso p) (OP)'!AN222</f>
        <v>43100</v>
      </c>
      <c r="X448" s="7" t="s">
        <v>1086</v>
      </c>
      <c r="Y448" s="7" t="s">
        <v>687</v>
      </c>
      <c r="Z448" s="7" t="s">
        <v>268</v>
      </c>
      <c r="AA448" s="7" t="s">
        <v>40</v>
      </c>
      <c r="AB448" s="7" t="s">
        <v>40</v>
      </c>
    </row>
    <row r="449" spans="1:28" ht="69.95" customHeight="1">
      <c r="A449" s="7">
        <v>2017</v>
      </c>
      <c r="B449" s="7" t="str">
        <f>'[1]V, inciso p) (OP)'!B223</f>
        <v>Licitación Pública</v>
      </c>
      <c r="C449" s="7" t="str">
        <f>'[1]V, inciso p) (OP)'!D223</f>
        <v>DOPI-EST-FOCOCI-IU-LP-167-2017</v>
      </c>
      <c r="D449" s="13">
        <f>'[1]V, inciso p) (OP)'!AD223</f>
        <v>43014</v>
      </c>
      <c r="E449" s="7" t="str">
        <f>'[1]V, inciso p) (OP)'!AL223</f>
        <v>Rehabilitación del Parque Unidad de Manejo Ambiental Villa Fantasía, en la colonia Tepeyac, frente 4, (hábitats zona 2), en el municipio de Zapopan, Jalisco.</v>
      </c>
      <c r="F449" s="7" t="str">
        <f>'[1]V, inciso p) (OP)'!AR223</f>
        <v>FONDO COMÚN CONCURSABLE PARA LA INFRAESTRUCTURA 2017</v>
      </c>
      <c r="G449" s="11">
        <f>'[1]V, inciso p) (OP)'!AJ223</f>
        <v>5139138.4800000004</v>
      </c>
      <c r="H449" s="7" t="str">
        <f>'[1]V, inciso p) (OP)'!AS223</f>
        <v>Colonia Tepeyac</v>
      </c>
      <c r="I449" s="7" t="str">
        <f>'[1]V, inciso p) (OP)'!T223</f>
        <v>CARLOS IGNACIO</v>
      </c>
      <c r="J449" s="7" t="str">
        <f>'[1]V, inciso p) (OP)'!U223</f>
        <v>CURIEL</v>
      </c>
      <c r="K449" s="7" t="str">
        <f>'[1]V, inciso p) (OP)'!V223</f>
        <v>DUEÑAS</v>
      </c>
      <c r="L449" s="7" t="str">
        <f>'[1]V, inciso p) (OP)'!W223</f>
        <v>CONSTRUCTORA CECUCHI, S.A. DE C.V.</v>
      </c>
      <c r="M449" s="7" t="str">
        <f>'[1]V, inciso p) (OP)'!X223</f>
        <v>CCE130723IR7</v>
      </c>
      <c r="N449" s="11">
        <f t="shared" si="12"/>
        <v>5139138.4800000004</v>
      </c>
      <c r="O449" s="7" t="s">
        <v>40</v>
      </c>
      <c r="P449" s="14" t="s">
        <v>1170</v>
      </c>
      <c r="Q449" s="12">
        <f>N449/6</f>
        <v>856523.08000000007</v>
      </c>
      <c r="R449" s="7" t="s">
        <v>42</v>
      </c>
      <c r="S449" s="15">
        <v>1332272</v>
      </c>
      <c r="T449" s="7" t="s">
        <v>43</v>
      </c>
      <c r="U449" s="7" t="s">
        <v>584</v>
      </c>
      <c r="V449" s="13">
        <f>'[1]V, inciso p) (OP)'!AM223</f>
        <v>43014</v>
      </c>
      <c r="W449" s="13">
        <f>'[1]V, inciso p) (OP)'!AN223</f>
        <v>43100</v>
      </c>
      <c r="X449" s="7" t="s">
        <v>1086</v>
      </c>
      <c r="Y449" s="7" t="s">
        <v>687</v>
      </c>
      <c r="Z449" s="7" t="s">
        <v>268</v>
      </c>
      <c r="AA449" s="7" t="s">
        <v>40</v>
      </c>
      <c r="AB449" s="7" t="s">
        <v>40</v>
      </c>
    </row>
    <row r="450" spans="1:28" ht="69.95" customHeight="1">
      <c r="A450" s="7">
        <v>2017</v>
      </c>
      <c r="B450" s="7" t="str">
        <f>'[1]V, inciso p) (OP)'!B224</f>
        <v>Licitación Pública</v>
      </c>
      <c r="C450" s="7" t="str">
        <f>'[1]V, inciso p) (OP)'!D224</f>
        <v>DOPI-EST-CONVSCT-PAV-LP-168-2017</v>
      </c>
      <c r="D450" s="13">
        <f>'[1]V, inciso p) (OP)'!AD224</f>
        <v>43014</v>
      </c>
      <c r="E450" s="7" t="str">
        <f>'[1]V, inciso p) (OP)'!AL224</f>
        <v>Construcción, cimentación, apoyos y cabezales del retorno elevado en la carretera Guadalajara-Tepic km 11+650, municipio de Zapopan, Jalisco.</v>
      </c>
      <c r="F450" s="7" t="str">
        <f>'[1]V, inciso p) (OP)'!AR224</f>
        <v>CONVENIO DE COLABORACIÓN MUNICIPIO-ESTADO-SCT</v>
      </c>
      <c r="G450" s="11">
        <f>'[1]V, inciso p) (OP)'!AJ224</f>
        <v>16736200.74</v>
      </c>
      <c r="H450" s="7" t="str">
        <f>'[1]V, inciso p) (OP)'!AS224</f>
        <v>Colonia Rancho Contento</v>
      </c>
      <c r="I450" s="7" t="str">
        <f>'[1]V, inciso p) (OP)'!T224</f>
        <v>MIGUEL ÁNGEL</v>
      </c>
      <c r="J450" s="7" t="str">
        <f>'[1]V, inciso p) (OP)'!U224</f>
        <v>ROMERO</v>
      </c>
      <c r="K450" s="7" t="str">
        <f>'[1]V, inciso p) (OP)'!V224</f>
        <v>LUGO</v>
      </c>
      <c r="L450" s="7" t="str">
        <f>'[1]V, inciso p) (OP)'!W224</f>
        <v>OBRAS Y COMERCIALIZACION DE LA CONSTRUCCIÓN, S.A. DE C.V.</v>
      </c>
      <c r="M450" s="7" t="str">
        <f>'[1]V, inciso p) (OP)'!X224</f>
        <v>OCC940714PB0</v>
      </c>
      <c r="N450" s="11">
        <f t="shared" si="12"/>
        <v>16736200.74</v>
      </c>
      <c r="O450" s="7" t="s">
        <v>40</v>
      </c>
      <c r="P450" s="14" t="s">
        <v>739</v>
      </c>
      <c r="Q450" s="12">
        <f>N450</f>
        <v>16736200.74</v>
      </c>
      <c r="R450" s="7" t="s">
        <v>42</v>
      </c>
      <c r="S450" s="15">
        <v>1332272</v>
      </c>
      <c r="T450" s="7" t="s">
        <v>43</v>
      </c>
      <c r="U450" s="7" t="s">
        <v>584</v>
      </c>
      <c r="V450" s="13">
        <f>'[1]V, inciso p) (OP)'!AM224</f>
        <v>43014</v>
      </c>
      <c r="W450" s="13">
        <f>'[1]V, inciso p) (OP)'!AN224</f>
        <v>43100</v>
      </c>
      <c r="X450" s="7" t="s">
        <v>591</v>
      </c>
      <c r="Y450" s="7" t="s">
        <v>46</v>
      </c>
      <c r="Z450" s="7" t="s">
        <v>47</v>
      </c>
      <c r="AA450" s="7" t="s">
        <v>40</v>
      </c>
      <c r="AB450" s="7" t="s">
        <v>40</v>
      </c>
    </row>
    <row r="451" spans="1:28" ht="69.95" customHeight="1">
      <c r="A451" s="7">
        <v>2017</v>
      </c>
      <c r="B451" s="7" t="str">
        <f>'[1]V, inciso p) (OP)'!B225</f>
        <v>Licitación Pública</v>
      </c>
      <c r="C451" s="7" t="str">
        <f>'[1]V, inciso p) (OP)'!D225</f>
        <v>DOPI-FED-FF-PAV-LP-169-2017</v>
      </c>
      <c r="D451" s="13">
        <f>'[1]V, inciso p) (OP)'!AD225</f>
        <v>43031</v>
      </c>
      <c r="E451" s="7" t="str">
        <f>'[1]V, inciso p) (OP)'!AL225</f>
        <v xml:space="preserve">Pavimentación de Av. Guadalajara con concreto hidráulico tramo 1, en la colonia Nuevo México, municipio de Zapopan, Jalisco. </v>
      </c>
      <c r="F451" s="7" t="str">
        <f>'[1]V, inciso p) (OP)'!AR225</f>
        <v>FONDO PARA EL FORTALECIMIENTO FINANCIERO PARA LA INVERSIÓN (FORTALECIMIENTO) 2017 “D”</v>
      </c>
      <c r="G451" s="11">
        <f>'[1]V, inciso p) (OP)'!AJ225</f>
        <v>4498449.34</v>
      </c>
      <c r="H451" s="7" t="str">
        <f>'[1]V, inciso p) (OP)'!AS225</f>
        <v>Colonia Nuevo México</v>
      </c>
      <c r="I451" s="7" t="str">
        <f>'[1]V, inciso p) (OP)'!T225</f>
        <v>J. GERARDO</v>
      </c>
      <c r="J451" s="7" t="str">
        <f>'[1]V, inciso p) (OP)'!U225</f>
        <v>NICANOR</v>
      </c>
      <c r="K451" s="7" t="str">
        <f>'[1]V, inciso p) (OP)'!V225</f>
        <v>MEJIA MARISCAL</v>
      </c>
      <c r="L451" s="7" t="str">
        <f>'[1]V, inciso p) (OP)'!W225</f>
        <v>INECO CONSTRUYE, S.A. DE C.V.</v>
      </c>
      <c r="M451" s="7" t="str">
        <f>'[1]V, inciso p) (OP)'!X225</f>
        <v>ICO980722MQ4</v>
      </c>
      <c r="N451" s="11">
        <f t="shared" si="12"/>
        <v>4498449.34</v>
      </c>
      <c r="O451" s="7" t="s">
        <v>40</v>
      </c>
      <c r="P451" s="14" t="s">
        <v>1171</v>
      </c>
      <c r="Q451" s="12">
        <f>N451/2640</f>
        <v>1703.9580833333332</v>
      </c>
      <c r="R451" s="7" t="s">
        <v>42</v>
      </c>
      <c r="S451" s="15">
        <v>85263</v>
      </c>
      <c r="T451" s="7" t="s">
        <v>43</v>
      </c>
      <c r="U451" s="7" t="s">
        <v>584</v>
      </c>
      <c r="V451" s="13">
        <f>'[1]V, inciso p) (OP)'!AM225</f>
        <v>43031</v>
      </c>
      <c r="W451" s="13">
        <f>'[1]V, inciso p) (OP)'!AN225</f>
        <v>43106</v>
      </c>
      <c r="X451" s="7" t="s">
        <v>1172</v>
      </c>
      <c r="Y451" s="7" t="s">
        <v>960</v>
      </c>
      <c r="Z451" s="7" t="s">
        <v>1173</v>
      </c>
      <c r="AA451" s="7" t="s">
        <v>40</v>
      </c>
      <c r="AB451" s="7" t="s">
        <v>40</v>
      </c>
    </row>
    <row r="452" spans="1:28" ht="69.95" customHeight="1">
      <c r="A452" s="7">
        <v>2017</v>
      </c>
      <c r="B452" s="7" t="str">
        <f>'[1]V, inciso p) (OP)'!B226</f>
        <v>Licitación Pública</v>
      </c>
      <c r="C452" s="7" t="str">
        <f>'[1]V, inciso p) (OP)'!D226</f>
        <v>DOPI-FED-FF-PAV-LP-170-2017</v>
      </c>
      <c r="D452" s="13">
        <f>'[1]V, inciso p) (OP)'!AD226</f>
        <v>43031</v>
      </c>
      <c r="E452" s="7" t="str">
        <f>'[1]V, inciso p) (OP)'!AL226</f>
        <v xml:space="preserve">Pavimentación de Av. Guadalajara con concreto hidráulico tramo 2, en la colonia Nuevo México, municipio de Zapopan, Jalisco. </v>
      </c>
      <c r="F452" s="7" t="str">
        <f>'[1]V, inciso p) (OP)'!AR226</f>
        <v>FONDO PARA EL FORTALECIMIENTO FINANCIERO PARA LA INVERSIÓN (FORTALECIMIENTO) 2017 “D”</v>
      </c>
      <c r="G452" s="11">
        <f>'[1]V, inciso p) (OP)'!AJ226</f>
        <v>3719168.56</v>
      </c>
      <c r="H452" s="7" t="str">
        <f>'[1]V, inciso p) (OP)'!AS226</f>
        <v>Colonia Nuevo México</v>
      </c>
      <c r="I452" s="7" t="str">
        <f>'[1]V, inciso p) (OP)'!T226</f>
        <v>RICARDO</v>
      </c>
      <c r="J452" s="7" t="str">
        <f>'[1]V, inciso p) (OP)'!U226</f>
        <v>TECANHUEY</v>
      </c>
      <c r="K452" s="7" t="str">
        <f>'[1]V, inciso p) (OP)'!V226</f>
        <v>LARIOS</v>
      </c>
      <c r="L452" s="7" t="str">
        <f>'[1]V, inciso p) (OP)'!W226</f>
        <v>MQ RENTAL, S.A. DE C.V.</v>
      </c>
      <c r="M452" s="7" t="str">
        <f>'[1]V, inciso p) (OP)'!X226</f>
        <v>MRE151124EK1</v>
      </c>
      <c r="N452" s="11">
        <f t="shared" si="12"/>
        <v>3719168.56</v>
      </c>
      <c r="O452" s="7" t="s">
        <v>40</v>
      </c>
      <c r="P452" s="14" t="s">
        <v>1174</v>
      </c>
      <c r="Q452" s="12">
        <f>N452/2013</f>
        <v>1847.5750422255342</v>
      </c>
      <c r="R452" s="7" t="s">
        <v>42</v>
      </c>
      <c r="S452" s="15">
        <v>85263</v>
      </c>
      <c r="T452" s="7" t="s">
        <v>43</v>
      </c>
      <c r="U452" s="7" t="s">
        <v>584</v>
      </c>
      <c r="V452" s="13">
        <f>'[1]V, inciso p) (OP)'!AM226</f>
        <v>43031</v>
      </c>
      <c r="W452" s="13">
        <f>'[1]V, inciso p) (OP)'!AN226</f>
        <v>43106</v>
      </c>
      <c r="X452" s="7" t="s">
        <v>1172</v>
      </c>
      <c r="Y452" s="7" t="s">
        <v>960</v>
      </c>
      <c r="Z452" s="7" t="s">
        <v>1173</v>
      </c>
      <c r="AA452" s="7" t="s">
        <v>40</v>
      </c>
      <c r="AB452" s="7" t="s">
        <v>40</v>
      </c>
    </row>
    <row r="453" spans="1:28" ht="69.95" customHeight="1">
      <c r="A453" s="7">
        <v>2017</v>
      </c>
      <c r="B453" s="7" t="str">
        <f>'[1]V, inciso p) (OP)'!B227</f>
        <v>Licitación Pública</v>
      </c>
      <c r="C453" s="7" t="str">
        <f>'[1]V, inciso p) (OP)'!D227</f>
        <v>DOPI-FED-FF-PAV-LP-171-2017</v>
      </c>
      <c r="D453" s="13">
        <f>'[1]V, inciso p) (OP)'!AD227</f>
        <v>43031</v>
      </c>
      <c r="E453" s="7" t="str">
        <f>'[1]V, inciso p) (OP)'!AL227</f>
        <v>Pavimentación de conexión vial Centro Cultural Constitución – Auditorio Telmex, con pavimento asfáltico, tramo 1 (Calz. Constituyentes – Calle Obreros de Cananea) en la colonia Constitución, municipio de Zapopan, Jalisco, frente 1.</v>
      </c>
      <c r="F453" s="7" t="str">
        <f>'[1]V, inciso p) (OP)'!AR227</f>
        <v>FONDO PARA EL FORTALECIMIENTO FINANCIERO PARA LA INVERSIÓN (FORTALECIMIENTO) 2017 “D”</v>
      </c>
      <c r="G453" s="11">
        <f>'[1]V, inciso p) (OP)'!AJ227</f>
        <v>4685823.0999999996</v>
      </c>
      <c r="H453" s="7" t="str">
        <f>'[1]V, inciso p) (OP)'!AS227</f>
        <v>Colonia Constitución</v>
      </c>
      <c r="I453" s="7" t="str">
        <f>'[1]V, inciso p) (OP)'!T227</f>
        <v>HAYDEE LILIANA</v>
      </c>
      <c r="J453" s="7" t="str">
        <f>'[1]V, inciso p) (OP)'!U227</f>
        <v>AGUILAR</v>
      </c>
      <c r="K453" s="7" t="str">
        <f>'[1]V, inciso p) (OP)'!V227</f>
        <v>CASSIAN</v>
      </c>
      <c r="L453" s="7" t="str">
        <f>'[1]V, inciso p) (OP)'!W227</f>
        <v>EDIFICA 2001, S.A. DE C.V.</v>
      </c>
      <c r="M453" s="7" t="str">
        <f>'[1]V, inciso p) (OP)'!X227</f>
        <v>EDM970225I68</v>
      </c>
      <c r="N453" s="11">
        <f t="shared" si="12"/>
        <v>4685823.0999999996</v>
      </c>
      <c r="O453" s="7" t="s">
        <v>40</v>
      </c>
      <c r="P453" s="14" t="s">
        <v>1175</v>
      </c>
      <c r="Q453" s="12">
        <f>N453/3584</f>
        <v>1307.4283203124999</v>
      </c>
      <c r="R453" s="7" t="s">
        <v>42</v>
      </c>
      <c r="S453" s="15">
        <v>98623</v>
      </c>
      <c r="T453" s="7" t="s">
        <v>43</v>
      </c>
      <c r="U453" s="7" t="s">
        <v>584</v>
      </c>
      <c r="V453" s="13">
        <f>'[1]V, inciso p) (OP)'!AM227</f>
        <v>43031</v>
      </c>
      <c r="W453" s="13">
        <f>'[1]V, inciso p) (OP)'!AN227</f>
        <v>43106</v>
      </c>
      <c r="X453" s="7" t="s">
        <v>846</v>
      </c>
      <c r="Y453" s="7" t="s">
        <v>234</v>
      </c>
      <c r="Z453" s="7" t="s">
        <v>1176</v>
      </c>
      <c r="AA453" s="7" t="s">
        <v>40</v>
      </c>
      <c r="AB453" s="7" t="s">
        <v>40</v>
      </c>
    </row>
    <row r="454" spans="1:28" ht="69.95" customHeight="1">
      <c r="A454" s="7">
        <v>2017</v>
      </c>
      <c r="B454" s="7" t="str">
        <f>'[1]V, inciso p) (OP)'!B228</f>
        <v>Licitación Pública</v>
      </c>
      <c r="C454" s="7" t="str">
        <f>'[1]V, inciso p) (OP)'!D228</f>
        <v>DOPI-FED-FF-PAV-LP-172-2017</v>
      </c>
      <c r="D454" s="13">
        <f>'[1]V, inciso p) (OP)'!AD228</f>
        <v>43031</v>
      </c>
      <c r="E454" s="7" t="str">
        <f>'[1]V, inciso p) (OP)'!AL228</f>
        <v>Pavimentación de conexión vial Centro Cultural Constitución – Auditorio Telmex, con pavimento asfáltico, tramo 1 (Calz. Constituyentes – Calle Obreros de Cananea) en la colonia Constitución, municipio de Zapopan, Jalisco, frente 2.</v>
      </c>
      <c r="F454" s="7" t="str">
        <f>'[1]V, inciso p) (OP)'!AR228</f>
        <v>FONDO PARA EL FORTALECIMIENTO FINANCIERO PARA LA INVERSIÓN (FORTALECIMIENTO) 2017 “D”</v>
      </c>
      <c r="G454" s="11">
        <f>'[1]V, inciso p) (OP)'!AJ228</f>
        <v>4716160.6900000004</v>
      </c>
      <c r="H454" s="7" t="str">
        <f>'[1]V, inciso p) (OP)'!AS228</f>
        <v>Colonia Constitución</v>
      </c>
      <c r="I454" s="7" t="str">
        <f>'[1]V, inciso p) (OP)'!T228</f>
        <v>ALEX</v>
      </c>
      <c r="J454" s="7" t="str">
        <f>'[1]V, inciso p) (OP)'!U228</f>
        <v>MEDINA</v>
      </c>
      <c r="K454" s="7" t="str">
        <f>'[1]V, inciso p) (OP)'!V228</f>
        <v>GÓMEZ</v>
      </c>
      <c r="L454" s="7" t="str">
        <f>'[1]V, inciso p) (OP)'!W228</f>
        <v xml:space="preserve">MEDGAR CONSTRUCCIONES, S.A. </v>
      </c>
      <c r="M454" s="7" t="str">
        <f>'[1]V, inciso p) (OP)'!X228</f>
        <v>MCO150527NY3</v>
      </c>
      <c r="N454" s="11">
        <f t="shared" si="12"/>
        <v>4716160.6900000004</v>
      </c>
      <c r="O454" s="7" t="s">
        <v>40</v>
      </c>
      <c r="P454" s="14" t="s">
        <v>1177</v>
      </c>
      <c r="Q454" s="12">
        <f>N454/3615</f>
        <v>1304.6087662517291</v>
      </c>
      <c r="R454" s="7" t="s">
        <v>42</v>
      </c>
      <c r="S454" s="15">
        <v>98623</v>
      </c>
      <c r="T454" s="7" t="s">
        <v>43</v>
      </c>
      <c r="U454" s="7" t="s">
        <v>584</v>
      </c>
      <c r="V454" s="13">
        <f>'[1]V, inciso p) (OP)'!AM228</f>
        <v>43031</v>
      </c>
      <c r="W454" s="13">
        <f>'[1]V, inciso p) (OP)'!AN228</f>
        <v>43106</v>
      </c>
      <c r="X454" s="7" t="s">
        <v>846</v>
      </c>
      <c r="Y454" s="7" t="s">
        <v>234</v>
      </c>
      <c r="Z454" s="7" t="s">
        <v>1176</v>
      </c>
      <c r="AA454" s="7" t="s">
        <v>40</v>
      </c>
      <c r="AB454" s="7" t="s">
        <v>40</v>
      </c>
    </row>
    <row r="455" spans="1:28" ht="69.95" customHeight="1">
      <c r="A455" s="7">
        <v>2017</v>
      </c>
      <c r="B455" s="7" t="str">
        <f>'[1]V, inciso p) (OP)'!B229</f>
        <v>Licitación Pública</v>
      </c>
      <c r="C455" s="7" t="str">
        <f>'[1]V, inciso p) (OP)'!D229</f>
        <v>DOPI-FED-FF-PAV-LP-173-2017</v>
      </c>
      <c r="D455" s="13">
        <f>'[1]V, inciso p) (OP)'!AD229</f>
        <v>43031</v>
      </c>
      <c r="E455" s="7" t="str">
        <f>'[1]V, inciso p) (OP)'!AL229</f>
        <v>Pavimentación de conexión vial Centro Cultural Constitución – Auditorio Telmex, con pavimento asfáltico, tramo 2 (Calz. Constituyentes – Calle Obreros de Cananea) en la colonia Constitución, municipio de Zapopan, Jalisco, frente 1.</v>
      </c>
      <c r="F455" s="7" t="str">
        <f>'[1]V, inciso p) (OP)'!AR229</f>
        <v>FONDO PARA EL FORTALECIMIENTO FINANCIERO PARA LA INVERSIÓN (FORTALECIMIENTO) 2017 “D”</v>
      </c>
      <c r="G455" s="11">
        <f>'[1]V, inciso p) (OP)'!AJ229</f>
        <v>4987550.67</v>
      </c>
      <c r="H455" s="7" t="str">
        <f>'[1]V, inciso p) (OP)'!AS229</f>
        <v>Colonia Constitución</v>
      </c>
      <c r="I455" s="7" t="str">
        <f>'[1]V, inciso p) (OP)'!T229</f>
        <v>VICTOR MANUEL</v>
      </c>
      <c r="J455" s="7" t="str">
        <f>'[1]V, inciso p) (OP)'!U229</f>
        <v>JAUREGUI</v>
      </c>
      <c r="K455" s="7" t="str">
        <f>'[1]V, inciso p) (OP)'!V229</f>
        <v>TORRES</v>
      </c>
      <c r="L455" s="7" t="str">
        <f>'[1]V, inciso p) (OP)'!W229</f>
        <v>CONSTRUCTORA ERLORT Y ASOCIADOS, S.A. DE C.V.</v>
      </c>
      <c r="M455" s="7" t="str">
        <f>'[1]V, inciso p) (OP)'!X229</f>
        <v>CEA070208SB1</v>
      </c>
      <c r="N455" s="11">
        <f t="shared" si="12"/>
        <v>4987550.67</v>
      </c>
      <c r="O455" s="7" t="s">
        <v>40</v>
      </c>
      <c r="P455" s="14" t="s">
        <v>1178</v>
      </c>
      <c r="Q455" s="12">
        <f>N455/3475</f>
        <v>1435.266379856115</v>
      </c>
      <c r="R455" s="7" t="s">
        <v>42</v>
      </c>
      <c r="S455" s="15">
        <v>98623</v>
      </c>
      <c r="T455" s="7" t="s">
        <v>43</v>
      </c>
      <c r="U455" s="7" t="s">
        <v>584</v>
      </c>
      <c r="V455" s="13">
        <f>'[1]V, inciso p) (OP)'!AM229</f>
        <v>43031</v>
      </c>
      <c r="W455" s="13">
        <f>'[1]V, inciso p) (OP)'!AN229</f>
        <v>43106</v>
      </c>
      <c r="X455" s="7" t="s">
        <v>846</v>
      </c>
      <c r="Y455" s="7" t="s">
        <v>234</v>
      </c>
      <c r="Z455" s="7" t="s">
        <v>1176</v>
      </c>
      <c r="AA455" s="7" t="s">
        <v>40</v>
      </c>
      <c r="AB455" s="7" t="s">
        <v>40</v>
      </c>
    </row>
    <row r="456" spans="1:28" ht="69.95" customHeight="1">
      <c r="A456" s="7">
        <v>2017</v>
      </c>
      <c r="B456" s="7" t="str">
        <f>'[1]V, inciso p) (OP)'!B230</f>
        <v>Licitación Pública</v>
      </c>
      <c r="C456" s="7" t="str">
        <f>'[1]V, inciso p) (OP)'!D230</f>
        <v>DOPI-FED-FF-PAV-LP-174-2017</v>
      </c>
      <c r="D456" s="13">
        <f>'[1]V, inciso p) (OP)'!AD230</f>
        <v>43031</v>
      </c>
      <c r="E456" s="7" t="str">
        <f>'[1]V, inciso p) (OP)'!AL230</f>
        <v>Pavimentación de conexión vial Centro Cultural Constitución – Auditorio Telmex, con pavimento asfáltico, tramo 2 (Calz. Constituyentes – Calle Obreros de Cananea) en la colonia Constitución, municipio de Zapopan, Jalisco, frente 2.</v>
      </c>
      <c r="F456" s="7" t="str">
        <f>'[1]V, inciso p) (OP)'!AR230</f>
        <v>FONDO PARA EL FORTALECIMIENTO FINANCIERO PARA LA INVERSIÓN (FORTALECIMIENTO) 2017 “D”</v>
      </c>
      <c r="G456" s="11">
        <f>'[1]V, inciso p) (OP)'!AJ230</f>
        <v>4697747.84</v>
      </c>
      <c r="H456" s="7" t="str">
        <f>'[1]V, inciso p) (OP)'!AS230</f>
        <v>Colonia Constitución</v>
      </c>
      <c r="I456" s="7" t="str">
        <f>'[1]V, inciso p) (OP)'!T230</f>
        <v>CARLOS IGNACIO</v>
      </c>
      <c r="J456" s="7" t="str">
        <f>'[1]V, inciso p) (OP)'!U230</f>
        <v>CURIEL</v>
      </c>
      <c r="K456" s="7" t="str">
        <f>'[1]V, inciso p) (OP)'!V230</f>
        <v>DUEÑAS</v>
      </c>
      <c r="L456" s="7" t="str">
        <f>'[1]V, inciso p) (OP)'!W230</f>
        <v>CONSTRUCTORA CECUCHI, S.A. DE C.V.</v>
      </c>
      <c r="M456" s="7" t="str">
        <f>'[1]V, inciso p) (OP)'!X230</f>
        <v>CCE130723IR7</v>
      </c>
      <c r="N456" s="11">
        <f t="shared" si="12"/>
        <v>4697747.84</v>
      </c>
      <c r="O456" s="7" t="s">
        <v>40</v>
      </c>
      <c r="P456" s="14" t="s">
        <v>1179</v>
      </c>
      <c r="Q456" s="12">
        <f>N456/3454</f>
        <v>1360.0891256514185</v>
      </c>
      <c r="R456" s="7" t="s">
        <v>42</v>
      </c>
      <c r="S456" s="15">
        <v>98623</v>
      </c>
      <c r="T456" s="7" t="s">
        <v>43</v>
      </c>
      <c r="U456" s="7" t="s">
        <v>584</v>
      </c>
      <c r="V456" s="13">
        <f>'[1]V, inciso p) (OP)'!AM230</f>
        <v>43031</v>
      </c>
      <c r="W456" s="13">
        <f>'[1]V, inciso p) (OP)'!AN230</f>
        <v>43106</v>
      </c>
      <c r="X456" s="7" t="s">
        <v>846</v>
      </c>
      <c r="Y456" s="7" t="s">
        <v>234</v>
      </c>
      <c r="Z456" s="7" t="s">
        <v>1176</v>
      </c>
      <c r="AA456" s="7" t="s">
        <v>40</v>
      </c>
      <c r="AB456" s="7" t="s">
        <v>40</v>
      </c>
    </row>
    <row r="457" spans="1:28" ht="69.95" customHeight="1">
      <c r="A457" s="7">
        <v>2017</v>
      </c>
      <c r="B457" s="7" t="str">
        <f>'[1]V, inciso p) (OP)'!B231</f>
        <v>Licitación Pública</v>
      </c>
      <c r="C457" s="7" t="str">
        <f>'[1]V, inciso p) (OP)'!D231</f>
        <v>DOPI-FED-FF-PAV-LP-175-2017</v>
      </c>
      <c r="D457" s="13">
        <f>'[1]V, inciso p) (OP)'!AD231</f>
        <v>43031</v>
      </c>
      <c r="E457" s="7" t="str">
        <f>'[1]V, inciso p) (OP)'!AL231</f>
        <v>Pavimentación con concreto hidráulico de la Av. Royal Country, segunda etapa, en los fraccionamientos Royal Country, Puerta de Hierro y Puerta Plata, municipio de Zapopan, Jalisco, frente 1.</v>
      </c>
      <c r="F457" s="7" t="str">
        <f>'[1]V, inciso p) (OP)'!AR231</f>
        <v>FONDO PARA EL FORTALECIMIENTO FINANCIERO PARA LA INVERSIÓN (FORTALECIMIENTO) 2017 “D”</v>
      </c>
      <c r="G457" s="11">
        <f>'[1]V, inciso p) (OP)'!AJ231</f>
        <v>4149575.14</v>
      </c>
      <c r="H457" s="7" t="str">
        <f>'[1]V, inciso p) (OP)'!AS231</f>
        <v>Colonia Puerta Plata</v>
      </c>
      <c r="I457" s="7" t="str">
        <f>'[1]V, inciso p) (OP)'!T231</f>
        <v>JULIO EDUARDO</v>
      </c>
      <c r="J457" s="7" t="str">
        <f>'[1]V, inciso p) (OP)'!U231</f>
        <v>LÓPEZ</v>
      </c>
      <c r="K457" s="7" t="str">
        <f>'[1]V, inciso p) (OP)'!V231</f>
        <v>PÉREZ</v>
      </c>
      <c r="L457" s="7" t="str">
        <f>'[1]V, inciso p) (OP)'!W231</f>
        <v>PROYECTOS E INSUMOS INDUSTRIALES JELP, S.A. DE C.V.</v>
      </c>
      <c r="M457" s="7" t="str">
        <f>'[1]V, inciso p) (OP)'!X231</f>
        <v>PEI020208RW0</v>
      </c>
      <c r="N457" s="11">
        <f t="shared" si="12"/>
        <v>4149575.14</v>
      </c>
      <c r="O457" s="7" t="s">
        <v>40</v>
      </c>
      <c r="P457" s="14" t="s">
        <v>1180</v>
      </c>
      <c r="Q457" s="12">
        <f>N457/2933</f>
        <v>1414.7886600750085</v>
      </c>
      <c r="R457" s="7" t="s">
        <v>42</v>
      </c>
      <c r="S457" s="15">
        <v>122615</v>
      </c>
      <c r="T457" s="7" t="s">
        <v>43</v>
      </c>
      <c r="U457" s="7" t="s">
        <v>584</v>
      </c>
      <c r="V457" s="13">
        <f>'[1]V, inciso p) (OP)'!AM231</f>
        <v>43031</v>
      </c>
      <c r="W457" s="13">
        <f>'[1]V, inciso p) (OP)'!AN231</f>
        <v>43106</v>
      </c>
      <c r="X457" s="7" t="s">
        <v>530</v>
      </c>
      <c r="Y457" s="7" t="s">
        <v>343</v>
      </c>
      <c r="Z457" s="7" t="s">
        <v>344</v>
      </c>
      <c r="AA457" s="7" t="s">
        <v>40</v>
      </c>
      <c r="AB457" s="7" t="s">
        <v>40</v>
      </c>
    </row>
    <row r="458" spans="1:28" ht="69.95" customHeight="1">
      <c r="A458" s="7">
        <v>2017</v>
      </c>
      <c r="B458" s="7" t="str">
        <f>'[1]V, inciso p) (OP)'!B232</f>
        <v>Licitación Pública</v>
      </c>
      <c r="C458" s="7" t="str">
        <f>'[1]V, inciso p) (OP)'!D232</f>
        <v>DOPI-FED-FF-PAV-LP-176-2017</v>
      </c>
      <c r="D458" s="13">
        <f>'[1]V, inciso p) (OP)'!AD232</f>
        <v>43031</v>
      </c>
      <c r="E458" s="7" t="str">
        <f>'[1]V, inciso p) (OP)'!AL232</f>
        <v>Pavimentación con concreto hidráulico de la Av. Royal Country, segunda etapa, en los fraccionamientos Royal Country, Puerta de Hierro y Puerta Plata, municipio de Zapopan, Jalisco, frente 2.</v>
      </c>
      <c r="F458" s="7" t="str">
        <f>'[1]V, inciso p) (OP)'!AR232</f>
        <v>FONDO PARA EL FORTALECIMIENTO FINANCIERO PARA LA INVERSIÓN (FORTALECIMIENTO) 2017 “D”</v>
      </c>
      <c r="G458" s="11">
        <f>'[1]V, inciso p) (OP)'!AJ232</f>
        <v>3737898.1</v>
      </c>
      <c r="H458" s="7" t="str">
        <f>'[1]V, inciso p) (OP)'!AS232</f>
        <v>Colonia Puerta Plata</v>
      </c>
      <c r="I458" s="7" t="str">
        <f>'[1]V, inciso p) (OP)'!T232</f>
        <v>J. GERARDO</v>
      </c>
      <c r="J458" s="7" t="str">
        <f>'[1]V, inciso p) (OP)'!U232</f>
        <v>NICANOR</v>
      </c>
      <c r="K458" s="7" t="str">
        <f>'[1]V, inciso p) (OP)'!V232</f>
        <v>MEJIA MARISCAL</v>
      </c>
      <c r="L458" s="7" t="str">
        <f>'[1]V, inciso p) (OP)'!W232</f>
        <v>INECO CONSTRUYE, S.A. DE C.V.</v>
      </c>
      <c r="M458" s="7" t="str">
        <f>'[1]V, inciso p) (OP)'!X232</f>
        <v>ICO980722MQ4</v>
      </c>
      <c r="N458" s="11">
        <f t="shared" si="12"/>
        <v>3737898.1</v>
      </c>
      <c r="O458" s="7" t="s">
        <v>40</v>
      </c>
      <c r="P458" s="14" t="s">
        <v>1181</v>
      </c>
      <c r="Q458" s="12">
        <f>N458/2720</f>
        <v>1374.2272426470588</v>
      </c>
      <c r="R458" s="7" t="s">
        <v>42</v>
      </c>
      <c r="S458" s="15">
        <v>122615</v>
      </c>
      <c r="T458" s="7" t="s">
        <v>43</v>
      </c>
      <c r="U458" s="7" t="s">
        <v>584</v>
      </c>
      <c r="V458" s="13">
        <f>'[1]V, inciso p) (OP)'!AM232</f>
        <v>43031</v>
      </c>
      <c r="W458" s="13">
        <f>'[1]V, inciso p) (OP)'!AN232</f>
        <v>43106</v>
      </c>
      <c r="X458" s="7" t="s">
        <v>530</v>
      </c>
      <c r="Y458" s="7" t="s">
        <v>343</v>
      </c>
      <c r="Z458" s="7" t="s">
        <v>344</v>
      </c>
      <c r="AA458" s="7" t="s">
        <v>40</v>
      </c>
      <c r="AB458" s="7" t="s">
        <v>40</v>
      </c>
    </row>
    <row r="459" spans="1:28" ht="69.95" customHeight="1">
      <c r="A459" s="7">
        <v>2017</v>
      </c>
      <c r="B459" s="7" t="str">
        <f>'[1]V, inciso p) (OP)'!B233</f>
        <v>Licitación Pública</v>
      </c>
      <c r="C459" s="7" t="str">
        <f>'[1]V, inciso p) (OP)'!D233</f>
        <v>DOPI-FED-FF-PAV-LP-177-2017</v>
      </c>
      <c r="D459" s="13">
        <f>'[1]V, inciso p) (OP)'!AD233</f>
        <v>43031</v>
      </c>
      <c r="E459" s="7" t="str">
        <f>'[1]V, inciso p) (OP)'!AL233</f>
        <v>Pavimentación de vialidad de acceso a la Unidad Deportiva Villa de Guadalupe, calle San Pedro y calle Febronio Lara, en la colonia Villa de Guadalupe, municipio de Zapopan, Jalisco, frente 1.</v>
      </c>
      <c r="F459" s="7" t="str">
        <f>'[1]V, inciso p) (OP)'!AR233</f>
        <v>FONDO PARA EL FORTALECIMIENTO FINANCIERO PARA LA INVERSIÓN (FORTALECIMIENTO) 2017 “D”</v>
      </c>
      <c r="G459" s="11">
        <f>'[1]V, inciso p) (OP)'!AJ233</f>
        <v>3294425.04</v>
      </c>
      <c r="H459" s="7" t="str">
        <f>'[1]V, inciso p) (OP)'!AS233</f>
        <v>Colonia Villa de Guadalupe</v>
      </c>
      <c r="I459" s="7" t="str">
        <f>'[1]V, inciso p) (OP)'!T233</f>
        <v>ERICK</v>
      </c>
      <c r="J459" s="7" t="str">
        <f>'[1]V, inciso p) (OP)'!U233</f>
        <v>VILLASEÑOR</v>
      </c>
      <c r="K459" s="7" t="str">
        <f>'[1]V, inciso p) (OP)'!V233</f>
        <v>GUTIÉRREZ</v>
      </c>
      <c r="L459" s="7" t="str">
        <f>'[1]V, inciso p) (OP)'!W233</f>
        <v>PIXIDE CONSTRUCTORA, S.A. DE C.V.</v>
      </c>
      <c r="M459" s="7" t="str">
        <f>'[1]V, inciso p) (OP)'!X233</f>
        <v>PCO140829425</v>
      </c>
      <c r="N459" s="11">
        <f t="shared" si="12"/>
        <v>3294425.04</v>
      </c>
      <c r="O459" s="7" t="s">
        <v>40</v>
      </c>
      <c r="P459" s="14" t="s">
        <v>1182</v>
      </c>
      <c r="Q459" s="12">
        <f>N459/1361</f>
        <v>2420.5915062454078</v>
      </c>
      <c r="R459" s="7" t="s">
        <v>42</v>
      </c>
      <c r="S459" s="15">
        <v>4596</v>
      </c>
      <c r="T459" s="7" t="s">
        <v>43</v>
      </c>
      <c r="U459" s="7" t="s">
        <v>584</v>
      </c>
      <c r="V459" s="13">
        <f>'[1]V, inciso p) (OP)'!AM233</f>
        <v>43031</v>
      </c>
      <c r="W459" s="13">
        <f>'[1]V, inciso p) (OP)'!AN233</f>
        <v>43106</v>
      </c>
      <c r="X459" s="7" t="s">
        <v>671</v>
      </c>
      <c r="Y459" s="7" t="s">
        <v>334</v>
      </c>
      <c r="Z459" s="7" t="s">
        <v>133</v>
      </c>
      <c r="AA459" s="7" t="s">
        <v>40</v>
      </c>
      <c r="AB459" s="7" t="s">
        <v>40</v>
      </c>
    </row>
    <row r="460" spans="1:28" ht="69.95" customHeight="1">
      <c r="A460" s="7">
        <v>2017</v>
      </c>
      <c r="B460" s="7" t="str">
        <f>'[1]V, inciso p) (OP)'!B234</f>
        <v>Licitación Pública</v>
      </c>
      <c r="C460" s="7" t="str">
        <f>'[1]V, inciso p) (OP)'!D234</f>
        <v>DOPI-FED-FF-PAV-LP-178-2017</v>
      </c>
      <c r="D460" s="13">
        <f>'[1]V, inciso p) (OP)'!AD234</f>
        <v>43031</v>
      </c>
      <c r="E460" s="7" t="str">
        <f>'[1]V, inciso p) (OP)'!AL234</f>
        <v>Pavimentación de vialidad de acceso a la Unidad Deportiva Villa de Guadalupe, calle San Pedro y calle Febronio Lara, en la colonia Villa de Guadalupe, municipio de Zapopan, Jalisco, frente 2.</v>
      </c>
      <c r="F460" s="7" t="str">
        <f>'[1]V, inciso p) (OP)'!AR234</f>
        <v>FONDO PARA EL FORTALECIMIENTO FINANCIERO PARA LA INVERSIÓN (FORTALECIMIENTO) 2017 “D”</v>
      </c>
      <c r="G460" s="11">
        <f>'[1]V, inciso p) (OP)'!AJ234</f>
        <v>3727363.88</v>
      </c>
      <c r="H460" s="7" t="str">
        <f>'[1]V, inciso p) (OP)'!AS234</f>
        <v>Colonia Villa de Guadalupe</v>
      </c>
      <c r="I460" s="7" t="str">
        <f>'[1]V, inciso p) (OP)'!T234</f>
        <v>FELIPE DANIEL II</v>
      </c>
      <c r="J460" s="7" t="str">
        <f>'[1]V, inciso p) (OP)'!U234</f>
        <v>NUÑEZ</v>
      </c>
      <c r="K460" s="7" t="str">
        <f>'[1]V, inciso p) (OP)'!V234</f>
        <v>PINZON</v>
      </c>
      <c r="L460" s="7" t="str">
        <f>'[1]V, inciso p) (OP)'!W234</f>
        <v>GRUPO NUVECO, S.A. DE C.V.</v>
      </c>
      <c r="M460" s="7" t="str">
        <f>'[1]V, inciso p) (OP)'!X234</f>
        <v>GNU120809KX1</v>
      </c>
      <c r="N460" s="11">
        <f t="shared" si="12"/>
        <v>3727363.88</v>
      </c>
      <c r="O460" s="7" t="s">
        <v>40</v>
      </c>
      <c r="P460" s="14" t="s">
        <v>1183</v>
      </c>
      <c r="Q460" s="12">
        <f>N460/1438</f>
        <v>2592.0472044506259</v>
      </c>
      <c r="R460" s="7" t="s">
        <v>42</v>
      </c>
      <c r="S460" s="15">
        <v>4596</v>
      </c>
      <c r="T460" s="7" t="s">
        <v>43</v>
      </c>
      <c r="U460" s="7" t="s">
        <v>584</v>
      </c>
      <c r="V460" s="13">
        <f>'[1]V, inciso p) (OP)'!AM234</f>
        <v>43031</v>
      </c>
      <c r="W460" s="13">
        <f>'[1]V, inciso p) (OP)'!AN234</f>
        <v>43106</v>
      </c>
      <c r="X460" s="7" t="s">
        <v>671</v>
      </c>
      <c r="Y460" s="7" t="s">
        <v>334</v>
      </c>
      <c r="Z460" s="7" t="s">
        <v>133</v>
      </c>
      <c r="AA460" s="7" t="s">
        <v>40</v>
      </c>
      <c r="AB460" s="7" t="s">
        <v>40</v>
      </c>
    </row>
    <row r="461" spans="1:28" ht="69.95" customHeight="1">
      <c r="A461" s="7">
        <v>2017</v>
      </c>
      <c r="B461" s="7" t="s">
        <v>64</v>
      </c>
      <c r="C461" s="7" t="str">
        <f>'[1]V, inciso o) (OP)'!C233</f>
        <v>DOPI-EST-CR-PAV-AD-179-2017</v>
      </c>
      <c r="D461" s="13">
        <f>'[1]V, inciso o) (OP)'!V233</f>
        <v>42958</v>
      </c>
      <c r="E461" s="7" t="str">
        <f>'[1]V, inciso o) (OP)'!AA233</f>
        <v>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v>
      </c>
      <c r="F461" s="7" t="s">
        <v>669</v>
      </c>
      <c r="G461" s="11">
        <f>'[1]V, inciso o) (OP)'!Y233</f>
        <v>956408.83</v>
      </c>
      <c r="H461" s="7" t="s">
        <v>1184</v>
      </c>
      <c r="I461" s="7" t="str">
        <f>'[1]V, inciso o) (OP)'!M233</f>
        <v>OSCAR</v>
      </c>
      <c r="J461" s="7" t="str">
        <f>'[1]V, inciso o) (OP)'!N233</f>
        <v>MARTÍNEZ</v>
      </c>
      <c r="K461" s="7" t="str">
        <f>'[1]V, inciso o) (OP)'!O233</f>
        <v>RODRÍGUEZ</v>
      </c>
      <c r="L461" s="7" t="str">
        <f>'[1]V, inciso o) (OP)'!P233</f>
        <v>CADACO CONSTRUCCIÓNES, S.A. DE C.V.</v>
      </c>
      <c r="M461" s="7" t="str">
        <f>'[1]V, inciso o) (OP)'!Q233</f>
        <v>CCO070612CT2</v>
      </c>
      <c r="N461" s="11">
        <f t="shared" si="12"/>
        <v>956408.83</v>
      </c>
      <c r="O461" s="7" t="s">
        <v>40</v>
      </c>
      <c r="P461" s="7" t="s">
        <v>1185</v>
      </c>
      <c r="Q461" s="11">
        <f>N461/660</f>
        <v>1449.1042878787878</v>
      </c>
      <c r="R461" s="7" t="s">
        <v>42</v>
      </c>
      <c r="S461" s="15">
        <v>456</v>
      </c>
      <c r="T461" s="7" t="s">
        <v>43</v>
      </c>
      <c r="U461" s="7" t="s">
        <v>584</v>
      </c>
      <c r="V461" s="13">
        <f>'[1]V, inciso o) (OP)'!AD233</f>
        <v>42958</v>
      </c>
      <c r="W461" s="13">
        <f>'[1]V, inciso o) (OP)'!AE233</f>
        <v>43008</v>
      </c>
      <c r="X461" s="7" t="s">
        <v>556</v>
      </c>
      <c r="Y461" s="7" t="s">
        <v>1186</v>
      </c>
      <c r="Z461" s="7" t="s">
        <v>1187</v>
      </c>
      <c r="AA461" s="7" t="s">
        <v>40</v>
      </c>
      <c r="AB461" s="7" t="s">
        <v>40</v>
      </c>
    </row>
    <row r="462" spans="1:28" ht="69.95" customHeight="1">
      <c r="A462" s="7">
        <v>2017</v>
      </c>
      <c r="B462" s="7" t="s">
        <v>64</v>
      </c>
      <c r="C462" s="7" t="str">
        <f>'[1]V, inciso o) (OP)'!C234</f>
        <v>DOPI-MUN-RM-APDS-180-2017</v>
      </c>
      <c r="D462" s="13">
        <f>'[1]V, inciso o) (OP)'!V234</f>
        <v>42951</v>
      </c>
      <c r="E462" s="7" t="str">
        <f>'[1]V, inciso o) (OP)'!AA234</f>
        <v>Construcción de línea de impulsión del pozo a tanque de almacenamiento y rehabilitación de tanque superficial de almacenamiento de agua en el Ejido Copalita, municipio de Zapopan, Jalisco.</v>
      </c>
      <c r="F462" s="7" t="s">
        <v>67</v>
      </c>
      <c r="G462" s="11">
        <f>'[1]V, inciso o) (OP)'!Y234</f>
        <v>1248911.51</v>
      </c>
      <c r="H462" s="7" t="s">
        <v>1188</v>
      </c>
      <c r="I462" s="7" t="str">
        <f>'[1]V, inciso o) (OP)'!M234</f>
        <v>ERICK</v>
      </c>
      <c r="J462" s="7" t="str">
        <f>'[1]V, inciso o) (OP)'!N234</f>
        <v>VILLASEÑOR</v>
      </c>
      <c r="K462" s="7" t="str">
        <f>'[1]V, inciso o) (OP)'!O234</f>
        <v>GUTIÉRREZ</v>
      </c>
      <c r="L462" s="7" t="str">
        <f>'[1]V, inciso o) (OP)'!P234</f>
        <v>PIXIDE CONSTRUCTORA, S.A. DE C.V.</v>
      </c>
      <c r="M462" s="7" t="str">
        <f>'[1]V, inciso o) (OP)'!Q234</f>
        <v>PCO140829425</v>
      </c>
      <c r="N462" s="11">
        <f t="shared" si="12"/>
        <v>1248911.51</v>
      </c>
      <c r="O462" s="7" t="s">
        <v>40</v>
      </c>
      <c r="P462" s="7" t="s">
        <v>1189</v>
      </c>
      <c r="Q462" s="11">
        <f>N462/392</f>
        <v>3185.9987500000002</v>
      </c>
      <c r="R462" s="7" t="s">
        <v>42</v>
      </c>
      <c r="S462" s="15">
        <v>186</v>
      </c>
      <c r="T462" s="7" t="s">
        <v>43</v>
      </c>
      <c r="U462" s="7" t="s">
        <v>584</v>
      </c>
      <c r="V462" s="13">
        <f>'[1]V, inciso o) (OP)'!AD234</f>
        <v>42954</v>
      </c>
      <c r="W462" s="13">
        <f>'[1]V, inciso o) (OP)'!AE234</f>
        <v>43008</v>
      </c>
      <c r="X462" s="7" t="s">
        <v>699</v>
      </c>
      <c r="Y462" s="7" t="s">
        <v>513</v>
      </c>
      <c r="Z462" s="7" t="s">
        <v>280</v>
      </c>
      <c r="AA462" s="7" t="s">
        <v>40</v>
      </c>
      <c r="AB462" s="7" t="s">
        <v>40</v>
      </c>
    </row>
    <row r="463" spans="1:28" ht="69.95" customHeight="1">
      <c r="A463" s="7">
        <v>2017</v>
      </c>
      <c r="B463" s="7" t="s">
        <v>64</v>
      </c>
      <c r="C463" s="7" t="str">
        <f>'[1]V, inciso o) (OP)'!C235</f>
        <v>DOPI-MUN-R33R-APDS-AD-181-2017</v>
      </c>
      <c r="D463" s="13">
        <f>'[1]V, inciso o) (OP)'!V235</f>
        <v>42977</v>
      </c>
      <c r="E463" s="7" t="str">
        <f>'[1]V, inciso o) (OP)'!AA235</f>
        <v>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v>
      </c>
      <c r="F463" s="7" t="s">
        <v>1190</v>
      </c>
      <c r="G463" s="11">
        <f>'[1]V, inciso o) (OP)'!Y235</f>
        <v>1655035.68</v>
      </c>
      <c r="H463" s="7" t="s">
        <v>1191</v>
      </c>
      <c r="I463" s="7" t="str">
        <f>'[1]V, inciso o) (OP)'!M235</f>
        <v>RAFAEL AUGUSTO</v>
      </c>
      <c r="J463" s="7" t="str">
        <f>'[1]V, inciso o) (OP)'!N235</f>
        <v>CABALLERO</v>
      </c>
      <c r="K463" s="7" t="str">
        <f>'[1]V, inciso o) (OP)'!O235</f>
        <v>QUIRARTE</v>
      </c>
      <c r="L463" s="7" t="str">
        <f>'[1]V, inciso o) (OP)'!P235</f>
        <v>PROYECTOS ARQUITECTONICOS TRIANGULO, S.A. DE C.V.</v>
      </c>
      <c r="M463" s="7" t="str">
        <f>'[1]V, inciso o) (OP)'!Q235</f>
        <v>PAT110331HH0</v>
      </c>
      <c r="N463" s="11">
        <f t="shared" si="12"/>
        <v>1655035.68</v>
      </c>
      <c r="O463" s="7" t="s">
        <v>40</v>
      </c>
      <c r="P463" s="7" t="s">
        <v>1192</v>
      </c>
      <c r="Q463" s="11">
        <f>N463/489</f>
        <v>3384.531042944785</v>
      </c>
      <c r="R463" s="7" t="s">
        <v>42</v>
      </c>
      <c r="S463" s="15">
        <v>695</v>
      </c>
      <c r="T463" s="7" t="s">
        <v>43</v>
      </c>
      <c r="U463" s="7" t="s">
        <v>584</v>
      </c>
      <c r="V463" s="13">
        <f>'[1]V, inciso o) (OP)'!AD235</f>
        <v>42982</v>
      </c>
      <c r="W463" s="13">
        <f>'[1]V, inciso o) (OP)'!AE235</f>
        <v>43039</v>
      </c>
      <c r="X463" s="7" t="s">
        <v>1054</v>
      </c>
      <c r="Y463" s="7" t="s">
        <v>1193</v>
      </c>
      <c r="Z463" s="7" t="s">
        <v>1194</v>
      </c>
      <c r="AA463" s="7" t="s">
        <v>40</v>
      </c>
      <c r="AB463" s="7" t="s">
        <v>40</v>
      </c>
    </row>
    <row r="464" spans="1:28" ht="69.95" customHeight="1">
      <c r="A464" s="7">
        <v>2017</v>
      </c>
      <c r="B464" s="7" t="s">
        <v>64</v>
      </c>
      <c r="C464" s="7" t="str">
        <f>'[1]V, inciso o) (OP)'!C236</f>
        <v>DOPI-MUN-RM-MOV-AD-182-2017</v>
      </c>
      <c r="D464" s="13">
        <f>'[1]V, inciso o) (OP)'!V236</f>
        <v>42920</v>
      </c>
      <c r="E464" s="7" t="str">
        <f>'[1]V, inciso o) (OP)'!AA236</f>
        <v>Señalética horizontal-vertical y obra complementaria en la calle Jalisco de la calle Aldama a la calle San Francisco, en la localidad de Tesistán, municipio de Zapopan, Jalisco.</v>
      </c>
      <c r="F464" s="7" t="s">
        <v>67</v>
      </c>
      <c r="G464" s="11">
        <f>'[1]V, inciso o) (OP)'!Y236</f>
        <v>328518.01</v>
      </c>
      <c r="H464" s="7" t="s">
        <v>794</v>
      </c>
      <c r="I464" s="7" t="str">
        <f>'[1]V, inciso o) (OP)'!M236</f>
        <v>JULIO EDUARDO</v>
      </c>
      <c r="J464" s="7" t="str">
        <f>'[1]V, inciso o) (OP)'!N236</f>
        <v>LÓPEZ</v>
      </c>
      <c r="K464" s="7" t="str">
        <f>'[1]V, inciso o) (OP)'!O236</f>
        <v>PÉREZ</v>
      </c>
      <c r="L464" s="7" t="str">
        <f>'[1]V, inciso o) (OP)'!P236</f>
        <v>PROYECTOS E INSUMOS INDUSTRIALES JELP, S.A. DE C.V.</v>
      </c>
      <c r="M464" s="7" t="str">
        <f>'[1]V, inciso o) (OP)'!Q236</f>
        <v>PEI020208RW0</v>
      </c>
      <c r="N464" s="11">
        <f t="shared" si="12"/>
        <v>328518.01</v>
      </c>
      <c r="O464" s="7" t="s">
        <v>40</v>
      </c>
      <c r="P464" s="7" t="s">
        <v>1195</v>
      </c>
      <c r="Q464" s="11">
        <f>N464/28</f>
        <v>11732.786071428573</v>
      </c>
      <c r="R464" s="7" t="s">
        <v>42</v>
      </c>
      <c r="S464" s="15">
        <v>956</v>
      </c>
      <c r="T464" s="7" t="s">
        <v>43</v>
      </c>
      <c r="U464" s="7" t="s">
        <v>584</v>
      </c>
      <c r="V464" s="13">
        <f>'[1]V, inciso o) (OP)'!AD236</f>
        <v>42926</v>
      </c>
      <c r="W464" s="13">
        <f>'[1]V, inciso o) (OP)'!AE236</f>
        <v>42962</v>
      </c>
      <c r="X464" s="7" t="s">
        <v>963</v>
      </c>
      <c r="Y464" s="7" t="s">
        <v>1196</v>
      </c>
      <c r="Z464" s="7" t="s">
        <v>212</v>
      </c>
      <c r="AA464" s="7" t="s">
        <v>40</v>
      </c>
      <c r="AB464" s="7" t="s">
        <v>40</v>
      </c>
    </row>
    <row r="465" spans="1:28" ht="69.95" customHeight="1">
      <c r="A465" s="7">
        <v>2017</v>
      </c>
      <c r="B465" s="7" t="s">
        <v>64</v>
      </c>
      <c r="C465" s="7" t="str">
        <f>'[1]V, inciso o) (OP)'!C237</f>
        <v>DOPI-MUN-R33R-AP-AD-183-2017</v>
      </c>
      <c r="D465" s="13">
        <f>'[1]V, inciso o) (OP)'!V237</f>
        <v>42979</v>
      </c>
      <c r="E465" s="7" t="str">
        <f>'[1]V, inciso o) (OP)'!AA237</f>
        <v>Construcción de red de agua potable en la calle Vicente Guerrero de Pinos a la Av. Agua Fría, Privada Vicente Guerrero, Andador Pinos de Pinos a calle Agua Fría en la colonia Miguel Hidalgo, municipio de Zapopan, Jalisco.</v>
      </c>
      <c r="F465" s="7" t="s">
        <v>1190</v>
      </c>
      <c r="G465" s="11">
        <f>'[1]V, inciso o) (OP)'!Y237</f>
        <v>892500.25</v>
      </c>
      <c r="H465" s="7" t="s">
        <v>1197</v>
      </c>
      <c r="I465" s="7" t="str">
        <f>'[1]V, inciso o) (OP)'!M237</f>
        <v>MIGUEL ÁNGEL</v>
      </c>
      <c r="J465" s="7" t="str">
        <f>'[1]V, inciso o) (OP)'!N237</f>
        <v>RUÍZ</v>
      </c>
      <c r="K465" s="7" t="str">
        <f>'[1]V, inciso o) (OP)'!O237</f>
        <v>CASTAÑEDA</v>
      </c>
      <c r="L465" s="7" t="str">
        <f>'[1]V, inciso o) (OP)'!P237</f>
        <v>SERVICIOS DE INGENIERIA APLICADA, S.A. DE C.V.</v>
      </c>
      <c r="M465" s="7" t="str">
        <f>'[1]V, inciso o) (OP)'!Q237</f>
        <v>SIA011224UN1</v>
      </c>
      <c r="N465" s="11">
        <f t="shared" si="12"/>
        <v>892500.25</v>
      </c>
      <c r="O465" s="7" t="s">
        <v>40</v>
      </c>
      <c r="P465" s="7" t="s">
        <v>1198</v>
      </c>
      <c r="Q465" s="11">
        <f>N465/512</f>
        <v>1743.16455078125</v>
      </c>
      <c r="R465" s="7" t="s">
        <v>42</v>
      </c>
      <c r="S465" s="15">
        <v>351</v>
      </c>
      <c r="T465" s="7" t="s">
        <v>43</v>
      </c>
      <c r="U465" s="7" t="s">
        <v>584</v>
      </c>
      <c r="V465" s="13">
        <f>'[1]V, inciso o) (OP)'!AD237</f>
        <v>42984</v>
      </c>
      <c r="W465" s="13">
        <f>'[1]V, inciso o) (OP)'!AE237</f>
        <v>43033</v>
      </c>
      <c r="X465" s="7" t="s">
        <v>999</v>
      </c>
      <c r="Y465" s="7" t="s">
        <v>1075</v>
      </c>
      <c r="Z465" s="7" t="s">
        <v>1001</v>
      </c>
      <c r="AA465" s="7" t="s">
        <v>40</v>
      </c>
      <c r="AB465" s="7" t="s">
        <v>40</v>
      </c>
    </row>
    <row r="466" spans="1:28" ht="69.95" customHeight="1">
      <c r="A466" s="7">
        <v>2017</v>
      </c>
      <c r="B466" s="7" t="str">
        <f>'[1]V, inciso p) (OP)'!B235</f>
        <v>Licitación por Invitación Restringida</v>
      </c>
      <c r="C466" s="7" t="str">
        <f>'[1]V, inciso p) (OP)'!D235</f>
        <v>DOPI-MUN-RM-SP-CI-184-2017</v>
      </c>
      <c r="D466" s="13">
        <f>'[1]V, inciso p) (OP)'!AD235</f>
        <v>43031</v>
      </c>
      <c r="E466" s="7" t="str">
        <f>'[1]V, inciso p) (OP)'!AL235</f>
        <v>Elaboración de proyecto, obra complementaria suministro de equipos y puesta en marcha del Centro de comando, control, comunicaciones, cómputo y coordinación del complejo C4 en el Edificio de Seguridad Pública en Zapopan, Jalisco.</v>
      </c>
      <c r="F466" s="7" t="str">
        <f>'[1]V, inciso p) (OP)'!AR235</f>
        <v>Recurso Propio</v>
      </c>
      <c r="G466" s="11">
        <f>'[1]V, inciso p) (OP)'!AJ235</f>
        <v>134997173.33000001</v>
      </c>
      <c r="H466" s="7" t="str">
        <f>'[1]V, inciso p) (OP)'!AS235</f>
        <v>Colonia Villa de los Belenes</v>
      </c>
      <c r="I466" s="7" t="str">
        <f>'[1]V, inciso p) (OP)'!T235</f>
        <v>HÉCTOR MARIO</v>
      </c>
      <c r="J466" s="7" t="str">
        <f>'[1]V, inciso p) (OP)'!U235</f>
        <v xml:space="preserve">CHAVIRA </v>
      </c>
      <c r="K466" s="7" t="str">
        <f>'[1]V, inciso p) (OP)'!V235</f>
        <v>PEÑA</v>
      </c>
      <c r="L466" s="7" t="str">
        <f>'[1]V, inciso p) (OP)'!W235</f>
        <v>HEMAC TELEINFORMATICA, S.A DE C.V.</v>
      </c>
      <c r="M466" s="7" t="str">
        <f>'[1]V, inciso p) (OP)'!X235</f>
        <v>HTE990426RR1</v>
      </c>
      <c r="N466" s="11">
        <f>G466</f>
        <v>134997173.33000001</v>
      </c>
      <c r="O466" s="7" t="s">
        <v>40</v>
      </c>
      <c r="P466" s="14" t="s">
        <v>862</v>
      </c>
      <c r="Q466" s="12">
        <f>N466</f>
        <v>134997173.33000001</v>
      </c>
      <c r="R466" s="7" t="s">
        <v>42</v>
      </c>
      <c r="S466" s="15">
        <v>1332272</v>
      </c>
      <c r="T466" s="7" t="s">
        <v>43</v>
      </c>
      <c r="U466" s="7" t="s">
        <v>584</v>
      </c>
      <c r="V466" s="13">
        <f>'[1]V, inciso p) (OP)'!AM235</f>
        <v>43031</v>
      </c>
      <c r="W466" s="13">
        <f>'[1]V, inciso p) (OP)'!AN235</f>
        <v>43179</v>
      </c>
      <c r="X466" s="7" t="s">
        <v>671</v>
      </c>
      <c r="Y466" s="7" t="s">
        <v>334</v>
      </c>
      <c r="Z466" s="7" t="s">
        <v>133</v>
      </c>
      <c r="AA466" s="7" t="s">
        <v>40</v>
      </c>
      <c r="AB466" s="7" t="s">
        <v>40</v>
      </c>
    </row>
    <row r="467" spans="1:28" ht="69.95" customHeight="1">
      <c r="A467" s="7">
        <v>2017</v>
      </c>
      <c r="B467" s="7" t="str">
        <f>'[1]V, inciso p) (OP)'!B236</f>
        <v>Invitación a Cuando Menos Tres Personas</v>
      </c>
      <c r="C467" s="7" t="str">
        <f>'[1]V, inciso p) (OP)'!D236</f>
        <v>DOPI-FED-FF-PAV-CI-185-2017</v>
      </c>
      <c r="D467" s="13">
        <f>'[1]V, inciso p) (OP)'!AD236</f>
        <v>43031</v>
      </c>
      <c r="E467" s="7" t="str">
        <f>'[1]V, inciso p) (OP)'!AL236</f>
        <v>Pavimentación de vialidad de acceso al Centro de Desarrollo Comunitario Miramar, calle Prolongación Guadalupe, en las colonias Miramar y Carlos Rivera Aceves, municipio de Zapopan, Jalisco.</v>
      </c>
      <c r="F467" s="7" t="str">
        <f>'[1]V, inciso p) (OP)'!AR236</f>
        <v>FONDO PARA EL FORTALECIMIENTO FINANCIERO PARA LA INVERSIÓN (FORTALECIMIENTO) 2017 “D”</v>
      </c>
      <c r="G467" s="11">
        <f>'[1]V, inciso p) (OP)'!AJ236</f>
        <v>2964448.14</v>
      </c>
      <c r="H467" s="7" t="str">
        <f>'[1]V, inciso p) (OP)'!AS236</f>
        <v>Colonia Miramar</v>
      </c>
      <c r="I467" s="7" t="str">
        <f>'[1]V, inciso p) (OP)'!T236</f>
        <v>JOSÉ OMAR</v>
      </c>
      <c r="J467" s="7" t="str">
        <f>'[1]V, inciso p) (OP)'!U236</f>
        <v>FERNÁNDEZ</v>
      </c>
      <c r="K467" s="7" t="str">
        <f>'[1]V, inciso p) (OP)'!V236</f>
        <v>VÁZQUEZ</v>
      </c>
      <c r="L467" s="7" t="str">
        <f>'[1]V, inciso p) (OP)'!W236</f>
        <v>EXTRA CONSTRUCCIÓNES, S.A. DE C.V.</v>
      </c>
      <c r="M467" s="7" t="str">
        <f>'[1]V, inciso p) (OP)'!X236</f>
        <v>ECO0908115Z7</v>
      </c>
      <c r="N467" s="11">
        <f t="shared" ref="N467:N519" si="13">G467</f>
        <v>2964448.14</v>
      </c>
      <c r="O467" s="7" t="s">
        <v>40</v>
      </c>
      <c r="P467" s="14" t="s">
        <v>1199</v>
      </c>
      <c r="Q467" s="12">
        <f>N467/619</f>
        <v>4789.0923101777062</v>
      </c>
      <c r="R467" s="7" t="s">
        <v>42</v>
      </c>
      <c r="S467" s="15">
        <v>5231</v>
      </c>
      <c r="T467" s="7" t="s">
        <v>43</v>
      </c>
      <c r="U467" s="7" t="s">
        <v>584</v>
      </c>
      <c r="V467" s="13">
        <f>'[1]V, inciso p) (OP)'!AM236</f>
        <v>43031</v>
      </c>
      <c r="W467" s="13">
        <f>'[1]V, inciso p) (OP)'!AN236</f>
        <v>43106</v>
      </c>
      <c r="X467" s="7" t="s">
        <v>967</v>
      </c>
      <c r="Y467" s="7" t="s">
        <v>383</v>
      </c>
      <c r="Z467" s="7" t="s">
        <v>300</v>
      </c>
      <c r="AA467" s="7" t="s">
        <v>40</v>
      </c>
      <c r="AB467" s="7" t="s">
        <v>40</v>
      </c>
    </row>
    <row r="468" spans="1:28" ht="69.95" customHeight="1">
      <c r="A468" s="7">
        <v>2017</v>
      </c>
      <c r="B468" s="7" t="str">
        <f>'[1]V, inciso p) (OP)'!B237</f>
        <v>Invitación a Cuando Menos Tres Personas</v>
      </c>
      <c r="C468" s="7" t="str">
        <f>'[1]V, inciso p) (OP)'!D237</f>
        <v>DOPI-FED-FF-PAV-CI-186-2017</v>
      </c>
      <c r="D468" s="13">
        <f>'[1]V, inciso p) (OP)'!AD237</f>
        <v>43031</v>
      </c>
      <c r="E468" s="7" t="str">
        <f>'[1]V, inciso p) (OP)'!AL237</f>
        <v>Pavimentación de vialidad de acceso al Centro de Desarrollo Comunitario San Juan de Ocotán, calle 16 de Septiembre, en San Juan de Ocotán, municipio de Zapopan, Jalisco.</v>
      </c>
      <c r="F468" s="7" t="str">
        <f>'[1]V, inciso p) (OP)'!AR237</f>
        <v>FONDO PARA EL FORTALECIMIENTO FINANCIERO PARA LA INVERSIÓN (FORTALECIMIENTO) 2017 “D”</v>
      </c>
      <c r="G468" s="11">
        <f>'[1]V, inciso p) (OP)'!AJ237</f>
        <v>3951124.41</v>
      </c>
      <c r="H468" s="7" t="str">
        <f>'[1]V, inciso p) (OP)'!AS237</f>
        <v>San Juan de Ocotán</v>
      </c>
      <c r="I468" s="7" t="str">
        <f>'[1]V, inciso p) (OP)'!T237</f>
        <v>JUAN JOSÉ</v>
      </c>
      <c r="J468" s="7" t="str">
        <f>'[1]V, inciso p) (OP)'!U237</f>
        <v>GUTIÉRREZ</v>
      </c>
      <c r="K468" s="7" t="str">
        <f>'[1]V, inciso p) (OP)'!V237</f>
        <v>CONTRERAS</v>
      </c>
      <c r="L468" s="7" t="str">
        <f>'[1]V, inciso p) (OP)'!W237</f>
        <v>RENCOIST CONSTRUCCIÓNES, S.A. DE C.V.</v>
      </c>
      <c r="M468" s="7" t="str">
        <f>'[1]V, inciso p) (OP)'!X237</f>
        <v>RCO130920JX9</v>
      </c>
      <c r="N468" s="11">
        <f t="shared" si="13"/>
        <v>3951124.41</v>
      </c>
      <c r="O468" s="7" t="s">
        <v>40</v>
      </c>
      <c r="P468" s="14" t="s">
        <v>1200</v>
      </c>
      <c r="Q468" s="12">
        <f>N468/1296</f>
        <v>3048.7071064814818</v>
      </c>
      <c r="R468" s="7" t="s">
        <v>42</v>
      </c>
      <c r="S468" s="15">
        <v>4320</v>
      </c>
      <c r="T468" s="7" t="s">
        <v>43</v>
      </c>
      <c r="U468" s="7" t="s">
        <v>584</v>
      </c>
      <c r="V468" s="13">
        <f>'[1]V, inciso p) (OP)'!AM237</f>
        <v>43031</v>
      </c>
      <c r="W468" s="13">
        <f>'[1]V, inciso p) (OP)'!AN237</f>
        <v>43106</v>
      </c>
      <c r="X468" s="7" t="s">
        <v>1086</v>
      </c>
      <c r="Y468" s="7" t="s">
        <v>687</v>
      </c>
      <c r="Z468" s="7" t="s">
        <v>268</v>
      </c>
      <c r="AA468" s="7" t="s">
        <v>40</v>
      </c>
      <c r="AB468" s="7" t="s">
        <v>40</v>
      </c>
    </row>
    <row r="469" spans="1:28" ht="69.95" customHeight="1">
      <c r="A469" s="7">
        <v>2017</v>
      </c>
      <c r="B469" s="7" t="str">
        <f>'[1]V, inciso p) (OP)'!B238</f>
        <v>Invitación a Cuando Menos Tres Personas</v>
      </c>
      <c r="C469" s="7" t="str">
        <f>'[1]V, inciso p) (OP)'!D238</f>
        <v>DOPI-FED-FF-PAV-CI-187-2017</v>
      </c>
      <c r="D469" s="13">
        <f>'[1]V, inciso p) (OP)'!AD238</f>
        <v>43031</v>
      </c>
      <c r="E469" s="7" t="str">
        <f>'[1]V, inciso p) (OP)'!AL238</f>
        <v>Pavimentación de vialidad de acceso a la Unidad Paseos del Briseño, calle Magnolia, en las colonias Paseos del Briseño y Agrícola, municipio de Zapopan, Jalisco.</v>
      </c>
      <c r="F469" s="7" t="str">
        <f>'[1]V, inciso p) (OP)'!AR238</f>
        <v>FONDO PARA EL FORTALECIMIENTO FINANCIERO PARA LA INVERSIÓN (FORTALECIMIENTO) 2017 “D”</v>
      </c>
      <c r="G469" s="11">
        <f>'[1]V, inciso p) (OP)'!AJ238</f>
        <v>3457394.66</v>
      </c>
      <c r="H469" s="7" t="str">
        <f>'[1]V, inciso p) (OP)'!AS238</f>
        <v>Colonias Paseos del Briseño y Agrícola</v>
      </c>
      <c r="I469" s="7" t="str">
        <f>'[1]V, inciso p) (OP)'!T238</f>
        <v xml:space="preserve"> BERNARDO </v>
      </c>
      <c r="J469" s="7" t="str">
        <f>'[1]V, inciso p) (OP)'!U238</f>
        <v xml:space="preserve">SAENZ </v>
      </c>
      <c r="K469" s="7" t="str">
        <f>'[1]V, inciso p) (OP)'!V238</f>
        <v>BARBA</v>
      </c>
      <c r="L469" s="7" t="str">
        <f>'[1]V, inciso p) (OP)'!W238</f>
        <v>GRUPO EDIFICADOR MAYAB, S.A. DE C.V.</v>
      </c>
      <c r="M469" s="7" t="str">
        <f>'[1]V, inciso p) (OP)'!X238</f>
        <v>GEM070112PX8</v>
      </c>
      <c r="N469" s="11">
        <f t="shared" si="13"/>
        <v>3457394.66</v>
      </c>
      <c r="O469" s="7" t="s">
        <v>40</v>
      </c>
      <c r="P469" s="14" t="s">
        <v>1201</v>
      </c>
      <c r="Q469" s="12">
        <f>N469/1015</f>
        <v>3406.3001576354682</v>
      </c>
      <c r="R469" s="7" t="s">
        <v>42</v>
      </c>
      <c r="S469" s="15">
        <v>3569</v>
      </c>
      <c r="T469" s="7" t="s">
        <v>43</v>
      </c>
      <c r="U469" s="7" t="s">
        <v>584</v>
      </c>
      <c r="V469" s="13">
        <f>'[1]V, inciso p) (OP)'!AM238</f>
        <v>43031</v>
      </c>
      <c r="W469" s="13">
        <f>'[1]V, inciso p) (OP)'!AN238</f>
        <v>43106</v>
      </c>
      <c r="X469" s="7" t="s">
        <v>967</v>
      </c>
      <c r="Y469" s="7" t="s">
        <v>432</v>
      </c>
      <c r="Z469" s="7" t="s">
        <v>433</v>
      </c>
      <c r="AA469" s="7" t="s">
        <v>40</v>
      </c>
      <c r="AB469" s="7" t="s">
        <v>40</v>
      </c>
    </row>
    <row r="470" spans="1:28" ht="69.95" customHeight="1">
      <c r="A470" s="7">
        <v>2017</v>
      </c>
      <c r="B470" s="7" t="str">
        <f>'[1]V, inciso p) (OP)'!B239</f>
        <v>Invitación a Cuando Menos Tres Personas</v>
      </c>
      <c r="C470" s="7" t="str">
        <f>'[1]V, inciso p) (OP)'!D239</f>
        <v>DOPI-FED-FF-PAV-CI-188-2017</v>
      </c>
      <c r="D470" s="13">
        <f>'[1]V, inciso p) (OP)'!AD239</f>
        <v>43031</v>
      </c>
      <c r="E470" s="7" t="str">
        <f>'[1]V, inciso p) (OP)'!AL239</f>
        <v>Reencarpetado y peatonalización de vialidad de acceso a la Unidad Deportiva Santa María del Pueblito, calle independencia, en Santa María del Pueblito, municipio de Zapopan, Jalisco.</v>
      </c>
      <c r="F470" s="7" t="str">
        <f>'[1]V, inciso p) (OP)'!AR239</f>
        <v>FONDO PARA EL FORTALECIMIENTO FINANCIERO PARA LA INVERSIÓN (FORTALECIMIENTO) 2017 “D”</v>
      </c>
      <c r="G470" s="11">
        <f>'[1]V, inciso p) (OP)'!AJ239</f>
        <v>3951449.09</v>
      </c>
      <c r="H470" s="7" t="str">
        <f>'[1]V, inciso p) (OP)'!AS239</f>
        <v>Colonia Santa Maria del Pueblito</v>
      </c>
      <c r="I470" s="7" t="str">
        <f>'[1]V, inciso p) (OP)'!T239</f>
        <v>ÁNGEL SALOMÓN</v>
      </c>
      <c r="J470" s="7" t="str">
        <f>'[1]V, inciso p) (OP)'!U239</f>
        <v>RINCÓN</v>
      </c>
      <c r="K470" s="7" t="str">
        <f>'[1]V, inciso p) (OP)'!V239</f>
        <v>DE LA ROSA</v>
      </c>
      <c r="L470" s="7" t="str">
        <f>'[1]V, inciso p) (OP)'!W239</f>
        <v>ARO ASFALTOS Y RIEGOS DE OCCIDENTE, S.A. DE C.V.</v>
      </c>
      <c r="M470" s="7" t="str">
        <f>'[1]V, inciso p) (OP)'!X239</f>
        <v>AAR120507VA9</v>
      </c>
      <c r="N470" s="11">
        <f t="shared" si="13"/>
        <v>3951449.09</v>
      </c>
      <c r="O470" s="7" t="s">
        <v>40</v>
      </c>
      <c r="P470" s="14" t="s">
        <v>1202</v>
      </c>
      <c r="Q470" s="12">
        <f>N470/4885</f>
        <v>808.89438894575233</v>
      </c>
      <c r="R470" s="7" t="s">
        <v>42</v>
      </c>
      <c r="S470" s="15">
        <v>6982</v>
      </c>
      <c r="T470" s="7" t="s">
        <v>43</v>
      </c>
      <c r="U470" s="7" t="s">
        <v>584</v>
      </c>
      <c r="V470" s="13">
        <f>'[1]V, inciso p) (OP)'!AM239</f>
        <v>43031</v>
      </c>
      <c r="W470" s="13">
        <f>'[1]V, inciso p) (OP)'!AN239</f>
        <v>43106</v>
      </c>
      <c r="X470" s="7" t="s">
        <v>591</v>
      </c>
      <c r="Y470" s="7" t="s">
        <v>46</v>
      </c>
      <c r="Z470" s="7" t="s">
        <v>47</v>
      </c>
      <c r="AA470" s="7" t="s">
        <v>40</v>
      </c>
      <c r="AB470" s="7" t="s">
        <v>40</v>
      </c>
    </row>
    <row r="471" spans="1:28" ht="69.95" customHeight="1">
      <c r="A471" s="7">
        <v>2017</v>
      </c>
      <c r="B471" s="7" t="str">
        <f>'[1]V, inciso p) (OP)'!B240</f>
        <v>Invitación a Cuando Menos Tres Personas</v>
      </c>
      <c r="C471" s="7" t="str">
        <f>'[1]V, inciso p) (OP)'!D240</f>
        <v>DOPI-FED-FF-PAV-CI-189-2017</v>
      </c>
      <c r="D471" s="13">
        <f>'[1]V, inciso p) (OP)'!AD240</f>
        <v>43031</v>
      </c>
      <c r="E471" s="7" t="str">
        <f>'[1]V, inciso p) (OP)'!AL240</f>
        <v>Reencarpetado y peatonalización de vialidad de acceso a la Unidad Deportiva Santa Margarita, calle Santa Matilde, en la colonia Santa Margarita, municipio de Zapopan, Jalisco.</v>
      </c>
      <c r="F471" s="7" t="str">
        <f>'[1]V, inciso p) (OP)'!AR240</f>
        <v>FONDO PARA EL FORTALECIMIENTO FINANCIERO PARA LA INVERSIÓN (FORTALECIMIENTO) 2017 “D”</v>
      </c>
      <c r="G471" s="11">
        <f>'[1]V, inciso p) (OP)'!AJ240</f>
        <v>988095.31</v>
      </c>
      <c r="H471" s="7" t="str">
        <f>'[1]V, inciso p) (OP)'!AS240</f>
        <v>Colonia Santa Margarita</v>
      </c>
      <c r="I471" s="7" t="str">
        <f>'[1]V, inciso p) (OP)'!T240</f>
        <v>RODRIGO</v>
      </c>
      <c r="J471" s="7" t="str">
        <f>'[1]V, inciso p) (OP)'!U240</f>
        <v>RAMOS</v>
      </c>
      <c r="K471" s="7" t="str">
        <f>'[1]V, inciso p) (OP)'!V240</f>
        <v>GARIBI</v>
      </c>
      <c r="L471" s="7" t="str">
        <f>'[1]V, inciso p) (OP)'!W240</f>
        <v>METRO ASFALTOS, S.A. DE C.V.</v>
      </c>
      <c r="M471" s="7" t="str">
        <f>'[1]V, inciso p) (OP)'!X240</f>
        <v>CMA070307RU6</v>
      </c>
      <c r="N471" s="11">
        <f t="shared" si="13"/>
        <v>988095.31</v>
      </c>
      <c r="O471" s="7" t="s">
        <v>40</v>
      </c>
      <c r="P471" s="14" t="s">
        <v>1203</v>
      </c>
      <c r="Q471" s="12">
        <f>N471/676</f>
        <v>1461.679452662722</v>
      </c>
      <c r="R471" s="7" t="s">
        <v>42</v>
      </c>
      <c r="S471" s="15">
        <v>8842</v>
      </c>
      <c r="T471" s="7" t="s">
        <v>43</v>
      </c>
      <c r="U471" s="7" t="s">
        <v>584</v>
      </c>
      <c r="V471" s="13">
        <f>'[1]V, inciso p) (OP)'!AM240</f>
        <v>43031</v>
      </c>
      <c r="W471" s="13">
        <f>'[1]V, inciso p) (OP)'!AN240</f>
        <v>43106</v>
      </c>
      <c r="X471" s="7" t="s">
        <v>846</v>
      </c>
      <c r="Y471" s="7" t="s">
        <v>847</v>
      </c>
      <c r="Z471" s="7" t="s">
        <v>848</v>
      </c>
      <c r="AA471" s="7" t="s">
        <v>40</v>
      </c>
      <c r="AB471" s="7" t="s">
        <v>40</v>
      </c>
    </row>
    <row r="472" spans="1:28" ht="69.95" customHeight="1">
      <c r="A472" s="7">
        <v>2017</v>
      </c>
      <c r="B472" s="7" t="str">
        <f>'[1]V, inciso p) (OP)'!B241</f>
        <v>Invitación a Cuando Menos Tres Personas</v>
      </c>
      <c r="C472" s="7" t="str">
        <f>'[1]V, inciso p) (OP)'!D241</f>
        <v>DOPI-FED-FF-DS-CI-190-2017</v>
      </c>
      <c r="D472" s="13">
        <f>'[1]V, inciso p) (OP)'!AD241</f>
        <v>43031</v>
      </c>
      <c r="E472" s="7" t="str">
        <f>'[1]V, inciso p) (OP)'!AL241</f>
        <v>Construcción de colector pluvial sobre la calle Cuarta Poniente, en la colonia Nuevo México, municipio de Zapopan, Jalisco.</v>
      </c>
      <c r="F472" s="7" t="str">
        <f>'[1]V, inciso p) (OP)'!AR241</f>
        <v>FONDO PARA EL FORTALECIMIENTO FINANCIERO PARA LA INVERSIÓN (FORTALECIMIENTO) 2017 “D”</v>
      </c>
      <c r="G472" s="11">
        <f>'[1]V, inciso p) (OP)'!AJ241</f>
        <v>3950882.69</v>
      </c>
      <c r="H472" s="7" t="str">
        <f>'[1]V, inciso p) (OP)'!AS241</f>
        <v>Colonia Nuevo México</v>
      </c>
      <c r="I472" s="7" t="str">
        <f>'[1]V, inciso p) (OP)'!T241</f>
        <v>CARLOS</v>
      </c>
      <c r="J472" s="7" t="str">
        <f>'[1]V, inciso p) (OP)'!U241</f>
        <v>PÉREZ</v>
      </c>
      <c r="K472" s="7" t="str">
        <f>'[1]V, inciso p) (OP)'!V241</f>
        <v>CRUZ</v>
      </c>
      <c r="L472" s="7" t="str">
        <f>'[1]V, inciso p) (OP)'!W241</f>
        <v>CONSTRUCTORA PECRU, S.A. DE C.V.</v>
      </c>
      <c r="M472" s="7" t="str">
        <f>'[1]V, inciso p) (OP)'!X241</f>
        <v>CPE070123PD4</v>
      </c>
      <c r="N472" s="11">
        <f t="shared" si="13"/>
        <v>3950882.69</v>
      </c>
      <c r="O472" s="7" t="s">
        <v>40</v>
      </c>
      <c r="P472" s="14" t="s">
        <v>1204</v>
      </c>
      <c r="Q472" s="12">
        <f>N472/722</f>
        <v>5472.1366897506923</v>
      </c>
      <c r="R472" s="7" t="s">
        <v>42</v>
      </c>
      <c r="S472" s="15">
        <v>1098</v>
      </c>
      <c r="T472" s="7" t="s">
        <v>43</v>
      </c>
      <c r="U472" s="7" t="s">
        <v>584</v>
      </c>
      <c r="V472" s="13">
        <f>'[1]V, inciso p) (OP)'!AM241</f>
        <v>43031</v>
      </c>
      <c r="W472" s="13">
        <f>'[1]V, inciso p) (OP)'!AN241</f>
        <v>43106</v>
      </c>
      <c r="X472" s="7" t="s">
        <v>544</v>
      </c>
      <c r="Y472" s="7" t="s">
        <v>545</v>
      </c>
      <c r="Z472" s="7" t="s">
        <v>212</v>
      </c>
      <c r="AA472" s="7" t="s">
        <v>40</v>
      </c>
      <c r="AB472" s="7" t="s">
        <v>40</v>
      </c>
    </row>
    <row r="473" spans="1:28" ht="69.95" customHeight="1">
      <c r="A473" s="7">
        <v>2017</v>
      </c>
      <c r="B473" s="7" t="str">
        <f>'[1]V, inciso p) (OP)'!B242</f>
        <v>Invitación a Cuando Menos Tres Personas</v>
      </c>
      <c r="C473" s="7" t="str">
        <f>'[1]V, inciso p) (OP)'!D242</f>
        <v>DOPI-FED-FF-DS-CI-191-2017</v>
      </c>
      <c r="D473" s="13">
        <f>'[1]V, inciso p) (OP)'!AD242</f>
        <v>43031</v>
      </c>
      <c r="E473" s="7" t="str">
        <f>'[1]V, inciso p) (OP)'!AL242</f>
        <v>Construcción de colector pluvial calle Atotonilco, en la colonia Nuevo México, municipio de Zapopan, Jalisco.</v>
      </c>
      <c r="F473" s="7" t="str">
        <f>'[1]V, inciso p) (OP)'!AR242</f>
        <v>FONDO PARA EL FORTALECIMIENTO FINANCIERO PARA LA INVERSIÓN (FORTALECIMIENTO) 2017 “D”</v>
      </c>
      <c r="G473" s="11">
        <f>'[1]V, inciso p) (OP)'!AJ242</f>
        <v>3993163.18</v>
      </c>
      <c r="H473" s="7" t="str">
        <f>'[1]V, inciso p) (OP)'!AS242</f>
        <v>Colonia Nuevo México</v>
      </c>
      <c r="I473" s="7" t="str">
        <f>'[1]V, inciso p) (OP)'!T242</f>
        <v>ALFREDO</v>
      </c>
      <c r="J473" s="7" t="str">
        <f>'[1]V, inciso p) (OP)'!U242</f>
        <v>AGUIRRE</v>
      </c>
      <c r="K473" s="7" t="str">
        <f>'[1]V, inciso p) (OP)'!V242</f>
        <v>MONTOYA</v>
      </c>
      <c r="L473" s="7" t="str">
        <f>'[1]V, inciso p) (OP)'!W242</f>
        <v>TORRES AGUIRRE INGENIEROS, S.A. DE C.V.</v>
      </c>
      <c r="M473" s="7" t="str">
        <f>'[1]V, inciso p) (OP)'!X242</f>
        <v>TAI920312952</v>
      </c>
      <c r="N473" s="11">
        <f t="shared" si="13"/>
        <v>3993163.18</v>
      </c>
      <c r="O473" s="7" t="s">
        <v>40</v>
      </c>
      <c r="P473" s="14" t="s">
        <v>1205</v>
      </c>
      <c r="Q473" s="12">
        <f>N473/934</f>
        <v>4275.3353104925054</v>
      </c>
      <c r="R473" s="7" t="s">
        <v>42</v>
      </c>
      <c r="S473" s="15">
        <v>989</v>
      </c>
      <c r="T473" s="7" t="s">
        <v>43</v>
      </c>
      <c r="U473" s="7" t="s">
        <v>584</v>
      </c>
      <c r="V473" s="13">
        <f>'[1]V, inciso p) (OP)'!AM242</f>
        <v>43031</v>
      </c>
      <c r="W473" s="13">
        <f>'[1]V, inciso p) (OP)'!AN242</f>
        <v>43106</v>
      </c>
      <c r="X473" s="7" t="s">
        <v>544</v>
      </c>
      <c r="Y473" s="7" t="s">
        <v>545</v>
      </c>
      <c r="Z473" s="7" t="s">
        <v>212</v>
      </c>
      <c r="AA473" s="7" t="s">
        <v>40</v>
      </c>
      <c r="AB473" s="7" t="s">
        <v>40</v>
      </c>
    </row>
    <row r="474" spans="1:28" ht="69.95" customHeight="1">
      <c r="A474" s="7">
        <v>2017</v>
      </c>
      <c r="B474" s="7" t="s">
        <v>30</v>
      </c>
      <c r="C474" s="7" t="s">
        <v>1318</v>
      </c>
      <c r="D474" s="13">
        <v>43047</v>
      </c>
      <c r="E474" s="7" t="s">
        <v>1319</v>
      </c>
      <c r="F474" s="7" t="s">
        <v>1211</v>
      </c>
      <c r="G474" s="11">
        <v>6386920.4000000004</v>
      </c>
      <c r="H474" s="7" t="s">
        <v>1320</v>
      </c>
      <c r="I474" s="7" t="s">
        <v>1321</v>
      </c>
      <c r="J474" s="7" t="s">
        <v>1322</v>
      </c>
      <c r="K474" s="7" t="s">
        <v>1323</v>
      </c>
      <c r="L474" s="7" t="s">
        <v>1324</v>
      </c>
      <c r="M474" s="7" t="s">
        <v>129</v>
      </c>
      <c r="N474" s="11">
        <v>6386920.4000000004</v>
      </c>
      <c r="O474" s="7" t="s">
        <v>40</v>
      </c>
      <c r="P474" s="14" t="s">
        <v>1325</v>
      </c>
      <c r="Q474" s="12">
        <v>1606.7724276729562</v>
      </c>
      <c r="R474" s="7" t="s">
        <v>42</v>
      </c>
      <c r="S474" s="15">
        <v>68952</v>
      </c>
      <c r="T474" s="7" t="s">
        <v>43</v>
      </c>
      <c r="U474" s="7" t="s">
        <v>584</v>
      </c>
      <c r="V474" s="13">
        <v>43047</v>
      </c>
      <c r="W474" s="13">
        <v>42801</v>
      </c>
      <c r="X474" s="7" t="s">
        <v>1326</v>
      </c>
      <c r="Y474" s="7" t="s">
        <v>1327</v>
      </c>
      <c r="Z474" s="7" t="s">
        <v>1109</v>
      </c>
      <c r="AA474" s="7" t="s">
        <v>40</v>
      </c>
      <c r="AB474" s="7" t="s">
        <v>40</v>
      </c>
    </row>
    <row r="475" spans="1:28" ht="69.95" customHeight="1">
      <c r="A475" s="7">
        <v>2017</v>
      </c>
      <c r="B475" s="7" t="s">
        <v>30</v>
      </c>
      <c r="C475" s="7" t="s">
        <v>1328</v>
      </c>
      <c r="D475" s="13">
        <v>43047</v>
      </c>
      <c r="E475" s="7" t="s">
        <v>1329</v>
      </c>
      <c r="F475" s="7" t="s">
        <v>1211</v>
      </c>
      <c r="G475" s="11">
        <v>9098010.3499999996</v>
      </c>
      <c r="H475" s="7" t="s">
        <v>1320</v>
      </c>
      <c r="I475" s="7" t="s">
        <v>1330</v>
      </c>
      <c r="J475" s="7" t="s">
        <v>1331</v>
      </c>
      <c r="K475" s="7" t="s">
        <v>1332</v>
      </c>
      <c r="L475" s="7" t="s">
        <v>1333</v>
      </c>
      <c r="M475" s="7" t="s">
        <v>439</v>
      </c>
      <c r="N475" s="11">
        <v>9098010.3499999996</v>
      </c>
      <c r="O475" s="7" t="s">
        <v>40</v>
      </c>
      <c r="P475" s="14" t="s">
        <v>1334</v>
      </c>
      <c r="Q475" s="12">
        <v>6640.8834671532841</v>
      </c>
      <c r="R475" s="7" t="s">
        <v>42</v>
      </c>
      <c r="S475" s="15">
        <v>68952</v>
      </c>
      <c r="T475" s="7" t="s">
        <v>43</v>
      </c>
      <c r="U475" s="7" t="s">
        <v>584</v>
      </c>
      <c r="V475" s="13">
        <v>43047</v>
      </c>
      <c r="W475" s="13">
        <v>43166</v>
      </c>
      <c r="X475" s="7" t="s">
        <v>1326</v>
      </c>
      <c r="Y475" s="7" t="s">
        <v>1327</v>
      </c>
      <c r="Z475" s="7" t="s">
        <v>1109</v>
      </c>
      <c r="AA475" s="7" t="s">
        <v>40</v>
      </c>
      <c r="AB475" s="7" t="s">
        <v>40</v>
      </c>
    </row>
    <row r="476" spans="1:28" ht="69.95" customHeight="1">
      <c r="A476" s="7">
        <v>2017</v>
      </c>
      <c r="B476" s="7" t="s">
        <v>30</v>
      </c>
      <c r="C476" s="7" t="s">
        <v>1335</v>
      </c>
      <c r="D476" s="13">
        <v>43047</v>
      </c>
      <c r="E476" s="7" t="s">
        <v>1336</v>
      </c>
      <c r="F476" s="7" t="s">
        <v>1211</v>
      </c>
      <c r="G476" s="11">
        <v>11549879.380000001</v>
      </c>
      <c r="H476" s="7" t="s">
        <v>1337</v>
      </c>
      <c r="I476" s="7" t="s">
        <v>1338</v>
      </c>
      <c r="J476" s="7" t="s">
        <v>1339</v>
      </c>
      <c r="K476" s="7" t="s">
        <v>1340</v>
      </c>
      <c r="L476" s="7" t="s">
        <v>1341</v>
      </c>
      <c r="M476" s="7" t="s">
        <v>1342</v>
      </c>
      <c r="N476" s="11">
        <v>11549879.380000001</v>
      </c>
      <c r="O476" s="7" t="s">
        <v>40</v>
      </c>
      <c r="P476" s="14" t="s">
        <v>1343</v>
      </c>
      <c r="Q476" s="12">
        <v>12075.527073509886</v>
      </c>
      <c r="R476" s="7" t="s">
        <v>42</v>
      </c>
      <c r="S476" s="15">
        <v>1332272</v>
      </c>
      <c r="T476" s="7" t="s">
        <v>43</v>
      </c>
      <c r="U476" s="7" t="s">
        <v>584</v>
      </c>
      <c r="V476" s="13">
        <v>43047</v>
      </c>
      <c r="W476" s="13">
        <v>43166</v>
      </c>
      <c r="X476" s="7" t="s">
        <v>530</v>
      </c>
      <c r="Y476" s="7" t="s">
        <v>343</v>
      </c>
      <c r="Z476" s="7" t="s">
        <v>344</v>
      </c>
      <c r="AA476" s="7" t="s">
        <v>40</v>
      </c>
      <c r="AB476" s="7" t="s">
        <v>40</v>
      </c>
    </row>
    <row r="477" spans="1:28" ht="69.95" customHeight="1">
      <c r="A477" s="7">
        <v>2017</v>
      </c>
      <c r="B477" s="7" t="s">
        <v>30</v>
      </c>
      <c r="C477" s="7" t="s">
        <v>1344</v>
      </c>
      <c r="D477" s="13">
        <v>43047</v>
      </c>
      <c r="E477" s="7" t="s">
        <v>1345</v>
      </c>
      <c r="F477" s="7" t="s">
        <v>1211</v>
      </c>
      <c r="G477" s="11">
        <v>4465382.4400000004</v>
      </c>
      <c r="H477" s="7" t="s">
        <v>1346</v>
      </c>
      <c r="I477" s="7" t="s">
        <v>1347</v>
      </c>
      <c r="J477" s="7" t="s">
        <v>1348</v>
      </c>
      <c r="K477" s="7" t="s">
        <v>1349</v>
      </c>
      <c r="L477" s="7" t="s">
        <v>1350</v>
      </c>
      <c r="M477" s="7" t="s">
        <v>1351</v>
      </c>
      <c r="N477" s="11">
        <v>4465382.4400000004</v>
      </c>
      <c r="O477" s="7" t="s">
        <v>40</v>
      </c>
      <c r="P477" s="14" t="s">
        <v>1352</v>
      </c>
      <c r="Q477" s="12">
        <v>2299.8348999026584</v>
      </c>
      <c r="R477" s="7" t="s">
        <v>42</v>
      </c>
      <c r="S477" s="15">
        <v>29866</v>
      </c>
      <c r="T477" s="7" t="s">
        <v>43</v>
      </c>
      <c r="U477" s="7" t="s">
        <v>584</v>
      </c>
      <c r="V477" s="13">
        <v>43047</v>
      </c>
      <c r="W477" s="13">
        <v>43137</v>
      </c>
      <c r="X477" s="7" t="s">
        <v>842</v>
      </c>
      <c r="Y477" s="7" t="s">
        <v>519</v>
      </c>
      <c r="Z477" s="7" t="s">
        <v>63</v>
      </c>
      <c r="AA477" s="7" t="s">
        <v>40</v>
      </c>
      <c r="AB477" s="7" t="s">
        <v>40</v>
      </c>
    </row>
    <row r="478" spans="1:28" ht="69.95" customHeight="1">
      <c r="A478" s="7">
        <v>2017</v>
      </c>
      <c r="B478" s="7" t="str">
        <f>'[1]V, inciso p) (OP)'!B243</f>
        <v>Concurso por Invitación</v>
      </c>
      <c r="C478" s="7" t="str">
        <f>'[1]V, inciso p) (OP)'!D243</f>
        <v>DOPI-EST-CR-BAN-CI-197-2017</v>
      </c>
      <c r="D478" s="13">
        <f>'[1]V, inciso p) (OP)'!AD243</f>
        <v>43031</v>
      </c>
      <c r="E478" s="7" t="str">
        <f>'[1]V, inciso p) (OP)'!AL243</f>
        <v>Peatonalización, construcción de banquetas, sustitución de guarniciones, bolardos, primera etapa en la colonia Santa Margarita, municipio de Zapopan, Jalisco.</v>
      </c>
      <c r="F478" s="7" t="str">
        <f>'[1]V, inciso p) (OP)'!AR243</f>
        <v>CRÉDITO ESTATAL 92 MDP</v>
      </c>
      <c r="G478" s="11">
        <f>'[1]V, inciso p) (OP)'!AJ243</f>
        <v>2389794.62</v>
      </c>
      <c r="H478" s="7" t="str">
        <f>'[1]V, inciso p) (OP)'!AS243</f>
        <v>Colonia Santa Margarita</v>
      </c>
      <c r="I478" s="7" t="str">
        <f>'[1]V, inciso p) (OP)'!T243</f>
        <v>JESÚS DAVID</v>
      </c>
      <c r="J478" s="7" t="str">
        <f>'[1]V, inciso p) (OP)'!U243</f>
        <v xml:space="preserve">GARZA </v>
      </c>
      <c r="K478" s="7" t="str">
        <f>'[1]V, inciso p) (OP)'!V243</f>
        <v>GARCÍA</v>
      </c>
      <c r="L478" s="7" t="str">
        <f>'[1]V, inciso p) (OP)'!W243</f>
        <v>CONSTRUCCIÓNES  ELECTRIFICACIONES Y ARRENDAMIENTO DE MAQUINARIA S.A. DE C.V.</v>
      </c>
      <c r="M478" s="7" t="str">
        <f>'[1]V, inciso p) (OP)'!X243</f>
        <v>CEA010615GT0</v>
      </c>
      <c r="N478" s="11">
        <f t="shared" si="13"/>
        <v>2389794.62</v>
      </c>
      <c r="O478" s="7" t="s">
        <v>40</v>
      </c>
      <c r="P478" s="14" t="s">
        <v>1206</v>
      </c>
      <c r="Q478" s="12">
        <f>N478/1461</f>
        <v>1635.7252703627653</v>
      </c>
      <c r="R478" s="7" t="s">
        <v>42</v>
      </c>
      <c r="S478" s="15">
        <v>859</v>
      </c>
      <c r="T478" s="7" t="s">
        <v>43</v>
      </c>
      <c r="U478" s="7" t="s">
        <v>584</v>
      </c>
      <c r="V478" s="13">
        <f>'[1]V, inciso p) (OP)'!AM243</f>
        <v>43031</v>
      </c>
      <c r="W478" s="13">
        <f>'[1]V, inciso p) (OP)'!AN243</f>
        <v>43106</v>
      </c>
      <c r="X478" s="7" t="s">
        <v>846</v>
      </c>
      <c r="Y478" s="7" t="s">
        <v>234</v>
      </c>
      <c r="Z478" s="7" t="s">
        <v>1176</v>
      </c>
      <c r="AA478" s="7" t="s">
        <v>40</v>
      </c>
      <c r="AB478" s="7" t="s">
        <v>40</v>
      </c>
    </row>
    <row r="479" spans="1:28" ht="69.95" customHeight="1">
      <c r="A479" s="7">
        <v>2017</v>
      </c>
      <c r="B479" s="7" t="str">
        <f>'[1]V, inciso p) (OP)'!B244</f>
        <v>Concurso por Invitación</v>
      </c>
      <c r="C479" s="7" t="str">
        <f>'[1]V, inciso p) (OP)'!D244</f>
        <v>DOPI-EST-CR-PAV-CI-198-2017</v>
      </c>
      <c r="D479" s="13">
        <f>'[1]V, inciso p) (OP)'!AD244</f>
        <v>43031</v>
      </c>
      <c r="E479" s="7" t="str">
        <f>'[1]V, inciso p) (OP)'!AL244</f>
        <v>Reencarpetamiento de calles en la colonia Lomas de Tabachines, incluye: guarniciones, banquetas, renivelación de pozos y cajas, señalamiento vertical y horizontal, municipio de Zapopan, Jalisco.</v>
      </c>
      <c r="F479" s="7" t="str">
        <f>'[1]V, inciso p) (OP)'!AR244</f>
        <v>CRÉDITO ESTATAL 92 MDP</v>
      </c>
      <c r="G479" s="11">
        <f>'[1]V, inciso p) (OP)'!AJ244</f>
        <v>2436115.7999999998</v>
      </c>
      <c r="H479" s="7" t="str">
        <f>'[1]V, inciso p) (OP)'!AS244</f>
        <v>Colonia Lomas de Tabachines</v>
      </c>
      <c r="I479" s="7" t="str">
        <f>'[1]V, inciso p) (OP)'!T244</f>
        <v>VICTOR</v>
      </c>
      <c r="J479" s="7" t="str">
        <f>'[1]V, inciso p) (OP)'!U244</f>
        <v>ZAYAS</v>
      </c>
      <c r="K479" s="7" t="str">
        <f>'[1]V, inciso p) (OP)'!V244</f>
        <v>RIQUELME</v>
      </c>
      <c r="L479" s="7" t="str">
        <f>'[1]V, inciso p) (OP)'!W244</f>
        <v>GEMINIS INTERNACIONAL CONSTRUCTORA, S.A. DE C.V.</v>
      </c>
      <c r="M479" s="7" t="str">
        <f>'[1]V, inciso p) (OP)'!X244</f>
        <v>GIC810323RA6</v>
      </c>
      <c r="N479" s="11">
        <f t="shared" si="13"/>
        <v>2436115.7999999998</v>
      </c>
      <c r="O479" s="7" t="s">
        <v>40</v>
      </c>
      <c r="P479" s="14" t="s">
        <v>1207</v>
      </c>
      <c r="Q479" s="12">
        <f>N479/870</f>
        <v>2800.1331034482755</v>
      </c>
      <c r="R479" s="7" t="s">
        <v>42</v>
      </c>
      <c r="S479" s="15">
        <v>2115</v>
      </c>
      <c r="T479" s="7" t="s">
        <v>43</v>
      </c>
      <c r="U479" s="7" t="s">
        <v>584</v>
      </c>
      <c r="V479" s="13">
        <f>'[1]V, inciso p) (OP)'!AM244</f>
        <v>43031</v>
      </c>
      <c r="W479" s="13">
        <f>'[1]V, inciso p) (OP)'!AN244</f>
        <v>43106</v>
      </c>
      <c r="X479" s="7" t="s">
        <v>701</v>
      </c>
      <c r="Y479" s="7" t="s">
        <v>524</v>
      </c>
      <c r="Z479" s="7" t="s">
        <v>254</v>
      </c>
      <c r="AA479" s="7" t="s">
        <v>40</v>
      </c>
      <c r="AB479" s="7" t="s">
        <v>40</v>
      </c>
    </row>
    <row r="480" spans="1:28" ht="69.95" customHeight="1">
      <c r="A480" s="7">
        <v>2017</v>
      </c>
      <c r="B480" s="7" t="str">
        <f>'[1]V, inciso p) (OP)'!B245</f>
        <v>Concurso por Invitación</v>
      </c>
      <c r="C480" s="7" t="str">
        <f>'[1]V, inciso p) (OP)'!D245</f>
        <v>DOPI-EST-CR-PAV-CI-199-2017</v>
      </c>
      <c r="D480" s="13">
        <f>'[1]V, inciso p) (OP)'!AD245</f>
        <v>43031</v>
      </c>
      <c r="E480" s="7" t="str">
        <f>'[1]V, inciso p) (OP)'!AL245</f>
        <v>Reencarpetamiento de vialidades en la colonia Parque del Auditorio, incluye: guarniciones, banquetas, renivelaciones de pozos y cajas, señalamiento vertical y horizontal, municipio de Zapopan, Jalisco.</v>
      </c>
      <c r="F480" s="7" t="str">
        <f>'[1]V, inciso p) (OP)'!AR245</f>
        <v>CRÉDITO ESTATAL 92 MDP</v>
      </c>
      <c r="G480" s="11">
        <f>'[1]V, inciso p) (OP)'!AJ245</f>
        <v>3601466.96</v>
      </c>
      <c r="H480" s="7" t="str">
        <f>'[1]V, inciso p) (OP)'!AS245</f>
        <v>Colonia Parque del Auditorio</v>
      </c>
      <c r="I480" s="7" t="str">
        <f>'[1]V, inciso p) (OP)'!T245</f>
        <v>GUILLERMO</v>
      </c>
      <c r="J480" s="7" t="str">
        <f>'[1]V, inciso p) (OP)'!U245</f>
        <v>LARA</v>
      </c>
      <c r="K480" s="7" t="str">
        <f>'[1]V, inciso p) (OP)'!V245</f>
        <v>VARGAS</v>
      </c>
      <c r="L480" s="7" t="str">
        <f>'[1]V, inciso p) (OP)'!W245</f>
        <v>DESARROLLADORA GLAR, S.A. DE C.V.</v>
      </c>
      <c r="M480" s="7" t="str">
        <f>'[1]V, inciso p) (OP)'!X245</f>
        <v>DGL060620SUA</v>
      </c>
      <c r="N480" s="11">
        <f t="shared" si="13"/>
        <v>3601466.96</v>
      </c>
      <c r="O480" s="7" t="s">
        <v>40</v>
      </c>
      <c r="P480" s="14" t="s">
        <v>1208</v>
      </c>
      <c r="Q480" s="12">
        <f>N480/115</f>
        <v>31317.103999999999</v>
      </c>
      <c r="R480" s="7" t="s">
        <v>42</v>
      </c>
      <c r="S480" s="15">
        <v>562</v>
      </c>
      <c r="T480" s="7" t="s">
        <v>43</v>
      </c>
      <c r="U480" s="7" t="s">
        <v>584</v>
      </c>
      <c r="V480" s="13">
        <f>'[1]V, inciso p) (OP)'!AM245</f>
        <v>43031</v>
      </c>
      <c r="W480" s="13">
        <f>'[1]V, inciso p) (OP)'!AN245</f>
        <v>43106</v>
      </c>
      <c r="X480" s="7" t="s">
        <v>701</v>
      </c>
      <c r="Y480" s="7" t="s">
        <v>524</v>
      </c>
      <c r="Z480" s="7" t="s">
        <v>254</v>
      </c>
      <c r="AA480" s="7" t="s">
        <v>40</v>
      </c>
      <c r="AB480" s="7" t="s">
        <v>40</v>
      </c>
    </row>
    <row r="481" spans="1:28" ht="69.95" customHeight="1">
      <c r="A481" s="7">
        <v>2017</v>
      </c>
      <c r="B481" s="7" t="str">
        <f>'[1]V, inciso p) (OP)'!B246</f>
        <v>Concurso por Invitación</v>
      </c>
      <c r="C481" s="7" t="str">
        <f>'[1]V, inciso p) (OP)'!D246</f>
        <v>DOPI-EST-CR-PAV-CI-200-2017</v>
      </c>
      <c r="D481" s="13">
        <f>'[1]V, inciso p) (OP)'!AD246</f>
        <v>43031</v>
      </c>
      <c r="E481" s="7" t="str">
        <f>'[1]V, inciso p) (OP)'!AL246</f>
        <v>Construcción de la segunda etapa de la calle Hidalgo, con concreto hidráulico en San Juan de Ocotán, incluye: guarniciones, banquetas y alumbrado público, Municipio de Zapopan, Jalisco.</v>
      </c>
      <c r="F481" s="7" t="str">
        <f>'[1]V, inciso p) (OP)'!AR246</f>
        <v>CRÉDITO ESTATAL 92 MDP</v>
      </c>
      <c r="G481" s="11">
        <f>'[1]V, inciso p) (OP)'!AJ246</f>
        <v>2877141.05</v>
      </c>
      <c r="H481" s="7" t="str">
        <f>'[1]V, inciso p) (OP)'!AS246</f>
        <v>San Juan de Ocotán</v>
      </c>
      <c r="I481" s="7" t="str">
        <f>'[1]V, inciso p) (OP)'!T246</f>
        <v>SERGIO ALBERTO</v>
      </c>
      <c r="J481" s="7" t="str">
        <f>'[1]V, inciso p) (OP)'!U246</f>
        <v>BAYLON</v>
      </c>
      <c r="K481" s="7" t="str">
        <f>'[1]V, inciso p) (OP)'!V246</f>
        <v>MORENO</v>
      </c>
      <c r="L481" s="7" t="str">
        <f>'[1]V, inciso p) (OP)'!W246</f>
        <v>EDIFICACIONES ESTRUCTURALES COBAY, S.A. DE C.V.</v>
      </c>
      <c r="M481" s="7" t="str">
        <f>'[1]V, inciso p) (OP)'!X246</f>
        <v>EEC9909173A7</v>
      </c>
      <c r="N481" s="11">
        <f t="shared" si="13"/>
        <v>2877141.05</v>
      </c>
      <c r="O481" s="7" t="s">
        <v>40</v>
      </c>
      <c r="P481" s="14" t="s">
        <v>1209</v>
      </c>
      <c r="Q481" s="12">
        <f>N481/919</f>
        <v>3130.7301958650705</v>
      </c>
      <c r="R481" s="7" t="s">
        <v>42</v>
      </c>
      <c r="S481" s="15">
        <v>895</v>
      </c>
      <c r="T481" s="7" t="s">
        <v>43</v>
      </c>
      <c r="U481" s="7" t="s">
        <v>584</v>
      </c>
      <c r="V481" s="13">
        <f>'[1]V, inciso p) (OP)'!AM246</f>
        <v>43031</v>
      </c>
      <c r="W481" s="13">
        <f>'[1]V, inciso p) (OP)'!AN246</f>
        <v>43106</v>
      </c>
      <c r="X481" s="7" t="s">
        <v>530</v>
      </c>
      <c r="Y481" s="7" t="s">
        <v>343</v>
      </c>
      <c r="Z481" s="7" t="s">
        <v>344</v>
      </c>
      <c r="AA481" s="7" t="s">
        <v>40</v>
      </c>
      <c r="AB481" s="7" t="s">
        <v>40</v>
      </c>
    </row>
    <row r="482" spans="1:28" ht="69.95" customHeight="1">
      <c r="A482" s="7">
        <v>2017</v>
      </c>
      <c r="B482" s="7" t="str">
        <f>'[1]V, inciso p) (OP)'!B247</f>
        <v>Concurso por Invitación</v>
      </c>
      <c r="C482" s="7" t="str">
        <f>'[1]V, inciso p) (OP)'!D247</f>
        <v>DOPI-EST-CM-PAV-CI-201-2017</v>
      </c>
      <c r="D482" s="13">
        <f>'[1]V, inciso p) (OP)'!AD247</f>
        <v>43031</v>
      </c>
      <c r="E482" s="7" t="str">
        <f>'[1]V, inciso p) (OP)'!AL247</f>
        <v>Renovación urbana en área habitacional y de zona comercial de Av. López Mateos, de las Águilas a Plaza del Sol, en el municipio de Zapopan, Jalisco.</v>
      </c>
      <c r="F482" s="7" t="str">
        <f>'[1]V, inciso p) (OP)'!AR247</f>
        <v>Consejo Metropolitano 2017</v>
      </c>
      <c r="G482" s="11">
        <f>'[1]V, inciso p) (OP)'!AJ247</f>
        <v>3799523.95</v>
      </c>
      <c r="H482" s="7" t="str">
        <f>'[1]V, inciso p) (OP)'!AS247</f>
        <v>Colonia Las Águilas</v>
      </c>
      <c r="I482" s="7" t="str">
        <f>'[1]V, inciso p) (OP)'!T247</f>
        <v>ANA KARINA</v>
      </c>
      <c r="J482" s="7" t="str">
        <f>'[1]V, inciso p) (OP)'!U247</f>
        <v>OJEDA</v>
      </c>
      <c r="K482" s="7" t="str">
        <f>'[1]V, inciso p) (OP)'!V247</f>
        <v>FERRELL</v>
      </c>
      <c r="L482" s="7" t="str">
        <f>'[1]V, inciso p) (OP)'!W247</f>
        <v>KP CONSTRUCTORA E INMOBILIARIA, S.A. DE C.V.</v>
      </c>
      <c r="M482" s="7" t="str">
        <f>'[1]V, inciso p) (OP)'!X247</f>
        <v>KCI120928CD5</v>
      </c>
      <c r="N482" s="11">
        <f t="shared" si="13"/>
        <v>3799523.95</v>
      </c>
      <c r="O482" s="7" t="s">
        <v>40</v>
      </c>
      <c r="P482" s="14" t="s">
        <v>1210</v>
      </c>
      <c r="Q482" s="12">
        <f>N482/2673</f>
        <v>1421.4455480733259</v>
      </c>
      <c r="R482" s="7" t="s">
        <v>42</v>
      </c>
      <c r="S482" s="15">
        <v>1332272</v>
      </c>
      <c r="T482" s="7" t="s">
        <v>43</v>
      </c>
      <c r="U482" s="7" t="s">
        <v>584</v>
      </c>
      <c r="V482" s="13">
        <f>'[1]V, inciso p) (OP)'!AM247</f>
        <v>43031</v>
      </c>
      <c r="W482" s="13">
        <f>'[1]V, inciso p) (OP)'!AN247</f>
        <v>43106</v>
      </c>
      <c r="X482" s="7" t="s">
        <v>1107</v>
      </c>
      <c r="Y482" s="7" t="s">
        <v>1108</v>
      </c>
      <c r="Z482" s="7" t="s">
        <v>1109</v>
      </c>
      <c r="AA482" s="7" t="s">
        <v>40</v>
      </c>
      <c r="AB482" s="7" t="s">
        <v>40</v>
      </c>
    </row>
    <row r="483" spans="1:28" s="16" customFormat="1" ht="69.95" customHeight="1">
      <c r="A483" s="7">
        <v>2017</v>
      </c>
      <c r="B483" s="7" t="s">
        <v>30</v>
      </c>
      <c r="C483" s="7" t="s">
        <v>1353</v>
      </c>
      <c r="D483" s="13">
        <v>43047</v>
      </c>
      <c r="E483" s="7" t="s">
        <v>1354</v>
      </c>
      <c r="F483" s="7" t="s">
        <v>1211</v>
      </c>
      <c r="G483" s="11">
        <v>19280189.670000002</v>
      </c>
      <c r="H483" s="7" t="s">
        <v>1346</v>
      </c>
      <c r="I483" s="7" t="s">
        <v>1355</v>
      </c>
      <c r="J483" s="7" t="s">
        <v>1356</v>
      </c>
      <c r="K483" s="7" t="s">
        <v>1357</v>
      </c>
      <c r="L483" s="7" t="s">
        <v>1358</v>
      </c>
      <c r="M483" s="7" t="s">
        <v>1359</v>
      </c>
      <c r="N483" s="11">
        <v>19280189.670000002</v>
      </c>
      <c r="O483" s="7" t="s">
        <v>40</v>
      </c>
      <c r="P483" s="14" t="s">
        <v>1360</v>
      </c>
      <c r="Q483" s="12">
        <v>7275.543271698114</v>
      </c>
      <c r="R483" s="7" t="s">
        <v>42</v>
      </c>
      <c r="S483" s="15">
        <v>21596</v>
      </c>
      <c r="T483" s="7" t="s">
        <v>43</v>
      </c>
      <c r="U483" s="7" t="s">
        <v>584</v>
      </c>
      <c r="V483" s="13">
        <v>43047</v>
      </c>
      <c r="W483" s="13">
        <v>43166</v>
      </c>
      <c r="X483" s="7" t="s">
        <v>999</v>
      </c>
      <c r="Y483" s="7" t="s">
        <v>1075</v>
      </c>
      <c r="Z483" s="7" t="s">
        <v>1001</v>
      </c>
      <c r="AA483" s="7" t="s">
        <v>40</v>
      </c>
      <c r="AB483" s="7" t="s">
        <v>40</v>
      </c>
    </row>
    <row r="484" spans="1:28" ht="69.95" customHeight="1">
      <c r="A484" s="7">
        <v>2017</v>
      </c>
      <c r="B484" s="7" t="s">
        <v>64</v>
      </c>
      <c r="C484" s="7" t="str">
        <f>'[1]V, inciso o) (OP)'!C238</f>
        <v>DOPI-MUN-CUSMAX-SER-AD-204-2017</v>
      </c>
      <c r="D484" s="13">
        <f>'[1]V, inciso o) (OP)'!V238</f>
        <v>43012</v>
      </c>
      <c r="E484" s="7" t="str">
        <f>'[1]V, inciso o) (OP)'!AA238</f>
        <v>Proyecto ejecutivo arquitectónico de la primera etapa de integración peatonal y paisaje de espacio público en la zona Andares, en el municipio de Zapopan, Jalisco.</v>
      </c>
      <c r="F484" s="7" t="s">
        <v>1211</v>
      </c>
      <c r="G484" s="11">
        <f>'[1]V, inciso o) (OP)'!Y238</f>
        <v>1498350.24</v>
      </c>
      <c r="H484" s="7" t="s">
        <v>231</v>
      </c>
      <c r="I484" s="7" t="str">
        <f>'[1]V, inciso o) (OP)'!M238</f>
        <v xml:space="preserve">GERARDO </v>
      </c>
      <c r="J484" s="7" t="str">
        <f>'[1]V, inciso o) (OP)'!N238</f>
        <v>SÁNCHEZ</v>
      </c>
      <c r="K484" s="7" t="str">
        <f>'[1]V, inciso o) (OP)'!O238</f>
        <v>SENDRA</v>
      </c>
      <c r="L484" s="7" t="str">
        <f>'[1]V, inciso o) (OP)'!P238</f>
        <v>ESTUDIO PI. S.C.</v>
      </c>
      <c r="M484" s="7" t="str">
        <f>'[1]V, inciso o) (OP)'!Q238</f>
        <v>EPI070531P51</v>
      </c>
      <c r="N484" s="11">
        <f t="shared" si="13"/>
        <v>1498350.24</v>
      </c>
      <c r="O484" s="7" t="s">
        <v>40</v>
      </c>
      <c r="P484" s="7" t="s">
        <v>739</v>
      </c>
      <c r="Q484" s="11">
        <f>N484/1</f>
        <v>1498350.24</v>
      </c>
      <c r="R484" s="7" t="s">
        <v>42</v>
      </c>
      <c r="S484" s="15" t="s">
        <v>232</v>
      </c>
      <c r="T484" s="7" t="s">
        <v>43</v>
      </c>
      <c r="U484" s="7" t="s">
        <v>584</v>
      </c>
      <c r="V484" s="13">
        <f>'[1]V, inciso o) (OP)'!AD238</f>
        <v>43012</v>
      </c>
      <c r="W484" s="13">
        <f>'[1]V, inciso o) (OP)'!AE238</f>
        <v>43131</v>
      </c>
      <c r="X484" s="7" t="s">
        <v>924</v>
      </c>
      <c r="Y484" s="7" t="s">
        <v>925</v>
      </c>
      <c r="Z484" s="7" t="s">
        <v>263</v>
      </c>
      <c r="AA484" s="7" t="s">
        <v>40</v>
      </c>
      <c r="AB484" s="7" t="s">
        <v>40</v>
      </c>
    </row>
    <row r="485" spans="1:28" ht="69.95" customHeight="1">
      <c r="A485" s="7">
        <v>2017</v>
      </c>
      <c r="B485" s="7" t="s">
        <v>64</v>
      </c>
      <c r="C485" s="7" t="str">
        <f>'[1]V, inciso o) (OP)'!C239</f>
        <v>DOPI-MUN-RM-IS-AD-205-2017</v>
      </c>
      <c r="D485" s="13">
        <f>'[1]V, inciso o) (OP)'!V239</f>
        <v>42993</v>
      </c>
      <c r="E485" s="7" t="str">
        <f>'[1]V, inciso o) (OP)'!AA239</f>
        <v>Adecuación del área de urgencias y obra complementaria en la Cruz Verde Federalismo, municipio de Zapopan, Jalisco.</v>
      </c>
      <c r="F485" s="7" t="s">
        <v>730</v>
      </c>
      <c r="G485" s="11">
        <f>'[1]V, inciso o) (OP)'!Y239</f>
        <v>1570922.15</v>
      </c>
      <c r="H485" s="7" t="s">
        <v>1212</v>
      </c>
      <c r="I485" s="7" t="str">
        <f>'[1]V, inciso o) (OP)'!M239</f>
        <v>JOSÉ DE JESÚS</v>
      </c>
      <c r="J485" s="7" t="str">
        <f>'[1]V, inciso o) (OP)'!N239</f>
        <v>ROMERO</v>
      </c>
      <c r="K485" s="7" t="str">
        <f>'[1]V, inciso o) (OP)'!O239</f>
        <v>GARCÍA</v>
      </c>
      <c r="L485" s="7" t="str">
        <f>'[1]V, inciso o) (OP)'!P239</f>
        <v>URBANIZADORA Y CONSTRUCTORA ROAL, S.A. DE C.V.</v>
      </c>
      <c r="M485" s="7" t="str">
        <f>'[1]V, inciso o) (OP)'!Q239</f>
        <v>URC160310857</v>
      </c>
      <c r="N485" s="11">
        <f t="shared" si="13"/>
        <v>1570922.15</v>
      </c>
      <c r="O485" s="7" t="s">
        <v>40</v>
      </c>
      <c r="P485" s="7" t="s">
        <v>1213</v>
      </c>
      <c r="Q485" s="11">
        <f>N485/55</f>
        <v>28562.220909090909</v>
      </c>
      <c r="R485" s="7" t="s">
        <v>42</v>
      </c>
      <c r="S485" s="15">
        <v>1332272</v>
      </c>
      <c r="T485" s="7" t="s">
        <v>43</v>
      </c>
      <c r="U485" s="7" t="s">
        <v>584</v>
      </c>
      <c r="V485" s="13">
        <f>'[1]V, inciso o) (OP)'!AD239</f>
        <v>42996</v>
      </c>
      <c r="W485" s="13">
        <f>'[1]V, inciso o) (OP)'!AE239</f>
        <v>43049</v>
      </c>
      <c r="X485" s="7" t="s">
        <v>1107</v>
      </c>
      <c r="Y485" s="7" t="s">
        <v>1108</v>
      </c>
      <c r="Z485" s="7" t="s">
        <v>1109</v>
      </c>
      <c r="AA485" s="7" t="s">
        <v>40</v>
      </c>
      <c r="AB485" s="7" t="s">
        <v>40</v>
      </c>
    </row>
    <row r="486" spans="1:28" ht="69.95" customHeight="1">
      <c r="A486" s="7">
        <v>2017</v>
      </c>
      <c r="B486" s="7" t="s">
        <v>64</v>
      </c>
      <c r="C486" s="7" t="str">
        <f>'[1]V, inciso o) (OP)'!C240</f>
        <v>DOPI-MUN-FORTA-PAV-AD-206-2017</v>
      </c>
      <c r="D486" s="13">
        <f>'[1]V, inciso o) (OP)'!V240</f>
        <v>42984</v>
      </c>
      <c r="E486" s="7" t="str">
        <f>'[1]V, inciso o) (OP)'!AA240</f>
        <v>Obra complementaria en la pavimentación de la calle Mármol, de calle Cantera al Arroyo y en la calle Obsidiana, de calle Ópalo a calle Coral, en la Colonia Pedregal de Zapopan (Loma del Pedregal), en Zapopan, Jalisco.</v>
      </c>
      <c r="F486" s="7" t="s">
        <v>939</v>
      </c>
      <c r="G486" s="11">
        <f>'[1]V, inciso o) (OP)'!Y240</f>
        <v>585223.57999999996</v>
      </c>
      <c r="H486" s="7" t="s">
        <v>1214</v>
      </c>
      <c r="I486" s="7" t="str">
        <f>'[1]V, inciso o) (OP)'!M240</f>
        <v>HUGO ARMANDO</v>
      </c>
      <c r="J486" s="7" t="str">
        <f>'[1]V, inciso o) (OP)'!N240</f>
        <v>PRIETO</v>
      </c>
      <c r="K486" s="7" t="str">
        <f>'[1]V, inciso o) (OP)'!O240</f>
        <v>JIMÉNEZ</v>
      </c>
      <c r="L486" s="7" t="str">
        <f>'[1]V, inciso o) (OP)'!P240</f>
        <v>CONSTRUCTORA RURAL DEL PAIS, S.A. DE C.V.</v>
      </c>
      <c r="M486" s="7" t="str">
        <f>'[1]V, inciso o) (OP)'!Q240</f>
        <v>CRP870708I62</v>
      </c>
      <c r="N486" s="11">
        <f t="shared" si="13"/>
        <v>585223.57999999996</v>
      </c>
      <c r="O486" s="7" t="s">
        <v>40</v>
      </c>
      <c r="P486" s="7" t="s">
        <v>1215</v>
      </c>
      <c r="Q486" s="11">
        <f>N486/176</f>
        <v>3325.133977272727</v>
      </c>
      <c r="R486" s="7" t="s">
        <v>42</v>
      </c>
      <c r="S486" s="15">
        <v>659</v>
      </c>
      <c r="T486" s="7" t="s">
        <v>43</v>
      </c>
      <c r="U486" s="7" t="s">
        <v>584</v>
      </c>
      <c r="V486" s="13">
        <f>'[1]V, inciso o) (OP)'!AD240</f>
        <v>42984</v>
      </c>
      <c r="W486" s="13">
        <f>'[1]V, inciso o) (OP)'!AE240</f>
        <v>43028</v>
      </c>
      <c r="X486" s="7" t="s">
        <v>1026</v>
      </c>
      <c r="Y486" s="7" t="s">
        <v>1216</v>
      </c>
      <c r="Z486" s="7" t="s">
        <v>316</v>
      </c>
      <c r="AA486" s="7" t="s">
        <v>40</v>
      </c>
      <c r="AB486" s="7" t="s">
        <v>40</v>
      </c>
    </row>
    <row r="487" spans="1:28" ht="69.95" customHeight="1">
      <c r="A487" s="7">
        <v>2017</v>
      </c>
      <c r="B487" s="7" t="s">
        <v>64</v>
      </c>
      <c r="C487" s="7" t="str">
        <f>'[1]V, inciso o) (OP)'!C241</f>
        <v>DOPI-MUN-R33R-AP-AD-207-2017</v>
      </c>
      <c r="D487" s="13">
        <f>'[1]V, inciso o) (OP)'!V241</f>
        <v>43005</v>
      </c>
      <c r="E487" s="7" t="str">
        <f>'[1]V, inciso o) (OP)'!AA241</f>
        <v>Construcción de red de agua potable del pozo El Trébol a la colonia La Agrícola, en Santa Ana Tepetitlan, Municipio de Zapopan, Jalisco.</v>
      </c>
      <c r="F487" s="7" t="s">
        <v>1073</v>
      </c>
      <c r="G487" s="11">
        <f>'[1]V, inciso o) (OP)'!Y241</f>
        <v>1203779.8</v>
      </c>
      <c r="H487" s="7" t="s">
        <v>1217</v>
      </c>
      <c r="I487" s="7" t="str">
        <f>'[1]V, inciso o) (OP)'!M241</f>
        <v>ROBERTO</v>
      </c>
      <c r="J487" s="7" t="str">
        <f>'[1]V, inciso o) (OP)'!N241</f>
        <v>FLORES</v>
      </c>
      <c r="K487" s="7" t="str">
        <f>'[1]V, inciso o) (OP)'!O241</f>
        <v>ARREOLA</v>
      </c>
      <c r="L487" s="7" t="str">
        <f>'[1]V, inciso o) (OP)'!P241</f>
        <v>ESTUDIOS SISTEMAS Y CONSTRUCCIÓNES, S.A. DE C.V.</v>
      </c>
      <c r="M487" s="7" t="str">
        <f>'[1]V, inciso o) (OP)'!Q241</f>
        <v>ESC930617KW9</v>
      </c>
      <c r="N487" s="11">
        <f t="shared" si="13"/>
        <v>1203779.8</v>
      </c>
      <c r="O487" s="7" t="s">
        <v>40</v>
      </c>
      <c r="P487" s="7" t="s">
        <v>1218</v>
      </c>
      <c r="Q487" s="11">
        <f>N487/365</f>
        <v>3298.0268493150688</v>
      </c>
      <c r="R487" s="7" t="s">
        <v>42</v>
      </c>
      <c r="S487" s="15">
        <v>455</v>
      </c>
      <c r="T487" s="7" t="s">
        <v>43</v>
      </c>
      <c r="U487" s="7" t="s">
        <v>584</v>
      </c>
      <c r="V487" s="13">
        <f>'[1]V, inciso o) (OP)'!AD241</f>
        <v>43005</v>
      </c>
      <c r="W487" s="13">
        <f>'[1]V, inciso o) (OP)'!AE241</f>
        <v>43084</v>
      </c>
      <c r="X487" s="7" t="s">
        <v>1219</v>
      </c>
      <c r="Y487" s="7" t="s">
        <v>1042</v>
      </c>
      <c r="Z487" s="7" t="s">
        <v>1220</v>
      </c>
      <c r="AA487" s="7" t="s">
        <v>40</v>
      </c>
      <c r="AB487" s="7" t="s">
        <v>40</v>
      </c>
    </row>
    <row r="488" spans="1:28" ht="69.95" customHeight="1">
      <c r="A488" s="7">
        <v>2017</v>
      </c>
      <c r="B488" s="7" t="s">
        <v>64</v>
      </c>
      <c r="C488" s="7" t="str">
        <f>'[1]V, inciso o) (OP)'!C242</f>
        <v>DOPI-MUN-FORTA-CONT-AD-208-2017</v>
      </c>
      <c r="D488" s="13">
        <f>'[1]V, inciso o) (OP)'!V242</f>
        <v>43003</v>
      </c>
      <c r="E488" s="7" t="str">
        <f>'[1]V, inciso o) (OP)'!AA242</f>
        <v>Obra emergente para la reconstrucción de muro de contención en el arroyo seco en el tramo de la calle Michoacán a Privada Arroyo y en el tramo de la calle Guanajuato y Tlaxcala a calle Michoacán, en la colonia El Mante, Municipio de Zapopan, Jalisco.</v>
      </c>
      <c r="F488" s="7" t="s">
        <v>939</v>
      </c>
      <c r="G488" s="11">
        <f>'[1]V, inciso o) (OP)'!Y242</f>
        <v>625674.23</v>
      </c>
      <c r="H488" s="7" t="s">
        <v>1221</v>
      </c>
      <c r="I488" s="7" t="str">
        <f>'[1]V, inciso o) (OP)'!M242</f>
        <v>EMILIO MIGUEL</v>
      </c>
      <c r="J488" s="7" t="str">
        <f>'[1]V, inciso o) (OP)'!N242</f>
        <v>ZULOAGA</v>
      </c>
      <c r="K488" s="7" t="str">
        <f>'[1]V, inciso o) (OP)'!O242</f>
        <v>SAENZ</v>
      </c>
      <c r="L488" s="7" t="str">
        <f>'[1]V, inciso o) (OP)'!P242</f>
        <v>CONSTRUCTORA Y SERVICIOS NOVACREA, S.A. DE C.V.</v>
      </c>
      <c r="M488" s="7" t="str">
        <f>'[1]V, inciso o) (OP)'!Q242</f>
        <v>CSN150923FGA</v>
      </c>
      <c r="N488" s="11">
        <f t="shared" si="13"/>
        <v>625674.23</v>
      </c>
      <c r="O488" s="7" t="s">
        <v>40</v>
      </c>
      <c r="P488" s="7" t="s">
        <v>1222</v>
      </c>
      <c r="Q488" s="11">
        <f>N488/82</f>
        <v>7630.1735365853656</v>
      </c>
      <c r="R488" s="7" t="s">
        <v>42</v>
      </c>
      <c r="S488" s="15">
        <v>1523</v>
      </c>
      <c r="T488" s="7" t="s">
        <v>43</v>
      </c>
      <c r="U488" s="7" t="s">
        <v>584</v>
      </c>
      <c r="V488" s="13">
        <f>'[1]V, inciso o) (OP)'!AD242</f>
        <v>43004</v>
      </c>
      <c r="W488" s="13">
        <f>'[1]V, inciso o) (OP)'!AE242</f>
        <v>43034</v>
      </c>
      <c r="X488" s="7" t="s">
        <v>671</v>
      </c>
      <c r="Y488" s="7" t="s">
        <v>334</v>
      </c>
      <c r="Z488" s="7" t="s">
        <v>133</v>
      </c>
      <c r="AA488" s="7" t="s">
        <v>40</v>
      </c>
      <c r="AB488" s="7" t="s">
        <v>40</v>
      </c>
    </row>
    <row r="489" spans="1:28" ht="69.95" customHeight="1">
      <c r="A489" s="7">
        <v>2017</v>
      </c>
      <c r="B489" s="7" t="s">
        <v>64</v>
      </c>
      <c r="C489" s="7" t="str">
        <f>'[1]V, inciso o) (OP)'!C243</f>
        <v>DOPI-EST-CR-PAV-AD-209-2017</v>
      </c>
      <c r="D489" s="13">
        <f>'[1]V, inciso o) (OP)'!V243</f>
        <v>43005</v>
      </c>
      <c r="E489" s="7" t="str">
        <f>'[1]V, inciso o) (OP)'!AA243</f>
        <v>Construcción de la segunda etapa de la calle Juárez, de la calle 5 de Mayo a calle Primavera con concreto hidráulico en Santa Ana Tepetitlan, incluye: guarniciones, banquetas, red de agua potable, alcantarillado y alumbrado público, Municipio de Zapopan, Jalisco.</v>
      </c>
      <c r="F489" s="7" t="s">
        <v>1223</v>
      </c>
      <c r="G489" s="11">
        <f>'[1]V, inciso o) (OP)'!Y243</f>
        <v>940711.37</v>
      </c>
      <c r="H489" s="7" t="s">
        <v>436</v>
      </c>
      <c r="I489" s="7" t="str">
        <f>'[1]V, inciso o) (OP)'!M243</f>
        <v>J. JESÚS</v>
      </c>
      <c r="J489" s="7" t="str">
        <f>'[1]V, inciso o) (OP)'!N243</f>
        <v>CONTRERAS</v>
      </c>
      <c r="K489" s="7" t="str">
        <f>'[1]V, inciso o) (OP)'!O243</f>
        <v>VILLANUEVA</v>
      </c>
      <c r="L489" s="7" t="str">
        <f>'[1]V, inciso o) (OP)'!P243</f>
        <v>CONSTRUCCIÓNES COVIMEX, S.A. DE C.V.</v>
      </c>
      <c r="M489" s="7" t="str">
        <f>'[1]V, inciso o) (OP)'!Q243</f>
        <v>CCO0404226D8</v>
      </c>
      <c r="N489" s="11">
        <f t="shared" si="13"/>
        <v>940711.37</v>
      </c>
      <c r="O489" s="7" t="s">
        <v>40</v>
      </c>
      <c r="P489" s="7" t="s">
        <v>1224</v>
      </c>
      <c r="Q489" s="11">
        <f>N489/297</f>
        <v>3167.3783501683502</v>
      </c>
      <c r="R489" s="7" t="s">
        <v>42</v>
      </c>
      <c r="S489" s="15">
        <v>528</v>
      </c>
      <c r="T489" s="7" t="s">
        <v>43</v>
      </c>
      <c r="U489" s="7" t="s">
        <v>584</v>
      </c>
      <c r="V489" s="13">
        <f>'[1]V, inciso o) (OP)'!AD243</f>
        <v>43006</v>
      </c>
      <c r="W489" s="13">
        <f>'[1]V, inciso o) (OP)'!AE243</f>
        <v>43069</v>
      </c>
      <c r="X489" s="7" t="s">
        <v>967</v>
      </c>
      <c r="Y489" s="7" t="s">
        <v>383</v>
      </c>
      <c r="Z489" s="7" t="s">
        <v>300</v>
      </c>
      <c r="AA489" s="7" t="s">
        <v>40</v>
      </c>
      <c r="AB489" s="7" t="s">
        <v>40</v>
      </c>
    </row>
    <row r="490" spans="1:28" ht="69.95" customHeight="1">
      <c r="A490" s="7">
        <v>2017</v>
      </c>
      <c r="B490" s="7" t="s">
        <v>64</v>
      </c>
      <c r="C490" s="7" t="str">
        <f>'[1]V, inciso o) (OP)'!C244</f>
        <v>DOPI-MUN-RM-PROY-AD-210-2017</v>
      </c>
      <c r="D490" s="13">
        <f>'[1]V, inciso o) (OP)'!V244</f>
        <v>42947</v>
      </c>
      <c r="E490" s="7" t="str">
        <f>'[1]V, inciso o) (OP)'!AA244</f>
        <v>Elaboración de proyecto ejecutivo para la rehabilitación del área infantil y del Parque Unidad de Manejo Ambiental Villa Fantasía, colonia Tepeyac, Municipio de Zapopan, Jalisco.</v>
      </c>
      <c r="F490" s="7" t="s">
        <v>730</v>
      </c>
      <c r="G490" s="11">
        <f>'[1]V, inciso o) (OP)'!Y244</f>
        <v>754115.28</v>
      </c>
      <c r="H490" s="7" t="s">
        <v>1225</v>
      </c>
      <c r="I490" s="7" t="str">
        <f>'[1]V, inciso o) (OP)'!M244</f>
        <v xml:space="preserve">JUAN IGNACIO </v>
      </c>
      <c r="J490" s="7" t="str">
        <f>'[1]V, inciso o) (OP)'!N244</f>
        <v xml:space="preserve">MICHEL </v>
      </c>
      <c r="K490" s="7" t="str">
        <f>'[1]V, inciso o) (OP)'!O244</f>
        <v>ZEPEDA</v>
      </c>
      <c r="L490" s="7" t="str">
        <f>'[1]V, inciso o) (OP)'!P244</f>
        <v>PROTOTIPOS COMPETITIVOS, S.A. DE C.V.</v>
      </c>
      <c r="M490" s="7" t="str">
        <f>'[1]V, inciso o) (OP)'!Q244</f>
        <v>PCO051124BL2</v>
      </c>
      <c r="N490" s="11">
        <f t="shared" si="13"/>
        <v>754115.28</v>
      </c>
      <c r="O490" s="7" t="s">
        <v>40</v>
      </c>
      <c r="P490" s="7" t="s">
        <v>739</v>
      </c>
      <c r="Q490" s="11">
        <f>N490/1</f>
        <v>754115.28</v>
      </c>
      <c r="R490" s="7" t="s">
        <v>42</v>
      </c>
      <c r="S490" s="15" t="s">
        <v>232</v>
      </c>
      <c r="T490" s="7" t="s">
        <v>43</v>
      </c>
      <c r="U490" s="7" t="s">
        <v>584</v>
      </c>
      <c r="V490" s="13">
        <f>'[1]V, inciso o) (OP)'!AD244</f>
        <v>42948</v>
      </c>
      <c r="W490" s="13">
        <f>'[1]V, inciso o) (OP)'!AE244</f>
        <v>43054</v>
      </c>
      <c r="X490" s="7" t="s">
        <v>1086</v>
      </c>
      <c r="Y490" s="7" t="s">
        <v>687</v>
      </c>
      <c r="Z490" s="7" t="s">
        <v>268</v>
      </c>
      <c r="AA490" s="7" t="s">
        <v>40</v>
      </c>
      <c r="AB490" s="7" t="s">
        <v>40</v>
      </c>
    </row>
    <row r="491" spans="1:28" ht="69.95" customHeight="1">
      <c r="A491" s="7">
        <v>2017</v>
      </c>
      <c r="B491" s="7" t="s">
        <v>64</v>
      </c>
      <c r="C491" s="7" t="str">
        <f>'[1]V, inciso o) (OP)'!C245</f>
        <v>DOPI-MUN-R33R-ELE-AD-211-2017</v>
      </c>
      <c r="D491" s="13">
        <f>'[1]V, inciso o) (OP)'!V245</f>
        <v>43021</v>
      </c>
      <c r="E491" s="7" t="str">
        <f>'[1]V, inciso o) (OP)'!AA245</f>
        <v>Electrificación en las calles 1ra Norte, 2a Norte, 11a Poniente y 10a Poniente, colonia Jardines de Nuevo México, municipio de Zapopan, Jalisco.</v>
      </c>
      <c r="F491" s="7" t="s">
        <v>1073</v>
      </c>
      <c r="G491" s="11">
        <f>'[1]V, inciso o) (OP)'!Y245</f>
        <v>1496418.42</v>
      </c>
      <c r="H491" s="7" t="s">
        <v>104</v>
      </c>
      <c r="I491" s="7" t="str">
        <f>'[1]V, inciso o) (OP)'!M245</f>
        <v>JOSÉ DE JESÚS</v>
      </c>
      <c r="J491" s="7" t="str">
        <f>'[1]V, inciso o) (OP)'!N245</f>
        <v>MARQUEZ</v>
      </c>
      <c r="K491" s="7" t="str">
        <f>'[1]V, inciso o) (OP)'!O245</f>
        <v>ÁVILA</v>
      </c>
      <c r="L491" s="7" t="str">
        <f>'[1]V, inciso o) (OP)'!P245</f>
        <v>FUTUROBRAS, S.A. DE C.V.</v>
      </c>
      <c r="M491" s="7" t="str">
        <f>'[1]V, inciso o) (OP)'!Q245</f>
        <v>FUT1110275V9</v>
      </c>
      <c r="N491" s="11">
        <f t="shared" si="13"/>
        <v>1496418.42</v>
      </c>
      <c r="O491" s="7" t="s">
        <v>40</v>
      </c>
      <c r="P491" s="7" t="s">
        <v>1226</v>
      </c>
      <c r="Q491" s="11">
        <f>N491/800</f>
        <v>1870.523025</v>
      </c>
      <c r="R491" s="7" t="s">
        <v>42</v>
      </c>
      <c r="S491" s="15">
        <v>423</v>
      </c>
      <c r="T491" s="7" t="s">
        <v>43</v>
      </c>
      <c r="U491" s="7" t="s">
        <v>584</v>
      </c>
      <c r="V491" s="13">
        <f>'[1]V, inciso o) (OP)'!AD245</f>
        <v>43024</v>
      </c>
      <c r="W491" s="13">
        <f>'[1]V, inciso o) (OP)'!AE245</f>
        <v>43084</v>
      </c>
      <c r="X491" s="7" t="s">
        <v>640</v>
      </c>
      <c r="Y491" s="7" t="s">
        <v>496</v>
      </c>
      <c r="Z491" s="7" t="s">
        <v>749</v>
      </c>
      <c r="AA491" s="7" t="s">
        <v>40</v>
      </c>
      <c r="AB491" s="7" t="s">
        <v>40</v>
      </c>
    </row>
    <row r="492" spans="1:28" ht="69.95" customHeight="1">
      <c r="A492" s="7">
        <v>2017</v>
      </c>
      <c r="B492" s="7" t="s">
        <v>64</v>
      </c>
      <c r="C492" s="7" t="str">
        <f>'[1]V, inciso o) (OP)'!C246</f>
        <v>DOPI-MUN-RM-MOV-AD-212-2017</v>
      </c>
      <c r="D492" s="13">
        <f>'[1]V, inciso o) (OP)'!V246</f>
        <v>43013</v>
      </c>
      <c r="E492" s="7" t="str">
        <f>'[1]V, inciso o) (OP)'!AA246</f>
        <v>Señalética horizontal-vertical y obra complementaria en la Prolongación Laureles de Av. Del Rodeo a Periférico Norte Manuel Gómez Morín, municipio de Zapopan, Jalisco.</v>
      </c>
      <c r="F492" s="7" t="s">
        <v>730</v>
      </c>
      <c r="G492" s="11">
        <f>'[1]V, inciso o) (OP)'!Y246</f>
        <v>591006.87</v>
      </c>
      <c r="H492" s="7" t="s">
        <v>1227</v>
      </c>
      <c r="I492" s="7" t="str">
        <f>'[1]V, inciso o) (OP)'!M246</f>
        <v>ANTONIO</v>
      </c>
      <c r="J492" s="7" t="str">
        <f>'[1]V, inciso o) (OP)'!N246</f>
        <v>CARRILLO</v>
      </c>
      <c r="K492" s="7" t="str">
        <f>'[1]V, inciso o) (OP)'!O246</f>
        <v>SEGURA</v>
      </c>
      <c r="L492" s="7" t="str">
        <f>'[1]V, inciso o) (OP)'!P246</f>
        <v>ITERACION, S.A. DE C.V.</v>
      </c>
      <c r="M492" s="7" t="str">
        <f>'[1]V, inciso o) (OP)'!Q246</f>
        <v>ITE080214UD3</v>
      </c>
      <c r="N492" s="11">
        <f t="shared" si="13"/>
        <v>591006.87</v>
      </c>
      <c r="O492" s="7" t="s">
        <v>40</v>
      </c>
      <c r="P492" s="7" t="s">
        <v>1228</v>
      </c>
      <c r="Q492" s="11">
        <f>N492/640</f>
        <v>923.44823437499997</v>
      </c>
      <c r="R492" s="7" t="s">
        <v>42</v>
      </c>
      <c r="S492" s="15">
        <v>2599</v>
      </c>
      <c r="T492" s="7" t="s">
        <v>43</v>
      </c>
      <c r="U492" s="7" t="s">
        <v>584</v>
      </c>
      <c r="V492" s="13">
        <f>'[1]V, inciso o) (OP)'!AD246</f>
        <v>43017</v>
      </c>
      <c r="W492" s="13">
        <f>'[1]V, inciso o) (OP)'!AE246</f>
        <v>43039</v>
      </c>
      <c r="X492" s="7" t="s">
        <v>640</v>
      </c>
      <c r="Y492" s="7" t="s">
        <v>1229</v>
      </c>
      <c r="Z492" s="7" t="s">
        <v>1230</v>
      </c>
      <c r="AA492" s="7" t="s">
        <v>40</v>
      </c>
      <c r="AB492" s="7" t="s">
        <v>40</v>
      </c>
    </row>
    <row r="493" spans="1:28" ht="69.95" customHeight="1">
      <c r="A493" s="7">
        <v>2017</v>
      </c>
      <c r="B493" s="7" t="s">
        <v>64</v>
      </c>
      <c r="C493" s="7" t="str">
        <f>'[1]V, inciso o) (OP)'!C247</f>
        <v>DOPI-EST-CR-PAV-AD-213-2017</v>
      </c>
      <c r="D493" s="13">
        <f>'[1]V, inciso o) (OP)'!V247</f>
        <v>43011</v>
      </c>
      <c r="E493" s="7" t="str">
        <f>'[1]V, inciso o) (OP)'!AA247</f>
        <v>Construcción de la primera etapa de la calle Elote de calle Chícharo a calle Chícharo con concreto hidráulico en la zona de la Mesa Colorada, incluye: guarniciones, banquetas, red de agua potable, alcantarillado y alumbrado público, municipio de Zapopan, Jalisco.</v>
      </c>
      <c r="F493" s="7" t="s">
        <v>1223</v>
      </c>
      <c r="G493" s="11">
        <f>'[1]V, inciso o) (OP)'!Y247</f>
        <v>889217.79</v>
      </c>
      <c r="H493" s="7" t="s">
        <v>1231</v>
      </c>
      <c r="I493" s="7" t="str">
        <f>'[1]V, inciso o) (OP)'!M247</f>
        <v>FELIPE DANIEL II</v>
      </c>
      <c r="J493" s="7" t="str">
        <f>'[1]V, inciso o) (OP)'!N247</f>
        <v>NUÑEZ</v>
      </c>
      <c r="K493" s="7" t="str">
        <f>'[1]V, inciso o) (OP)'!O247</f>
        <v>PINZON</v>
      </c>
      <c r="L493" s="7" t="str">
        <f>'[1]V, inciso o) (OP)'!P247</f>
        <v>GRUPO NUVECO, S.A. DE C.V.</v>
      </c>
      <c r="M493" s="7" t="str">
        <f>'[1]V, inciso o) (OP)'!Q247</f>
        <v>GNU120809KX1</v>
      </c>
      <c r="N493" s="11">
        <f t="shared" si="13"/>
        <v>889217.79</v>
      </c>
      <c r="O493" s="7" t="s">
        <v>40</v>
      </c>
      <c r="P493" s="7" t="s">
        <v>1232</v>
      </c>
      <c r="Q493" s="11">
        <f>N493/489</f>
        <v>1818.4412883435584</v>
      </c>
      <c r="R493" s="7" t="s">
        <v>42</v>
      </c>
      <c r="S493" s="15">
        <v>257</v>
      </c>
      <c r="T493" s="7" t="s">
        <v>43</v>
      </c>
      <c r="U493" s="7" t="s">
        <v>584</v>
      </c>
      <c r="V493" s="13">
        <f>'[1]V, inciso o) (OP)'!AD247</f>
        <v>43018</v>
      </c>
      <c r="W493" s="13">
        <f>'[1]V, inciso o) (OP)'!AE247</f>
        <v>43084</v>
      </c>
      <c r="X493" s="7" t="s">
        <v>671</v>
      </c>
      <c r="Y493" s="7" t="s">
        <v>334</v>
      </c>
      <c r="Z493" s="7" t="s">
        <v>133</v>
      </c>
      <c r="AA493" s="7" t="s">
        <v>40</v>
      </c>
      <c r="AB493" s="7" t="s">
        <v>40</v>
      </c>
    </row>
    <row r="494" spans="1:28" ht="69.95" customHeight="1">
      <c r="A494" s="7">
        <v>2017</v>
      </c>
      <c r="B494" s="7" t="s">
        <v>64</v>
      </c>
      <c r="C494" s="7" t="str">
        <f>'[1]V, inciso o) (OP)'!C248</f>
        <v>DOPI-MUN-CUSMAX-PROY-AD-214-2017</v>
      </c>
      <c r="D494" s="13">
        <f>'[1]V, inciso o) (OP)'!V248</f>
        <v>43017</v>
      </c>
      <c r="E494" s="7" t="str">
        <f>'[1]V, inciso o) (OP)'!AA248</f>
        <v>Elaboración de proyectos arquitectónicos para diferentes obras del programa Cusmax 2017, frente 1, municipio de Zapopan, Jalisco.</v>
      </c>
      <c r="F494" s="7" t="s">
        <v>1211</v>
      </c>
      <c r="G494" s="11">
        <f>'[1]V, inciso o) (OP)'!Y248</f>
        <v>1394337.14</v>
      </c>
      <c r="H494" s="7" t="s">
        <v>231</v>
      </c>
      <c r="I494" s="7" t="str">
        <f>'[1]V, inciso o) (OP)'!M248</f>
        <v xml:space="preserve">RODOLFO </v>
      </c>
      <c r="J494" s="7" t="str">
        <f>'[1]V, inciso o) (OP)'!N248</f>
        <v xml:space="preserve">VELAZQUEZ </v>
      </c>
      <c r="K494" s="7" t="str">
        <f>'[1]V, inciso o) (OP)'!O248</f>
        <v>ORDOÑEZ</v>
      </c>
      <c r="L494" s="7" t="str">
        <f>'[1]V, inciso o) (OP)'!P248</f>
        <v>VELAZQUEZ INGENIERIA ECOLOGICA, S.A. DE C.V.</v>
      </c>
      <c r="M494" s="7" t="str">
        <f>'[1]V, inciso o) (OP)'!Q248</f>
        <v>VIE110125RL4</v>
      </c>
      <c r="N494" s="11">
        <f t="shared" si="13"/>
        <v>1394337.14</v>
      </c>
      <c r="O494" s="7" t="s">
        <v>40</v>
      </c>
      <c r="P494" s="7" t="s">
        <v>739</v>
      </c>
      <c r="Q494" s="11">
        <f>N494/1</f>
        <v>1394337.14</v>
      </c>
      <c r="R494" s="7" t="s">
        <v>42</v>
      </c>
      <c r="S494" s="15" t="s">
        <v>232</v>
      </c>
      <c r="T494" s="7" t="s">
        <v>43</v>
      </c>
      <c r="U494" s="7" t="s">
        <v>584</v>
      </c>
      <c r="V494" s="13">
        <f>'[1]V, inciso o) (OP)'!AD248</f>
        <v>43018</v>
      </c>
      <c r="W494" s="13">
        <f>'[1]V, inciso o) (OP)'!AE248</f>
        <v>43100</v>
      </c>
      <c r="X494" s="7" t="s">
        <v>924</v>
      </c>
      <c r="Y494" s="7" t="s">
        <v>925</v>
      </c>
      <c r="Z494" s="7" t="s">
        <v>263</v>
      </c>
      <c r="AA494" s="7" t="s">
        <v>40</v>
      </c>
      <c r="AB494" s="7" t="s">
        <v>40</v>
      </c>
    </row>
    <row r="495" spans="1:28" ht="69.95" customHeight="1">
      <c r="A495" s="7">
        <v>2017</v>
      </c>
      <c r="B495" s="7" t="s">
        <v>64</v>
      </c>
      <c r="C495" s="7" t="str">
        <f>'[1]V, inciso o) (OP)'!C249</f>
        <v>DOPI-MUN-RM-PROY-AD-215-2017</v>
      </c>
      <c r="D495" s="13">
        <f>'[1]V, inciso o) (OP)'!V249</f>
        <v>43017</v>
      </c>
      <c r="E495" s="7" t="str">
        <f>'[1]V, inciso o) (OP)'!AA249</f>
        <v>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v>
      </c>
      <c r="F495" s="7" t="s">
        <v>730</v>
      </c>
      <c r="G495" s="11">
        <f>'[1]V, inciso o) (OP)'!Y249</f>
        <v>638122.43999999994</v>
      </c>
      <c r="H495" s="7" t="s">
        <v>707</v>
      </c>
      <c r="I495" s="7" t="str">
        <f>'[1]V, inciso o) (OP)'!M249</f>
        <v>ENRIQUE FRANCISCO</v>
      </c>
      <c r="J495" s="7" t="str">
        <f>'[1]V, inciso o) (OP)'!N249</f>
        <v>TOUSSAINT</v>
      </c>
      <c r="K495" s="7" t="str">
        <f>'[1]V, inciso o) (OP)'!O249</f>
        <v>OCHOA</v>
      </c>
      <c r="L495" s="7" t="str">
        <f>'[1]V, inciso o) (OP)'!P249</f>
        <v>GRUPO ARQUITECTOS TOUSSAINT Y ORENDAIN SC</v>
      </c>
      <c r="M495" s="7" t="str">
        <f>'[1]V, inciso o) (OP)'!Q249</f>
        <v>GAT920520R72</v>
      </c>
      <c r="N495" s="11">
        <f t="shared" si="13"/>
        <v>638122.43999999994</v>
      </c>
      <c r="O495" s="7" t="s">
        <v>40</v>
      </c>
      <c r="P495" s="7" t="s">
        <v>739</v>
      </c>
      <c r="Q495" s="11">
        <f>N495</f>
        <v>638122.43999999994</v>
      </c>
      <c r="R495" s="7" t="s">
        <v>42</v>
      </c>
      <c r="S495" s="15" t="s">
        <v>232</v>
      </c>
      <c r="T495" s="7" t="s">
        <v>43</v>
      </c>
      <c r="U495" s="7" t="s">
        <v>584</v>
      </c>
      <c r="V495" s="13">
        <f>'[1]V, inciso o) (OP)'!AD249</f>
        <v>43018</v>
      </c>
      <c r="W495" s="13">
        <f>'[1]V, inciso o) (OP)'!AE249</f>
        <v>43100</v>
      </c>
      <c r="X495" s="7" t="s">
        <v>924</v>
      </c>
      <c r="Y495" s="7" t="s">
        <v>925</v>
      </c>
      <c r="Z495" s="7" t="s">
        <v>263</v>
      </c>
      <c r="AA495" s="7" t="s">
        <v>40</v>
      </c>
      <c r="AB495" s="7" t="s">
        <v>40</v>
      </c>
    </row>
    <row r="496" spans="1:28" s="17" customFormat="1" ht="69.95" customHeight="1">
      <c r="A496" s="7">
        <v>2017</v>
      </c>
      <c r="B496" s="7" t="s">
        <v>296</v>
      </c>
      <c r="C496" s="7" t="s">
        <v>1361</v>
      </c>
      <c r="D496" s="13">
        <v>43047</v>
      </c>
      <c r="E496" s="7" t="s">
        <v>1362</v>
      </c>
      <c r="F496" s="7" t="s">
        <v>730</v>
      </c>
      <c r="G496" s="11">
        <v>1991192.71</v>
      </c>
      <c r="H496" s="7" t="s">
        <v>1363</v>
      </c>
      <c r="I496" s="7" t="s">
        <v>1364</v>
      </c>
      <c r="J496" s="7" t="s">
        <v>1365</v>
      </c>
      <c r="K496" s="7" t="s">
        <v>1366</v>
      </c>
      <c r="L496" s="7" t="s">
        <v>1367</v>
      </c>
      <c r="M496" s="7" t="s">
        <v>1368</v>
      </c>
      <c r="N496" s="11">
        <v>1991192.71</v>
      </c>
      <c r="O496" s="7" t="s">
        <v>40</v>
      </c>
      <c r="P496" s="14" t="s">
        <v>1369</v>
      </c>
      <c r="Q496" s="12">
        <v>1893.9929897652476</v>
      </c>
      <c r="R496" s="7" t="s">
        <v>42</v>
      </c>
      <c r="S496" s="15">
        <v>12301</v>
      </c>
      <c r="T496" s="7" t="s">
        <v>43</v>
      </c>
      <c r="U496" s="7" t="s">
        <v>584</v>
      </c>
      <c r="V496" s="13">
        <v>43047</v>
      </c>
      <c r="W496" s="13">
        <v>43133</v>
      </c>
      <c r="X496" s="7" t="s">
        <v>1370</v>
      </c>
      <c r="Y496" s="7" t="s">
        <v>975</v>
      </c>
      <c r="Z496" s="7" t="s">
        <v>1371</v>
      </c>
      <c r="AA496" s="7" t="s">
        <v>40</v>
      </c>
      <c r="AB496" s="7" t="s">
        <v>40</v>
      </c>
    </row>
    <row r="497" spans="1:28" s="17" customFormat="1" ht="69.95" customHeight="1">
      <c r="A497" s="7">
        <v>2017</v>
      </c>
      <c r="B497" s="7" t="s">
        <v>296</v>
      </c>
      <c r="C497" s="7" t="s">
        <v>1372</v>
      </c>
      <c r="D497" s="13">
        <v>43047</v>
      </c>
      <c r="E497" s="7" t="s">
        <v>1373</v>
      </c>
      <c r="F497" s="7" t="s">
        <v>1164</v>
      </c>
      <c r="G497" s="11">
        <v>2844117.16</v>
      </c>
      <c r="H497" s="7" t="s">
        <v>1374</v>
      </c>
      <c r="I497" s="7" t="s">
        <v>1375</v>
      </c>
      <c r="J497" s="7" t="s">
        <v>1376</v>
      </c>
      <c r="K497" s="7" t="s">
        <v>1377</v>
      </c>
      <c r="L497" s="7" t="s">
        <v>1378</v>
      </c>
      <c r="M497" s="7" t="s">
        <v>1379</v>
      </c>
      <c r="N497" s="11">
        <v>2844117.16</v>
      </c>
      <c r="O497" s="7" t="s">
        <v>40</v>
      </c>
      <c r="P497" s="14" t="s">
        <v>1380</v>
      </c>
      <c r="Q497" s="12">
        <v>2887.4285888324875</v>
      </c>
      <c r="R497" s="7" t="s">
        <v>42</v>
      </c>
      <c r="S497" s="15">
        <v>389</v>
      </c>
      <c r="T497" s="7" t="s">
        <v>43</v>
      </c>
      <c r="U497" s="7" t="s">
        <v>584</v>
      </c>
      <c r="V497" s="13">
        <v>43047</v>
      </c>
      <c r="W497" s="13">
        <v>43102</v>
      </c>
      <c r="X497" s="7" t="s">
        <v>967</v>
      </c>
      <c r="Y497" s="7" t="s">
        <v>383</v>
      </c>
      <c r="Z497" s="7" t="s">
        <v>300</v>
      </c>
      <c r="AA497" s="7" t="s">
        <v>40</v>
      </c>
      <c r="AB497" s="7" t="s">
        <v>40</v>
      </c>
    </row>
    <row r="498" spans="1:28" s="17" customFormat="1" ht="69.95" customHeight="1">
      <c r="A498" s="7">
        <v>2017</v>
      </c>
      <c r="B498" s="7" t="s">
        <v>296</v>
      </c>
      <c r="C498" s="7" t="s">
        <v>1381</v>
      </c>
      <c r="D498" s="13">
        <v>43047</v>
      </c>
      <c r="E498" s="7" t="s">
        <v>1382</v>
      </c>
      <c r="F498" s="7" t="s">
        <v>730</v>
      </c>
      <c r="G498" s="11">
        <v>4149119.31</v>
      </c>
      <c r="H498" s="7" t="s">
        <v>1383</v>
      </c>
      <c r="I498" s="7" t="s">
        <v>1355</v>
      </c>
      <c r="J498" s="7" t="s">
        <v>1384</v>
      </c>
      <c r="K498" s="7" t="s">
        <v>1385</v>
      </c>
      <c r="L498" s="7" t="s">
        <v>1386</v>
      </c>
      <c r="M498" s="7" t="s">
        <v>1387</v>
      </c>
      <c r="N498" s="11">
        <v>4149119.31</v>
      </c>
      <c r="O498" s="7" t="s">
        <v>40</v>
      </c>
      <c r="P498" s="14" t="s">
        <v>1388</v>
      </c>
      <c r="Q498" s="12">
        <v>7081.3751194702354</v>
      </c>
      <c r="R498" s="7" t="s">
        <v>42</v>
      </c>
      <c r="S498" s="15">
        <v>8563</v>
      </c>
      <c r="T498" s="7" t="s">
        <v>43</v>
      </c>
      <c r="U498" s="7" t="s">
        <v>584</v>
      </c>
      <c r="V498" s="13">
        <v>43047</v>
      </c>
      <c r="W498" s="13">
        <v>43133</v>
      </c>
      <c r="X498" s="7" t="s">
        <v>967</v>
      </c>
      <c r="Y498" s="7" t="s">
        <v>383</v>
      </c>
      <c r="Z498" s="7" t="s">
        <v>300</v>
      </c>
      <c r="AA498" s="7" t="s">
        <v>40</v>
      </c>
      <c r="AB498" s="7" t="s">
        <v>40</v>
      </c>
    </row>
    <row r="499" spans="1:28" s="17" customFormat="1" ht="69.95" customHeight="1">
      <c r="A499" s="7">
        <v>2017</v>
      </c>
      <c r="B499" s="7" t="s">
        <v>296</v>
      </c>
      <c r="C499" s="7" t="s">
        <v>1389</v>
      </c>
      <c r="D499" s="13">
        <v>43047</v>
      </c>
      <c r="E499" s="7" t="s">
        <v>1390</v>
      </c>
      <c r="F499" s="7" t="s">
        <v>939</v>
      </c>
      <c r="G499" s="11">
        <v>2460035.12</v>
      </c>
      <c r="H499" s="7" t="s">
        <v>194</v>
      </c>
      <c r="I499" s="7" t="s">
        <v>1355</v>
      </c>
      <c r="J499" s="7" t="s">
        <v>1391</v>
      </c>
      <c r="K499" s="7" t="s">
        <v>1392</v>
      </c>
      <c r="L499" s="7" t="s">
        <v>1393</v>
      </c>
      <c r="M499" s="7" t="s">
        <v>1394</v>
      </c>
      <c r="N499" s="11">
        <v>2460035.12</v>
      </c>
      <c r="O499" s="7" t="s">
        <v>40</v>
      </c>
      <c r="P499" s="14" t="s">
        <v>1395</v>
      </c>
      <c r="Q499" s="12">
        <v>1996.7817532467534</v>
      </c>
      <c r="R499" s="7" t="s">
        <v>42</v>
      </c>
      <c r="S499" s="15">
        <v>1332272</v>
      </c>
      <c r="T499" s="7" t="s">
        <v>43</v>
      </c>
      <c r="U499" s="7" t="s">
        <v>584</v>
      </c>
      <c r="V499" s="13">
        <v>43047</v>
      </c>
      <c r="W499" s="13">
        <v>43133</v>
      </c>
      <c r="X499" s="7" t="s">
        <v>1326</v>
      </c>
      <c r="Y499" s="7" t="s">
        <v>1327</v>
      </c>
      <c r="Z499" s="7" t="s">
        <v>1109</v>
      </c>
      <c r="AA499" s="7" t="s">
        <v>40</v>
      </c>
      <c r="AB499" s="7" t="s">
        <v>40</v>
      </c>
    </row>
    <row r="500" spans="1:28" s="17" customFormat="1" ht="69.95" customHeight="1">
      <c r="A500" s="7">
        <v>2017</v>
      </c>
      <c r="B500" s="7" t="s">
        <v>296</v>
      </c>
      <c r="C500" s="7" t="s">
        <v>1396</v>
      </c>
      <c r="D500" s="13">
        <v>43047</v>
      </c>
      <c r="E500" s="7" t="s">
        <v>1397</v>
      </c>
      <c r="F500" s="7" t="s">
        <v>1211</v>
      </c>
      <c r="G500" s="11">
        <v>5989642.0700000003</v>
      </c>
      <c r="H500" s="7" t="s">
        <v>1398</v>
      </c>
      <c r="I500" s="7" t="s">
        <v>1399</v>
      </c>
      <c r="J500" s="7" t="s">
        <v>1400</v>
      </c>
      <c r="K500" s="7" t="s">
        <v>1401</v>
      </c>
      <c r="L500" s="7" t="s">
        <v>1402</v>
      </c>
      <c r="M500" s="7" t="s">
        <v>1403</v>
      </c>
      <c r="N500" s="11">
        <v>5989642.0700000003</v>
      </c>
      <c r="O500" s="7" t="s">
        <v>40</v>
      </c>
      <c r="P500" s="14" t="s">
        <v>1404</v>
      </c>
      <c r="Q500" s="12">
        <v>4173.1232503535875</v>
      </c>
      <c r="R500" s="7" t="s">
        <v>42</v>
      </c>
      <c r="S500" s="15">
        <v>2698</v>
      </c>
      <c r="T500" s="7" t="s">
        <v>43</v>
      </c>
      <c r="U500" s="7" t="s">
        <v>584</v>
      </c>
      <c r="V500" s="13">
        <v>43047</v>
      </c>
      <c r="W500" s="13">
        <v>43161</v>
      </c>
      <c r="X500" s="7" t="s">
        <v>668</v>
      </c>
      <c r="Y500" s="7" t="s">
        <v>476</v>
      </c>
      <c r="Z500" s="7" t="s">
        <v>89</v>
      </c>
      <c r="AA500" s="7" t="s">
        <v>40</v>
      </c>
      <c r="AB500" s="7" t="s">
        <v>40</v>
      </c>
    </row>
    <row r="501" spans="1:28" s="17" customFormat="1" ht="69.95" customHeight="1">
      <c r="A501" s="7">
        <v>2017</v>
      </c>
      <c r="B501" s="7" t="s">
        <v>296</v>
      </c>
      <c r="C501" s="7" t="s">
        <v>1405</v>
      </c>
      <c r="D501" s="13">
        <v>43047</v>
      </c>
      <c r="E501" s="7" t="s">
        <v>1406</v>
      </c>
      <c r="F501" s="7" t="s">
        <v>1211</v>
      </c>
      <c r="G501" s="11">
        <v>5991380.2999999998</v>
      </c>
      <c r="H501" s="7" t="s">
        <v>1398</v>
      </c>
      <c r="I501" s="7" t="s">
        <v>1347</v>
      </c>
      <c r="J501" s="7" t="s">
        <v>1407</v>
      </c>
      <c r="K501" s="7" t="s">
        <v>1408</v>
      </c>
      <c r="L501" s="7" t="s">
        <v>1409</v>
      </c>
      <c r="M501" s="7" t="s">
        <v>1410</v>
      </c>
      <c r="N501" s="11">
        <v>5991380.2999999998</v>
      </c>
      <c r="O501" s="7" t="s">
        <v>40</v>
      </c>
      <c r="P501" s="14" t="s">
        <v>1411</v>
      </c>
      <c r="Q501" s="12">
        <v>3575.68396803514</v>
      </c>
      <c r="R501" s="7" t="s">
        <v>42</v>
      </c>
      <c r="S501" s="15">
        <v>2378</v>
      </c>
      <c r="T501" s="7" t="s">
        <v>43</v>
      </c>
      <c r="U501" s="7" t="s">
        <v>584</v>
      </c>
      <c r="V501" s="13">
        <v>43047</v>
      </c>
      <c r="W501" s="13">
        <v>43161</v>
      </c>
      <c r="X501" s="7" t="s">
        <v>668</v>
      </c>
      <c r="Y501" s="7" t="s">
        <v>476</v>
      </c>
      <c r="Z501" s="7" t="s">
        <v>89</v>
      </c>
      <c r="AA501" s="7" t="s">
        <v>40</v>
      </c>
      <c r="AB501" s="7" t="s">
        <v>40</v>
      </c>
    </row>
    <row r="502" spans="1:28" s="17" customFormat="1" ht="69.95" customHeight="1">
      <c r="A502" s="7">
        <v>2017</v>
      </c>
      <c r="B502" s="7" t="s">
        <v>296</v>
      </c>
      <c r="C502" s="7" t="s">
        <v>1412</v>
      </c>
      <c r="D502" s="13">
        <v>43047</v>
      </c>
      <c r="E502" s="7" t="s">
        <v>1413</v>
      </c>
      <c r="F502" s="7" t="s">
        <v>1211</v>
      </c>
      <c r="G502" s="11">
        <v>5970323.4800000004</v>
      </c>
      <c r="H502" s="7" t="s">
        <v>1398</v>
      </c>
      <c r="I502" s="7" t="s">
        <v>1414</v>
      </c>
      <c r="J502" s="7" t="s">
        <v>1415</v>
      </c>
      <c r="K502" s="7" t="s">
        <v>1416</v>
      </c>
      <c r="L502" s="7" t="s">
        <v>1417</v>
      </c>
      <c r="M502" s="7" t="s">
        <v>1418</v>
      </c>
      <c r="N502" s="11">
        <v>5970323.4800000004</v>
      </c>
      <c r="O502" s="7" t="s">
        <v>40</v>
      </c>
      <c r="P502" s="14" t="s">
        <v>1419</v>
      </c>
      <c r="Q502" s="12">
        <v>5831.8178070818076</v>
      </c>
      <c r="R502" s="7" t="s">
        <v>42</v>
      </c>
      <c r="S502" s="15">
        <v>1985</v>
      </c>
      <c r="T502" s="7" t="s">
        <v>43</v>
      </c>
      <c r="U502" s="7" t="s">
        <v>584</v>
      </c>
      <c r="V502" s="13">
        <v>43047</v>
      </c>
      <c r="W502" s="13">
        <v>43161</v>
      </c>
      <c r="X502" s="7" t="s">
        <v>668</v>
      </c>
      <c r="Y502" s="7" t="s">
        <v>476</v>
      </c>
      <c r="Z502" s="7" t="s">
        <v>89</v>
      </c>
      <c r="AA502" s="7" t="s">
        <v>40</v>
      </c>
      <c r="AB502" s="7" t="s">
        <v>40</v>
      </c>
    </row>
    <row r="503" spans="1:28" s="17" customFormat="1" ht="69.95" customHeight="1">
      <c r="A503" s="7">
        <v>2017</v>
      </c>
      <c r="B503" s="7" t="s">
        <v>296</v>
      </c>
      <c r="C503" s="7" t="s">
        <v>1420</v>
      </c>
      <c r="D503" s="13">
        <v>43047</v>
      </c>
      <c r="E503" s="7" t="s">
        <v>1421</v>
      </c>
      <c r="F503" s="7" t="s">
        <v>1211</v>
      </c>
      <c r="G503" s="11">
        <v>7971544.1399999997</v>
      </c>
      <c r="H503" s="7" t="s">
        <v>1422</v>
      </c>
      <c r="I503" s="7" t="s">
        <v>1423</v>
      </c>
      <c r="J503" s="7" t="s">
        <v>1424</v>
      </c>
      <c r="K503" s="7" t="s">
        <v>1425</v>
      </c>
      <c r="L503" s="7" t="s">
        <v>1426</v>
      </c>
      <c r="M503" s="7" t="s">
        <v>621</v>
      </c>
      <c r="N503" s="11">
        <v>7971544.1399999997</v>
      </c>
      <c r="O503" s="7" t="s">
        <v>40</v>
      </c>
      <c r="P503" s="14" t="s">
        <v>1427</v>
      </c>
      <c r="Q503" s="12">
        <v>8372.1515937614877</v>
      </c>
      <c r="R503" s="7" t="s">
        <v>42</v>
      </c>
      <c r="S503" s="15">
        <v>2664</v>
      </c>
      <c r="T503" s="7" t="s">
        <v>43</v>
      </c>
      <c r="U503" s="7" t="s">
        <v>584</v>
      </c>
      <c r="V503" s="13">
        <v>43047</v>
      </c>
      <c r="W503" s="13">
        <v>43161</v>
      </c>
      <c r="X503" s="7" t="s">
        <v>591</v>
      </c>
      <c r="Y503" s="7" t="s">
        <v>46</v>
      </c>
      <c r="Z503" s="7" t="s">
        <v>47</v>
      </c>
      <c r="AA503" s="7" t="s">
        <v>40</v>
      </c>
      <c r="AB503" s="7" t="s">
        <v>40</v>
      </c>
    </row>
    <row r="504" spans="1:28" s="17" customFormat="1" ht="69.95" customHeight="1">
      <c r="A504" s="7">
        <v>2017</v>
      </c>
      <c r="B504" s="7" t="s">
        <v>296</v>
      </c>
      <c r="C504" s="7" t="s">
        <v>1428</v>
      </c>
      <c r="D504" s="13">
        <v>43047</v>
      </c>
      <c r="E504" s="7" t="s">
        <v>1429</v>
      </c>
      <c r="F504" s="7" t="s">
        <v>1211</v>
      </c>
      <c r="G504" s="11">
        <v>6997515.3200000003</v>
      </c>
      <c r="H504" s="7" t="s">
        <v>1422</v>
      </c>
      <c r="I504" s="7" t="s">
        <v>1430</v>
      </c>
      <c r="J504" s="7" t="s">
        <v>1431</v>
      </c>
      <c r="K504" s="7" t="s">
        <v>1432</v>
      </c>
      <c r="L504" s="7" t="s">
        <v>1433</v>
      </c>
      <c r="M504" s="7" t="s">
        <v>190</v>
      </c>
      <c r="N504" s="11">
        <v>6997515.3200000003</v>
      </c>
      <c r="O504" s="7" t="s">
        <v>40</v>
      </c>
      <c r="P504" s="14" t="s">
        <v>1434</v>
      </c>
      <c r="Q504" s="12">
        <v>8372.1363946351448</v>
      </c>
      <c r="R504" s="7" t="s">
        <v>42</v>
      </c>
      <c r="S504" s="15">
        <v>2664</v>
      </c>
      <c r="T504" s="7" t="s">
        <v>43</v>
      </c>
      <c r="U504" s="7" t="s">
        <v>584</v>
      </c>
      <c r="V504" s="13">
        <v>43047</v>
      </c>
      <c r="W504" s="13">
        <v>43161</v>
      </c>
      <c r="X504" s="7" t="s">
        <v>591</v>
      </c>
      <c r="Y504" s="7" t="s">
        <v>46</v>
      </c>
      <c r="Z504" s="7" t="s">
        <v>47</v>
      </c>
      <c r="AA504" s="7" t="s">
        <v>40</v>
      </c>
      <c r="AB504" s="7" t="s">
        <v>40</v>
      </c>
    </row>
    <row r="505" spans="1:28" s="17" customFormat="1" ht="69.95" customHeight="1">
      <c r="A505" s="7">
        <v>2017</v>
      </c>
      <c r="B505" s="7" t="s">
        <v>296</v>
      </c>
      <c r="C505" s="7" t="s">
        <v>1435</v>
      </c>
      <c r="D505" s="13">
        <v>43047</v>
      </c>
      <c r="E505" s="7" t="s">
        <v>1436</v>
      </c>
      <c r="F505" s="7" t="s">
        <v>1211</v>
      </c>
      <c r="G505" s="11">
        <v>1985148.5</v>
      </c>
      <c r="H505" s="7" t="s">
        <v>1437</v>
      </c>
      <c r="I505" s="7" t="s">
        <v>1438</v>
      </c>
      <c r="J505" s="7" t="s">
        <v>1439</v>
      </c>
      <c r="K505" s="7" t="s">
        <v>1440</v>
      </c>
      <c r="L505" s="7" t="s">
        <v>1441</v>
      </c>
      <c r="M505" s="7" t="s">
        <v>1442</v>
      </c>
      <c r="N505" s="11">
        <v>1985148.5</v>
      </c>
      <c r="O505" s="7" t="s">
        <v>40</v>
      </c>
      <c r="P505" s="14" t="s">
        <v>1443</v>
      </c>
      <c r="Q505" s="12">
        <v>1255.1044472263318</v>
      </c>
      <c r="R505" s="7" t="s">
        <v>42</v>
      </c>
      <c r="S505" s="15">
        <v>5863</v>
      </c>
      <c r="T505" s="7" t="s">
        <v>43</v>
      </c>
      <c r="U505" s="7" t="s">
        <v>584</v>
      </c>
      <c r="V505" s="13">
        <v>43047</v>
      </c>
      <c r="W505" s="13">
        <v>43133</v>
      </c>
      <c r="X505" s="7" t="s">
        <v>586</v>
      </c>
      <c r="Y505" s="7" t="s">
        <v>404</v>
      </c>
      <c r="Z505" s="7" t="s">
        <v>405</v>
      </c>
      <c r="AA505" s="7" t="s">
        <v>40</v>
      </c>
      <c r="AB505" s="7" t="s">
        <v>40</v>
      </c>
    </row>
    <row r="506" spans="1:28" s="17" customFormat="1" ht="69.95" customHeight="1">
      <c r="A506" s="7">
        <v>2017</v>
      </c>
      <c r="B506" s="7" t="s">
        <v>296</v>
      </c>
      <c r="C506" s="7" t="s">
        <v>1444</v>
      </c>
      <c r="D506" s="13">
        <v>43047</v>
      </c>
      <c r="E506" s="7" t="s">
        <v>1445</v>
      </c>
      <c r="F506" s="7" t="s">
        <v>1211</v>
      </c>
      <c r="G506" s="11">
        <v>1919195.61</v>
      </c>
      <c r="H506" s="7" t="s">
        <v>1446</v>
      </c>
      <c r="I506" s="7" t="s">
        <v>1447</v>
      </c>
      <c r="J506" s="7" t="s">
        <v>1448</v>
      </c>
      <c r="K506" s="7" t="s">
        <v>1449</v>
      </c>
      <c r="L506" s="7" t="s">
        <v>1450</v>
      </c>
      <c r="M506" s="7" t="s">
        <v>628</v>
      </c>
      <c r="N506" s="11">
        <v>1919195.61</v>
      </c>
      <c r="O506" s="7" t="s">
        <v>40</v>
      </c>
      <c r="P506" s="14" t="s">
        <v>1451</v>
      </c>
      <c r="Q506" s="12">
        <v>1401.4455616894497</v>
      </c>
      <c r="R506" s="7" t="s">
        <v>42</v>
      </c>
      <c r="S506" s="15">
        <v>3265</v>
      </c>
      <c r="T506" s="7" t="s">
        <v>43</v>
      </c>
      <c r="U506" s="7" t="s">
        <v>584</v>
      </c>
      <c r="V506" s="13">
        <v>43047</v>
      </c>
      <c r="W506" s="13">
        <v>43133</v>
      </c>
      <c r="X506" s="7" t="s">
        <v>586</v>
      </c>
      <c r="Y506" s="7" t="s">
        <v>404</v>
      </c>
      <c r="Z506" s="7" t="s">
        <v>405</v>
      </c>
      <c r="AA506" s="7" t="s">
        <v>40</v>
      </c>
      <c r="AB506" s="7" t="s">
        <v>40</v>
      </c>
    </row>
    <row r="507" spans="1:28" s="17" customFormat="1" ht="69.95" customHeight="1">
      <c r="A507" s="7">
        <v>2017</v>
      </c>
      <c r="B507" s="7" t="s">
        <v>296</v>
      </c>
      <c r="C507" s="7" t="s">
        <v>1452</v>
      </c>
      <c r="D507" s="13">
        <v>43047</v>
      </c>
      <c r="E507" s="7" t="s">
        <v>1453</v>
      </c>
      <c r="F507" s="7" t="s">
        <v>1211</v>
      </c>
      <c r="G507" s="11">
        <v>7122671.96</v>
      </c>
      <c r="H507" s="7" t="s">
        <v>1320</v>
      </c>
      <c r="I507" s="7" t="s">
        <v>1454</v>
      </c>
      <c r="J507" s="7" t="s">
        <v>1455</v>
      </c>
      <c r="K507" s="7" t="s">
        <v>1356</v>
      </c>
      <c r="L507" s="7" t="s">
        <v>1456</v>
      </c>
      <c r="M507" s="7" t="s">
        <v>1457</v>
      </c>
      <c r="N507" s="11">
        <v>7122671.96</v>
      </c>
      <c r="O507" s="7" t="s">
        <v>40</v>
      </c>
      <c r="P507" s="14" t="s">
        <v>1458</v>
      </c>
      <c r="Q507" s="12">
        <v>380.16983587307516</v>
      </c>
      <c r="R507" s="7" t="s">
        <v>42</v>
      </c>
      <c r="S507" s="15">
        <v>4201</v>
      </c>
      <c r="T507" s="7" t="s">
        <v>43</v>
      </c>
      <c r="U507" s="7" t="s">
        <v>584</v>
      </c>
      <c r="V507" s="13">
        <v>43047</v>
      </c>
      <c r="W507" s="13">
        <v>43133</v>
      </c>
      <c r="X507" s="7" t="s">
        <v>671</v>
      </c>
      <c r="Y507" s="7" t="s">
        <v>334</v>
      </c>
      <c r="Z507" s="7" t="s">
        <v>133</v>
      </c>
      <c r="AA507" s="7" t="s">
        <v>40</v>
      </c>
      <c r="AB507" s="7" t="s">
        <v>40</v>
      </c>
    </row>
    <row r="508" spans="1:28" ht="69.95" customHeight="1">
      <c r="A508" s="7">
        <v>2017</v>
      </c>
      <c r="B508" s="7" t="s">
        <v>64</v>
      </c>
      <c r="C508" s="7" t="str">
        <f>'[1]V, inciso o) (OP)'!C250</f>
        <v>DOPI-MUN-CUSMAX-SER-AD-229-2017</v>
      </c>
      <c r="D508" s="13">
        <f>'[1]V, inciso o) (OP)'!V250</f>
        <v>43017</v>
      </c>
      <c r="E508" s="7" t="str">
        <f>'[1]V, inciso o) (OP)'!AA250</f>
        <v>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v>
      </c>
      <c r="F508" s="7" t="s">
        <v>1211</v>
      </c>
      <c r="G508" s="11">
        <f>'[1]V, inciso o) (OP)'!Y250</f>
        <v>812650.35</v>
      </c>
      <c r="H508" s="7" t="s">
        <v>231</v>
      </c>
      <c r="I508" s="7" t="str">
        <f>'[1]V, inciso o) (OP)'!M250</f>
        <v>JUAN FRANCISCO</v>
      </c>
      <c r="J508" s="7" t="str">
        <f>'[1]V, inciso o) (OP)'!N250</f>
        <v>TOSCANO</v>
      </c>
      <c r="K508" s="7" t="str">
        <f>'[1]V, inciso o) (OP)'!O250</f>
        <v>LASES</v>
      </c>
      <c r="L508" s="7" t="str">
        <f>'[1]V, inciso o) (OP)'!P250</f>
        <v>INFOGRAFIA DIGITAL DE OCCIDENTE, S.A. DE C.V.</v>
      </c>
      <c r="M508" s="7" t="str">
        <f>'[1]V, inciso o) (OP)'!Q250</f>
        <v>IDO100427QG2</v>
      </c>
      <c r="N508" s="11">
        <f t="shared" si="13"/>
        <v>812650.35</v>
      </c>
      <c r="O508" s="7" t="s">
        <v>40</v>
      </c>
      <c r="P508" s="7" t="s">
        <v>739</v>
      </c>
      <c r="Q508" s="11">
        <f>N508</f>
        <v>812650.35</v>
      </c>
      <c r="R508" s="7" t="s">
        <v>42</v>
      </c>
      <c r="S508" s="15" t="s">
        <v>232</v>
      </c>
      <c r="T508" s="7" t="s">
        <v>43</v>
      </c>
      <c r="U508" s="7" t="s">
        <v>584</v>
      </c>
      <c r="V508" s="13">
        <f>'[1]V, inciso o) (OP)'!AD250</f>
        <v>43018</v>
      </c>
      <c r="W508" s="13">
        <f>'[1]V, inciso o) (OP)'!AE250</f>
        <v>43109</v>
      </c>
      <c r="X508" s="7" t="s">
        <v>924</v>
      </c>
      <c r="Y508" s="7" t="s">
        <v>925</v>
      </c>
      <c r="Z508" s="7" t="s">
        <v>263</v>
      </c>
      <c r="AA508" s="7" t="s">
        <v>40</v>
      </c>
      <c r="AB508" s="7" t="s">
        <v>40</v>
      </c>
    </row>
    <row r="509" spans="1:28" ht="69.95" customHeight="1">
      <c r="A509" s="7">
        <v>2017</v>
      </c>
      <c r="B509" s="7" t="s">
        <v>64</v>
      </c>
      <c r="C509" s="7" t="str">
        <f>'[1]V, inciso o) (OP)'!C251</f>
        <v>DOPI-MUN-RM-BAN-AD-230-2017</v>
      </c>
      <c r="D509" s="13">
        <f>'[1]V, inciso o) (OP)'!V251</f>
        <v>43011</v>
      </c>
      <c r="E509" s="7" t="str">
        <f>'[1]V, inciso o) (OP)'!AA251</f>
        <v>Peatonalización, construcción de banquetas, sustitución de guarniciones, bolardos, accesibilidad primera etapa en la colonia La Tuzania Ejidal, municipio de Zapopan, Jalisco.</v>
      </c>
      <c r="F509" s="7" t="s">
        <v>730</v>
      </c>
      <c r="G509" s="11">
        <f>'[1]V, inciso o) (OP)'!Y251</f>
        <v>1498650.24</v>
      </c>
      <c r="H509" s="7" t="s">
        <v>1233</v>
      </c>
      <c r="I509" s="7" t="str">
        <f>'[1]V, inciso o) (OP)'!M251</f>
        <v>MARÍA DE LOURDES</v>
      </c>
      <c r="J509" s="7" t="str">
        <f>'[1]V, inciso o) (OP)'!N251</f>
        <v xml:space="preserve">CASTAÑEDA </v>
      </c>
      <c r="K509" s="7" t="str">
        <f>'[1]V, inciso o) (OP)'!O251</f>
        <v>LACARIERE</v>
      </c>
      <c r="L509" s="7" t="str">
        <f>'[1]V, inciso o) (OP)'!P251</f>
        <v>LACARIERE EDIFICACIONES, S.A. DE C.V.</v>
      </c>
      <c r="M509" s="7" t="str">
        <f>'[1]V, inciso o) (OP)'!Q251</f>
        <v>LED091006JG1</v>
      </c>
      <c r="N509" s="11">
        <f t="shared" si="13"/>
        <v>1498650.24</v>
      </c>
      <c r="O509" s="7" t="s">
        <v>40</v>
      </c>
      <c r="P509" s="7" t="s">
        <v>1234</v>
      </c>
      <c r="Q509" s="11">
        <f>N509/1298</f>
        <v>1154.5841602465332</v>
      </c>
      <c r="R509" s="7" t="s">
        <v>42</v>
      </c>
      <c r="S509" s="15">
        <v>366</v>
      </c>
      <c r="T509" s="7" t="s">
        <v>43</v>
      </c>
      <c r="U509" s="7" t="s">
        <v>584</v>
      </c>
      <c r="V509" s="13">
        <f>'[1]V, inciso o) (OP)'!AD251</f>
        <v>43018</v>
      </c>
      <c r="W509" s="13">
        <f>'[1]V, inciso o) (OP)'!AE251</f>
        <v>43084</v>
      </c>
      <c r="X509" s="7" t="s">
        <v>571</v>
      </c>
      <c r="Y509" s="7" t="s">
        <v>572</v>
      </c>
      <c r="Z509" s="7" t="s">
        <v>573</v>
      </c>
      <c r="AA509" s="7" t="s">
        <v>40</v>
      </c>
      <c r="AB509" s="7" t="s">
        <v>40</v>
      </c>
    </row>
    <row r="510" spans="1:28" ht="69.95" customHeight="1">
      <c r="A510" s="7">
        <v>2017</v>
      </c>
      <c r="B510" s="7" t="s">
        <v>64</v>
      </c>
      <c r="C510" s="7" t="str">
        <f>'[1]V, inciso o) (OP)'!C252</f>
        <v>DOPI-MUN-RM-BAN-AD-231-2017</v>
      </c>
      <c r="D510" s="13">
        <f>'[1]V, inciso o) (OP)'!V252</f>
        <v>43017</v>
      </c>
      <c r="E510" s="7" t="str">
        <f>'[1]V, inciso o) (OP)'!AA252</f>
        <v>Peatonalización, construcción de banquetas, sustitución de guarniciones, rehabilitación de empedrado, bolardos, accesibilidad,  primera etapa en Cuidad Granja, municipio de Zapopan, Jalisco.</v>
      </c>
      <c r="F510" s="7" t="s">
        <v>730</v>
      </c>
      <c r="G510" s="11">
        <f>'[1]V, inciso o) (OP)'!Y252</f>
        <v>1501787.44</v>
      </c>
      <c r="H510" s="7" t="s">
        <v>1235</v>
      </c>
      <c r="I510" s="7" t="str">
        <f>'[1]V, inciso o) (OP)'!M252</f>
        <v>JOSÉ DE JESÚS</v>
      </c>
      <c r="J510" s="7" t="str">
        <f>'[1]V, inciso o) (OP)'!N252</f>
        <v>CÁRDENAS</v>
      </c>
      <c r="K510" s="7" t="str">
        <f>'[1]V, inciso o) (OP)'!O252</f>
        <v xml:space="preserve">SOLÍS </v>
      </c>
      <c r="L510" s="7" t="str">
        <f>'[1]V, inciso o) (OP)'!P252</f>
        <v>CEIESE CONSTRUCCIÓN Y EDIFICACION, S.A. DE C.V.</v>
      </c>
      <c r="M510" s="7" t="str">
        <f>'[1]V, inciso o) (OP)'!Q252</f>
        <v>CCE170517HW2</v>
      </c>
      <c r="N510" s="11">
        <f t="shared" si="13"/>
        <v>1501787.44</v>
      </c>
      <c r="O510" s="7" t="s">
        <v>40</v>
      </c>
      <c r="P510" s="7" t="s">
        <v>1236</v>
      </c>
      <c r="Q510" s="11">
        <f>N510/1201</f>
        <v>1250.4474937552041</v>
      </c>
      <c r="R510" s="7" t="s">
        <v>42</v>
      </c>
      <c r="S510" s="15">
        <v>1623</v>
      </c>
      <c r="T510" s="7" t="s">
        <v>43</v>
      </c>
      <c r="U510" s="7" t="s">
        <v>584</v>
      </c>
      <c r="V510" s="13">
        <f>'[1]V, inciso o) (OP)'!AD252</f>
        <v>43018</v>
      </c>
      <c r="W510" s="13">
        <f>'[1]V, inciso o) (OP)'!AE252</f>
        <v>43084</v>
      </c>
      <c r="X510" s="7" t="s">
        <v>591</v>
      </c>
      <c r="Y510" s="7" t="s">
        <v>46</v>
      </c>
      <c r="Z510" s="7" t="s">
        <v>47</v>
      </c>
      <c r="AA510" s="7" t="s">
        <v>40</v>
      </c>
      <c r="AB510" s="7" t="s">
        <v>40</v>
      </c>
    </row>
    <row r="511" spans="1:28" s="18" customFormat="1" ht="69.95" customHeight="1">
      <c r="A511" s="7">
        <v>2017</v>
      </c>
      <c r="B511" s="7" t="s">
        <v>64</v>
      </c>
      <c r="C511" s="7" t="s">
        <v>1459</v>
      </c>
      <c r="D511" s="13">
        <v>43013</v>
      </c>
      <c r="E511" s="7" t="s">
        <v>1460</v>
      </c>
      <c r="F511" s="7" t="s">
        <v>1211</v>
      </c>
      <c r="G511" s="11">
        <v>999802.79</v>
      </c>
      <c r="H511" s="7" t="s">
        <v>1461</v>
      </c>
      <c r="I511" s="7" t="s">
        <v>1462</v>
      </c>
      <c r="J511" s="7" t="s">
        <v>1463</v>
      </c>
      <c r="K511" s="7" t="s">
        <v>1331</v>
      </c>
      <c r="L511" s="7" t="s">
        <v>1464</v>
      </c>
      <c r="M511" s="7" t="s">
        <v>1465</v>
      </c>
      <c r="N511" s="11">
        <v>999802.79</v>
      </c>
      <c r="O511" s="7" t="s">
        <v>40</v>
      </c>
      <c r="P511" s="7" t="s">
        <v>1466</v>
      </c>
      <c r="Q511" s="11">
        <v>843.00403878583472</v>
      </c>
      <c r="R511" s="7" t="s">
        <v>42</v>
      </c>
      <c r="S511" s="15">
        <v>1204</v>
      </c>
      <c r="T511" s="7" t="s">
        <v>43</v>
      </c>
      <c r="U511" s="7" t="s">
        <v>584</v>
      </c>
      <c r="V511" s="13">
        <v>43014</v>
      </c>
      <c r="W511" s="13">
        <v>43083</v>
      </c>
      <c r="X511" s="7" t="s">
        <v>586</v>
      </c>
      <c r="Y511" s="7" t="s">
        <v>404</v>
      </c>
      <c r="Z511" s="7" t="s">
        <v>405</v>
      </c>
      <c r="AA511" s="7" t="s">
        <v>40</v>
      </c>
      <c r="AB511" s="7" t="s">
        <v>40</v>
      </c>
    </row>
    <row r="512" spans="1:28" s="18" customFormat="1" ht="69.95" customHeight="1">
      <c r="A512" s="7">
        <v>2017</v>
      </c>
      <c r="B512" s="7" t="s">
        <v>64</v>
      </c>
      <c r="C512" s="7" t="s">
        <v>1467</v>
      </c>
      <c r="D512" s="13">
        <v>43019</v>
      </c>
      <c r="E512" s="7" t="s">
        <v>1468</v>
      </c>
      <c r="F512" s="7" t="s">
        <v>1211</v>
      </c>
      <c r="G512" s="11">
        <v>1009336.84</v>
      </c>
      <c r="H512" s="7" t="s">
        <v>1469</v>
      </c>
      <c r="I512" s="7" t="s">
        <v>1470</v>
      </c>
      <c r="J512" s="7" t="s">
        <v>1471</v>
      </c>
      <c r="K512" s="7" t="s">
        <v>1472</v>
      </c>
      <c r="L512" s="7" t="s">
        <v>1473</v>
      </c>
      <c r="M512" s="7" t="s">
        <v>1474</v>
      </c>
      <c r="N512" s="11">
        <v>1009336.84</v>
      </c>
      <c r="O512" s="7" t="s">
        <v>40</v>
      </c>
      <c r="P512" s="7" t="s">
        <v>1475</v>
      </c>
      <c r="Q512" s="11">
        <v>845.34073701842544</v>
      </c>
      <c r="R512" s="7" t="s">
        <v>42</v>
      </c>
      <c r="S512" s="15">
        <v>986</v>
      </c>
      <c r="T512" s="7" t="s">
        <v>43</v>
      </c>
      <c r="U512" s="7" t="s">
        <v>584</v>
      </c>
      <c r="V512" s="13">
        <v>43024</v>
      </c>
      <c r="W512" s="13">
        <v>43084</v>
      </c>
      <c r="X512" s="7" t="s">
        <v>1476</v>
      </c>
      <c r="Y512" s="7" t="s">
        <v>1477</v>
      </c>
      <c r="Z512" s="7" t="s">
        <v>976</v>
      </c>
      <c r="AA512" s="7" t="s">
        <v>40</v>
      </c>
      <c r="AB512" s="7" t="s">
        <v>40</v>
      </c>
    </row>
    <row r="513" spans="1:28" ht="69.95" customHeight="1">
      <c r="A513" s="7">
        <v>2017</v>
      </c>
      <c r="B513" s="7" t="s">
        <v>64</v>
      </c>
      <c r="C513" s="7" t="str">
        <f>'[1]V, inciso o) (OP)'!C253</f>
        <v>DOPI-MUN-CUSMAX-BAN-AD-234-2017</v>
      </c>
      <c r="D513" s="13">
        <f>'[1]V, inciso o) (OP)'!V253</f>
        <v>43019</v>
      </c>
      <c r="E513" s="7" t="str">
        <f>'[1]V, inciso o) (OP)'!AA253</f>
        <v>Primera etapa de la peatonalización en la colonia Jardines de San Ignacio (incluye: machuelos, banquetas, accesibilidad universal, bolardos y nomenclatura).</v>
      </c>
      <c r="F513" s="7" t="s">
        <v>1211</v>
      </c>
      <c r="G513" s="11">
        <f>'[1]V, inciso o) (OP)'!Y253</f>
        <v>1429650.48</v>
      </c>
      <c r="H513" s="7" t="s">
        <v>1237</v>
      </c>
      <c r="I513" s="7" t="str">
        <f>'[1]V, inciso o) (OP)'!M253</f>
        <v xml:space="preserve">HUGO ALEJANDRO </v>
      </c>
      <c r="J513" s="7" t="str">
        <f>'[1]V, inciso o) (OP)'!N253</f>
        <v xml:space="preserve">ALMANZOR </v>
      </c>
      <c r="K513" s="7" t="str">
        <f>'[1]V, inciso o) (OP)'!O253</f>
        <v>GONZÁLEZ</v>
      </c>
      <c r="L513" s="7" t="str">
        <f>'[1]V, inciso o) (OP)'!P253</f>
        <v>AL-MANSUR CONSTRUCCIONES, S.A. DE C.V.</v>
      </c>
      <c r="M513" s="7" t="str">
        <f>'[1]V, inciso o) (OP)'!Q253</f>
        <v>ACO0806185Z3</v>
      </c>
      <c r="N513" s="11">
        <f t="shared" si="13"/>
        <v>1429650.48</v>
      </c>
      <c r="O513" s="7" t="s">
        <v>40</v>
      </c>
      <c r="P513" s="7" t="s">
        <v>1238</v>
      </c>
      <c r="Q513" s="11">
        <f>N513/1150</f>
        <v>1243.1743304347826</v>
      </c>
      <c r="R513" s="7" t="s">
        <v>42</v>
      </c>
      <c r="S513" s="15">
        <v>988</v>
      </c>
      <c r="T513" s="7" t="s">
        <v>43</v>
      </c>
      <c r="U513" s="7" t="s">
        <v>584</v>
      </c>
      <c r="V513" s="13">
        <f>'[1]V, inciso o) (OP)'!AD253</f>
        <v>43024</v>
      </c>
      <c r="W513" s="13">
        <f>'[1]V, inciso o) (OP)'!AE253</f>
        <v>43084</v>
      </c>
      <c r="X513" s="7" t="s">
        <v>571</v>
      </c>
      <c r="Y513" s="7" t="s">
        <v>572</v>
      </c>
      <c r="Z513" s="7" t="s">
        <v>573</v>
      </c>
      <c r="AA513" s="7" t="s">
        <v>40</v>
      </c>
      <c r="AB513" s="7" t="s">
        <v>40</v>
      </c>
    </row>
    <row r="514" spans="1:28" s="19" customFormat="1" ht="69.95" customHeight="1">
      <c r="A514" s="7">
        <v>2017</v>
      </c>
      <c r="B514" s="7" t="s">
        <v>296</v>
      </c>
      <c r="C514" s="7" t="s">
        <v>1478</v>
      </c>
      <c r="D514" s="13">
        <v>43047</v>
      </c>
      <c r="E514" s="7" t="s">
        <v>1479</v>
      </c>
      <c r="F514" s="7" t="s">
        <v>730</v>
      </c>
      <c r="G514" s="11">
        <v>6527343.5599999996</v>
      </c>
      <c r="H514" s="7" t="s">
        <v>1188</v>
      </c>
      <c r="I514" s="7" t="s">
        <v>1480</v>
      </c>
      <c r="J514" s="7" t="s">
        <v>1481</v>
      </c>
      <c r="K514" s="7" t="s">
        <v>1482</v>
      </c>
      <c r="L514" s="7" t="s">
        <v>1483</v>
      </c>
      <c r="M514" s="7" t="s">
        <v>1484</v>
      </c>
      <c r="N514" s="11">
        <v>6527343.5599999996</v>
      </c>
      <c r="O514" s="7" t="s">
        <v>40</v>
      </c>
      <c r="P514" s="14" t="s">
        <v>1485</v>
      </c>
      <c r="Q514" s="12">
        <v>2285.4844397759102</v>
      </c>
      <c r="R514" s="7" t="s">
        <v>42</v>
      </c>
      <c r="S514" s="15">
        <v>3215</v>
      </c>
      <c r="T514" s="7" t="s">
        <v>43</v>
      </c>
      <c r="U514" s="7" t="s">
        <v>584</v>
      </c>
      <c r="V514" s="13">
        <v>43047</v>
      </c>
      <c r="W514" s="13">
        <v>43161</v>
      </c>
      <c r="X514" s="7" t="s">
        <v>699</v>
      </c>
      <c r="Y514" s="7" t="s">
        <v>513</v>
      </c>
      <c r="Z514" s="7" t="s">
        <v>280</v>
      </c>
      <c r="AA514" s="7" t="s">
        <v>40</v>
      </c>
      <c r="AB514" s="7" t="s">
        <v>40</v>
      </c>
    </row>
    <row r="515" spans="1:28" s="19" customFormat="1" ht="69.95" customHeight="1">
      <c r="A515" s="7">
        <v>2017</v>
      </c>
      <c r="B515" s="7" t="s">
        <v>296</v>
      </c>
      <c r="C515" s="7" t="s">
        <v>1486</v>
      </c>
      <c r="D515" s="13">
        <v>43047</v>
      </c>
      <c r="E515" s="7" t="s">
        <v>1487</v>
      </c>
      <c r="F515" s="7" t="s">
        <v>730</v>
      </c>
      <c r="G515" s="11">
        <v>6458330.7999999998</v>
      </c>
      <c r="H515" s="7" t="s">
        <v>1188</v>
      </c>
      <c r="I515" s="7" t="s">
        <v>1488</v>
      </c>
      <c r="J515" s="7" t="s">
        <v>1489</v>
      </c>
      <c r="K515" s="7" t="s">
        <v>1490</v>
      </c>
      <c r="L515" s="7" t="s">
        <v>1491</v>
      </c>
      <c r="M515" s="7" t="s">
        <v>1492</v>
      </c>
      <c r="N515" s="11">
        <v>6458330.7999999998</v>
      </c>
      <c r="O515" s="7" t="s">
        <v>40</v>
      </c>
      <c r="P515" s="14" t="s">
        <v>1485</v>
      </c>
      <c r="Q515" s="12">
        <v>2261.3203081232491</v>
      </c>
      <c r="R515" s="7" t="s">
        <v>42</v>
      </c>
      <c r="S515" s="15">
        <v>3215</v>
      </c>
      <c r="T515" s="7" t="s">
        <v>43</v>
      </c>
      <c r="U515" s="7" t="s">
        <v>584</v>
      </c>
      <c r="V515" s="13">
        <v>43047</v>
      </c>
      <c r="W515" s="13">
        <v>43161</v>
      </c>
      <c r="X515" s="7" t="s">
        <v>699</v>
      </c>
      <c r="Y515" s="7" t="s">
        <v>513</v>
      </c>
      <c r="Z515" s="7" t="s">
        <v>280</v>
      </c>
      <c r="AA515" s="7" t="s">
        <v>40</v>
      </c>
      <c r="AB515" s="7" t="s">
        <v>40</v>
      </c>
    </row>
    <row r="516" spans="1:28" s="19" customFormat="1" ht="69.95" customHeight="1">
      <c r="A516" s="7">
        <v>2017</v>
      </c>
      <c r="B516" s="7" t="s">
        <v>296</v>
      </c>
      <c r="C516" s="7" t="s">
        <v>1493</v>
      </c>
      <c r="D516" s="13">
        <v>43047</v>
      </c>
      <c r="E516" s="7" t="s">
        <v>1494</v>
      </c>
      <c r="F516" s="7" t="s">
        <v>1211</v>
      </c>
      <c r="G516" s="11">
        <v>1999878.73</v>
      </c>
      <c r="H516" s="7" t="s">
        <v>1495</v>
      </c>
      <c r="I516" s="7" t="s">
        <v>1470</v>
      </c>
      <c r="J516" s="7" t="s">
        <v>1471</v>
      </c>
      <c r="K516" s="7" t="s">
        <v>1472</v>
      </c>
      <c r="L516" s="7" t="s">
        <v>1473</v>
      </c>
      <c r="M516" s="7" t="s">
        <v>1474</v>
      </c>
      <c r="N516" s="11">
        <v>1999878.73</v>
      </c>
      <c r="O516" s="7" t="s">
        <v>40</v>
      </c>
      <c r="P516" s="14" t="s">
        <v>1496</v>
      </c>
      <c r="Q516" s="12">
        <v>1324.4142290448408</v>
      </c>
      <c r="R516" s="7" t="s">
        <v>42</v>
      </c>
      <c r="S516" s="15">
        <v>965</v>
      </c>
      <c r="T516" s="7" t="s">
        <v>43</v>
      </c>
      <c r="U516" s="7" t="s">
        <v>584</v>
      </c>
      <c r="V516" s="13">
        <v>43047</v>
      </c>
      <c r="W516" s="13">
        <v>43133</v>
      </c>
      <c r="X516" s="7" t="s">
        <v>586</v>
      </c>
      <c r="Y516" s="7" t="s">
        <v>404</v>
      </c>
      <c r="Z516" s="7" t="s">
        <v>405</v>
      </c>
      <c r="AA516" s="7" t="s">
        <v>40</v>
      </c>
      <c r="AB516" s="7" t="s">
        <v>40</v>
      </c>
    </row>
    <row r="517" spans="1:28" s="19" customFormat="1" ht="69.95" customHeight="1">
      <c r="A517" s="7">
        <v>2017</v>
      </c>
      <c r="B517" s="7" t="s">
        <v>296</v>
      </c>
      <c r="C517" s="7" t="s">
        <v>1497</v>
      </c>
      <c r="D517" s="13">
        <v>43047</v>
      </c>
      <c r="E517" s="7" t="s">
        <v>1498</v>
      </c>
      <c r="F517" s="7" t="s">
        <v>1211</v>
      </c>
      <c r="G517" s="11">
        <v>2499342.11</v>
      </c>
      <c r="H517" s="7" t="s">
        <v>1499</v>
      </c>
      <c r="I517" s="7" t="s">
        <v>1500</v>
      </c>
      <c r="J517" s="7" t="s">
        <v>1501</v>
      </c>
      <c r="K517" s="7" t="s">
        <v>1502</v>
      </c>
      <c r="L517" s="7" t="s">
        <v>1503</v>
      </c>
      <c r="M517" s="7" t="s">
        <v>391</v>
      </c>
      <c r="N517" s="11">
        <v>2499342.11</v>
      </c>
      <c r="O517" s="7" t="s">
        <v>40</v>
      </c>
      <c r="P517" s="14" t="s">
        <v>1504</v>
      </c>
      <c r="Q517" s="12">
        <v>1287.19935211079</v>
      </c>
      <c r="R517" s="7" t="s">
        <v>42</v>
      </c>
      <c r="S517" s="15">
        <v>1869</v>
      </c>
      <c r="T517" s="7" t="s">
        <v>43</v>
      </c>
      <c r="U517" s="7" t="s">
        <v>584</v>
      </c>
      <c r="V517" s="13">
        <v>43047</v>
      </c>
      <c r="W517" s="13">
        <v>43133</v>
      </c>
      <c r="X517" s="7" t="s">
        <v>586</v>
      </c>
      <c r="Y517" s="7" t="s">
        <v>404</v>
      </c>
      <c r="Z517" s="7" t="s">
        <v>405</v>
      </c>
      <c r="AA517" s="7" t="s">
        <v>40</v>
      </c>
      <c r="AB517" s="7" t="s">
        <v>40</v>
      </c>
    </row>
    <row r="518" spans="1:28" s="19" customFormat="1" ht="69.95" customHeight="1">
      <c r="A518" s="7">
        <v>2017</v>
      </c>
      <c r="B518" s="7" t="s">
        <v>296</v>
      </c>
      <c r="C518" s="7" t="s">
        <v>1505</v>
      </c>
      <c r="D518" s="13">
        <v>43047</v>
      </c>
      <c r="E518" s="7" t="s">
        <v>1506</v>
      </c>
      <c r="F518" s="7" t="s">
        <v>1211</v>
      </c>
      <c r="G518" s="11">
        <v>6990218.1900000004</v>
      </c>
      <c r="H518" s="7" t="s">
        <v>1507</v>
      </c>
      <c r="I518" s="7" t="s">
        <v>1508</v>
      </c>
      <c r="J518" s="7" t="s">
        <v>1400</v>
      </c>
      <c r="K518" s="7" t="s">
        <v>1415</v>
      </c>
      <c r="L518" s="7" t="s">
        <v>1509</v>
      </c>
      <c r="M518" s="7" t="s">
        <v>1510</v>
      </c>
      <c r="N518" s="11">
        <v>6990218.1900000004</v>
      </c>
      <c r="O518" s="7" t="s">
        <v>40</v>
      </c>
      <c r="P518" s="14" t="s">
        <v>1511</v>
      </c>
      <c r="Q518" s="12">
        <v>1462.8477953332638</v>
      </c>
      <c r="R518" s="7" t="s">
        <v>42</v>
      </c>
      <c r="S518" s="15">
        <v>2650</v>
      </c>
      <c r="T518" s="7" t="s">
        <v>43</v>
      </c>
      <c r="U518" s="7" t="s">
        <v>584</v>
      </c>
      <c r="V518" s="13">
        <v>43047</v>
      </c>
      <c r="W518" s="13">
        <v>43133</v>
      </c>
      <c r="X518" s="7" t="s">
        <v>999</v>
      </c>
      <c r="Y518" s="7" t="s">
        <v>1075</v>
      </c>
      <c r="Z518" s="7" t="s">
        <v>1001</v>
      </c>
      <c r="AA518" s="7" t="s">
        <v>40</v>
      </c>
      <c r="AB518" s="7" t="s">
        <v>40</v>
      </c>
    </row>
    <row r="519" spans="1:28" ht="69.95" customHeight="1">
      <c r="A519" s="7">
        <v>2017</v>
      </c>
      <c r="B519" s="7" t="s">
        <v>64</v>
      </c>
      <c r="C519" s="7" t="str">
        <f>'[1]V, inciso o) (OP)'!C254</f>
        <v>DOPI-MUN-RM-BAN-AD-240-2017</v>
      </c>
      <c r="D519" s="13">
        <f>'[1]V, inciso o) (OP)'!V254</f>
        <v>43021</v>
      </c>
      <c r="E519" s="7" t="str">
        <f>'[1]V, inciso o) (OP)'!AA254</f>
        <v>Peatonalización, construcción de banquetas, guarniciones, accesibilidad, bolardos, en el cruce de Av. Acueducto y Av. Patria, reparación de junta de calzada en la Rampa de ingreso al paso elevado de Av. Patria y Av. Acueducto, municipio de Zapopan, Jalisco.</v>
      </c>
      <c r="F519" s="7" t="s">
        <v>730</v>
      </c>
      <c r="G519" s="11">
        <f>'[1]V, inciso o) (OP)'!Y254</f>
        <v>902056.34</v>
      </c>
      <c r="H519" s="7" t="s">
        <v>1239</v>
      </c>
      <c r="I519" s="7" t="str">
        <f>'[1]V, inciso o) (OP)'!M254</f>
        <v>GUSTAVO</v>
      </c>
      <c r="J519" s="7" t="str">
        <f>'[1]V, inciso o) (OP)'!N254</f>
        <v>DURAN</v>
      </c>
      <c r="K519" s="7" t="str">
        <f>'[1]V, inciso o) (OP)'!O254</f>
        <v>JIMÉNEZ</v>
      </c>
      <c r="L519" s="7" t="str">
        <f>'[1]V, inciso o) (OP)'!P254</f>
        <v>DURAN JIMÉNEZ ARQUITECTOS Y ASOCIADOS, S.A. DE C.V.</v>
      </c>
      <c r="M519" s="7" t="str">
        <f>'[1]V, inciso o) (OP)'!Q254</f>
        <v>DJA9405184G7</v>
      </c>
      <c r="N519" s="11">
        <f t="shared" si="13"/>
        <v>902056.34</v>
      </c>
      <c r="O519" s="7" t="s">
        <v>40</v>
      </c>
      <c r="P519" s="7" t="s">
        <v>692</v>
      </c>
      <c r="Q519" s="11">
        <f>N519/720</f>
        <v>1252.8560277777776</v>
      </c>
      <c r="R519" s="7" t="s">
        <v>42</v>
      </c>
      <c r="S519" s="15">
        <v>8685</v>
      </c>
      <c r="T519" s="7" t="s">
        <v>43</v>
      </c>
      <c r="U519" s="7" t="s">
        <v>584</v>
      </c>
      <c r="V519" s="13">
        <f>'[1]V, inciso o) (OP)'!AD254</f>
        <v>43022</v>
      </c>
      <c r="W519" s="13">
        <f>'[1]V, inciso o) (OP)'!AE254</f>
        <v>43054</v>
      </c>
      <c r="X519" s="7" t="s">
        <v>591</v>
      </c>
      <c r="Y519" s="7" t="s">
        <v>46</v>
      </c>
      <c r="Z519" s="7" t="s">
        <v>47</v>
      </c>
      <c r="AA519" s="7" t="s">
        <v>40</v>
      </c>
      <c r="AB519" s="7" t="s">
        <v>40</v>
      </c>
    </row>
    <row r="520" spans="1:28" ht="69.95" customHeight="1">
      <c r="A520" s="7">
        <v>2017</v>
      </c>
      <c r="B520" s="7" t="s">
        <v>64</v>
      </c>
      <c r="C520" s="7" t="s">
        <v>1512</v>
      </c>
      <c r="D520" s="13">
        <v>43021</v>
      </c>
      <c r="E520" s="7" t="s">
        <v>1513</v>
      </c>
      <c r="F520" s="7" t="s">
        <v>730</v>
      </c>
      <c r="G520" s="11">
        <v>205478.36</v>
      </c>
      <c r="H520" s="7" t="s">
        <v>215</v>
      </c>
      <c r="I520" s="7" t="s">
        <v>1514</v>
      </c>
      <c r="J520" s="7" t="s">
        <v>1515</v>
      </c>
      <c r="K520" s="7" t="s">
        <v>1516</v>
      </c>
      <c r="L520" s="7" t="s">
        <v>1517</v>
      </c>
      <c r="M520" s="7" t="s">
        <v>1518</v>
      </c>
      <c r="N520" s="11">
        <v>205478.36</v>
      </c>
      <c r="O520" s="7" t="s">
        <v>40</v>
      </c>
      <c r="P520" s="7" t="s">
        <v>1519</v>
      </c>
      <c r="Q520" s="11">
        <v>1709.4705490848585</v>
      </c>
      <c r="R520" s="7" t="s">
        <v>42</v>
      </c>
      <c r="S520" s="15">
        <v>1332272</v>
      </c>
      <c r="T520" s="7" t="s">
        <v>43</v>
      </c>
      <c r="U520" s="7" t="s">
        <v>584</v>
      </c>
      <c r="V520" s="13">
        <v>43022</v>
      </c>
      <c r="W520" s="13">
        <v>43054</v>
      </c>
      <c r="X520" s="7" t="s">
        <v>1086</v>
      </c>
      <c r="Y520" s="7" t="s">
        <v>687</v>
      </c>
      <c r="Z520" s="7" t="s">
        <v>268</v>
      </c>
      <c r="AA520" s="7" t="s">
        <v>40</v>
      </c>
      <c r="AB520" s="7" t="s">
        <v>40</v>
      </c>
    </row>
    <row r="521" spans="1:28" ht="69.95" customHeight="1">
      <c r="A521" s="7">
        <v>2017</v>
      </c>
      <c r="B521" s="7" t="s">
        <v>64</v>
      </c>
      <c r="C521" s="7" t="s">
        <v>1520</v>
      </c>
      <c r="D521" s="13">
        <v>43048</v>
      </c>
      <c r="E521" s="7" t="s">
        <v>1521</v>
      </c>
      <c r="F521" s="7" t="s">
        <v>1073</v>
      </c>
      <c r="G521" s="11">
        <v>696102.42</v>
      </c>
      <c r="H521" s="7" t="s">
        <v>1522</v>
      </c>
      <c r="I521" s="7" t="s">
        <v>1523</v>
      </c>
      <c r="J521" s="7" t="s">
        <v>1332</v>
      </c>
      <c r="K521" s="7" t="s">
        <v>1524</v>
      </c>
      <c r="L521" s="7" t="s">
        <v>1525</v>
      </c>
      <c r="M521" s="7" t="s">
        <v>1526</v>
      </c>
      <c r="N521" s="11">
        <v>696102.42</v>
      </c>
      <c r="O521" s="7" t="s">
        <v>40</v>
      </c>
      <c r="P521" s="7" t="s">
        <v>1527</v>
      </c>
      <c r="Q521" s="11">
        <v>5189.7593379557147</v>
      </c>
      <c r="R521" s="7" t="s">
        <v>42</v>
      </c>
      <c r="S521" s="15">
        <v>102</v>
      </c>
      <c r="T521" s="7" t="s">
        <v>43</v>
      </c>
      <c r="U521" s="7" t="s">
        <v>584</v>
      </c>
      <c r="V521" s="13">
        <v>43018</v>
      </c>
      <c r="W521" s="13">
        <v>43084</v>
      </c>
      <c r="X521" s="7" t="s">
        <v>999</v>
      </c>
      <c r="Y521" s="7" t="s">
        <v>1075</v>
      </c>
      <c r="Z521" s="7" t="s">
        <v>1001</v>
      </c>
      <c r="AA521" s="7" t="s">
        <v>40</v>
      </c>
      <c r="AB521" s="7" t="s">
        <v>40</v>
      </c>
    </row>
    <row r="522" spans="1:28" ht="69.95" customHeight="1">
      <c r="A522" s="7">
        <v>2017</v>
      </c>
      <c r="B522" s="7" t="s">
        <v>64</v>
      </c>
      <c r="C522" s="7" t="s">
        <v>1528</v>
      </c>
      <c r="D522" s="13">
        <v>43048</v>
      </c>
      <c r="E522" s="7" t="s">
        <v>1529</v>
      </c>
      <c r="F522" s="7" t="s">
        <v>1073</v>
      </c>
      <c r="G522" s="11">
        <v>885779.68</v>
      </c>
      <c r="H522" s="7" t="s">
        <v>1530</v>
      </c>
      <c r="I522" s="7" t="s">
        <v>1523</v>
      </c>
      <c r="J522" s="7" t="s">
        <v>1332</v>
      </c>
      <c r="K522" s="7" t="s">
        <v>1524</v>
      </c>
      <c r="L522" s="7" t="s">
        <v>1525</v>
      </c>
      <c r="M522" s="7" t="s">
        <v>1526</v>
      </c>
      <c r="N522" s="11">
        <v>885779.68</v>
      </c>
      <c r="O522" s="7" t="s">
        <v>40</v>
      </c>
      <c r="P522" s="7" t="s">
        <v>1531</v>
      </c>
      <c r="Q522" s="11">
        <v>2545.3439080459771</v>
      </c>
      <c r="R522" s="7" t="s">
        <v>42</v>
      </c>
      <c r="S522" s="15">
        <v>154</v>
      </c>
      <c r="T522" s="7" t="s">
        <v>43</v>
      </c>
      <c r="U522" s="7" t="s">
        <v>584</v>
      </c>
      <c r="V522" s="13">
        <v>43018</v>
      </c>
      <c r="W522" s="13">
        <v>43084</v>
      </c>
      <c r="X522" s="7" t="s">
        <v>1026</v>
      </c>
      <c r="Y522" s="7" t="s">
        <v>1065</v>
      </c>
      <c r="Z522" s="7" t="s">
        <v>139</v>
      </c>
      <c r="AA522" s="7" t="s">
        <v>40</v>
      </c>
      <c r="AB522" s="7" t="s">
        <v>40</v>
      </c>
    </row>
    <row r="523" spans="1:28" ht="69.95" customHeight="1">
      <c r="A523" s="7">
        <v>2017</v>
      </c>
      <c r="B523" s="7" t="s">
        <v>64</v>
      </c>
      <c r="C523" s="7" t="s">
        <v>1532</v>
      </c>
      <c r="D523" s="13">
        <v>43024</v>
      </c>
      <c r="E523" s="7" t="s">
        <v>1533</v>
      </c>
      <c r="F523" s="7" t="s">
        <v>730</v>
      </c>
      <c r="G523" s="11">
        <v>1306324.03</v>
      </c>
      <c r="H523" s="7" t="s">
        <v>1398</v>
      </c>
      <c r="I523" s="7" t="s">
        <v>1534</v>
      </c>
      <c r="J523" s="7" t="s">
        <v>1535</v>
      </c>
      <c r="K523" s="7" t="s">
        <v>1536</v>
      </c>
      <c r="L523" s="7" t="s">
        <v>1537</v>
      </c>
      <c r="M523" s="7" t="s">
        <v>1538</v>
      </c>
      <c r="N523" s="11">
        <v>1306324.03</v>
      </c>
      <c r="O523" s="7" t="s">
        <v>40</v>
      </c>
      <c r="P523" s="7" t="s">
        <v>1539</v>
      </c>
      <c r="Q523" s="11">
        <v>1079.401460879337</v>
      </c>
      <c r="R523" s="7" t="s">
        <v>42</v>
      </c>
      <c r="S523" s="15">
        <v>1332272</v>
      </c>
      <c r="T523" s="7" t="s">
        <v>43</v>
      </c>
      <c r="U523" s="7" t="s">
        <v>584</v>
      </c>
      <c r="V523" s="13">
        <v>43025</v>
      </c>
      <c r="W523" s="13">
        <v>43131</v>
      </c>
      <c r="X523" s="7" t="s">
        <v>762</v>
      </c>
      <c r="Y523" s="7" t="s">
        <v>763</v>
      </c>
      <c r="Z523" s="7" t="s">
        <v>764</v>
      </c>
      <c r="AA523" s="7" t="s">
        <v>40</v>
      </c>
      <c r="AB523" s="7" t="s">
        <v>40</v>
      </c>
    </row>
    <row r="524" spans="1:28" ht="69.95" customHeight="1">
      <c r="A524" s="7">
        <v>2017</v>
      </c>
      <c r="B524" s="7" t="s">
        <v>64</v>
      </c>
      <c r="C524" s="7" t="s">
        <v>1540</v>
      </c>
      <c r="D524" s="13">
        <v>43018</v>
      </c>
      <c r="E524" s="7" t="s">
        <v>1541</v>
      </c>
      <c r="F524" s="7" t="s">
        <v>730</v>
      </c>
      <c r="G524" s="11">
        <v>445579.2</v>
      </c>
      <c r="H524" s="7" t="s">
        <v>1346</v>
      </c>
      <c r="I524" s="7" t="s">
        <v>1542</v>
      </c>
      <c r="J524" s="7" t="s">
        <v>1543</v>
      </c>
      <c r="K524" s="7" t="s">
        <v>1544</v>
      </c>
      <c r="L524" s="7" t="s">
        <v>1545</v>
      </c>
      <c r="M524" s="7" t="s">
        <v>1546</v>
      </c>
      <c r="N524" s="11">
        <v>445579.2</v>
      </c>
      <c r="O524" s="7" t="s">
        <v>40</v>
      </c>
      <c r="P524" s="7" t="s">
        <v>739</v>
      </c>
      <c r="Q524" s="11">
        <v>445579.2</v>
      </c>
      <c r="R524" s="7" t="s">
        <v>42</v>
      </c>
      <c r="S524" s="15" t="s">
        <v>232</v>
      </c>
      <c r="T524" s="7" t="s">
        <v>43</v>
      </c>
      <c r="U524" s="7" t="s">
        <v>584</v>
      </c>
      <c r="V524" s="13">
        <v>43019</v>
      </c>
      <c r="W524" s="13">
        <v>43063</v>
      </c>
      <c r="X524" s="7" t="s">
        <v>924</v>
      </c>
      <c r="Y524" s="7" t="s">
        <v>925</v>
      </c>
      <c r="Z524" s="7" t="s">
        <v>263</v>
      </c>
      <c r="AA524" s="7" t="s">
        <v>40</v>
      </c>
      <c r="AB524" s="7" t="s">
        <v>40</v>
      </c>
    </row>
    <row r="525" spans="1:28" ht="69.95" customHeight="1">
      <c r="A525" s="7">
        <v>2017</v>
      </c>
      <c r="B525" s="7" t="s">
        <v>64</v>
      </c>
      <c r="C525" s="7" t="s">
        <v>1547</v>
      </c>
      <c r="D525" s="13">
        <v>43039</v>
      </c>
      <c r="E525" s="7" t="s">
        <v>1548</v>
      </c>
      <c r="F525" s="7" t="s">
        <v>730</v>
      </c>
      <c r="G525" s="11">
        <v>602304.06000000006</v>
      </c>
      <c r="H525" s="7" t="s">
        <v>1549</v>
      </c>
      <c r="I525" s="7" t="s">
        <v>1550</v>
      </c>
      <c r="J525" s="7" t="s">
        <v>1551</v>
      </c>
      <c r="K525" s="7" t="s">
        <v>1515</v>
      </c>
      <c r="L525" s="7" t="s">
        <v>1552</v>
      </c>
      <c r="M525" s="7" t="s">
        <v>1553</v>
      </c>
      <c r="N525" s="11">
        <v>602304.06000000006</v>
      </c>
      <c r="O525" s="7" t="s">
        <v>40</v>
      </c>
      <c r="P525" s="7" t="s">
        <v>1554</v>
      </c>
      <c r="Q525" s="11">
        <v>1176.3751171875001</v>
      </c>
      <c r="R525" s="7" t="s">
        <v>42</v>
      </c>
      <c r="S525" s="15">
        <v>1332272</v>
      </c>
      <c r="T525" s="7" t="s">
        <v>43</v>
      </c>
      <c r="U525" s="7" t="s">
        <v>584</v>
      </c>
      <c r="V525" s="13">
        <v>43040</v>
      </c>
      <c r="W525" s="13">
        <v>43100</v>
      </c>
      <c r="X525" s="7" t="s">
        <v>1476</v>
      </c>
      <c r="Y525" s="7" t="s">
        <v>1477</v>
      </c>
      <c r="Z525" s="7" t="s">
        <v>976</v>
      </c>
      <c r="AA525" s="7" t="s">
        <v>40</v>
      </c>
      <c r="AB525" s="7" t="s">
        <v>40</v>
      </c>
    </row>
    <row r="526" spans="1:28" ht="69.95" customHeight="1">
      <c r="A526" s="7">
        <v>2017</v>
      </c>
      <c r="B526" s="7" t="s">
        <v>64</v>
      </c>
      <c r="C526" s="7" t="s">
        <v>1555</v>
      </c>
      <c r="D526" s="13">
        <v>43024</v>
      </c>
      <c r="E526" s="7" t="s">
        <v>1556</v>
      </c>
      <c r="F526" s="7" t="s">
        <v>1073</v>
      </c>
      <c r="G526" s="11">
        <v>1020909.89</v>
      </c>
      <c r="H526" s="7" t="s">
        <v>1116</v>
      </c>
      <c r="I526" s="7" t="s">
        <v>1557</v>
      </c>
      <c r="J526" s="7" t="s">
        <v>1558</v>
      </c>
      <c r="K526" s="7" t="s">
        <v>1559</v>
      </c>
      <c r="L526" s="7" t="s">
        <v>1560</v>
      </c>
      <c r="M526" s="7" t="s">
        <v>1561</v>
      </c>
      <c r="N526" s="11">
        <v>1020909.89</v>
      </c>
      <c r="O526" s="7" t="s">
        <v>40</v>
      </c>
      <c r="P526" s="7" t="s">
        <v>1562</v>
      </c>
      <c r="Q526" s="11">
        <v>3189.5460197450639</v>
      </c>
      <c r="R526" s="7" t="s">
        <v>42</v>
      </c>
      <c r="S526" s="15">
        <v>231</v>
      </c>
      <c r="T526" s="7" t="s">
        <v>43</v>
      </c>
      <c r="U526" s="7" t="s">
        <v>584</v>
      </c>
      <c r="V526" s="13">
        <v>43025</v>
      </c>
      <c r="W526" s="13">
        <v>43089</v>
      </c>
      <c r="X526" s="7" t="s">
        <v>999</v>
      </c>
      <c r="Y526" s="7" t="s">
        <v>1075</v>
      </c>
      <c r="Z526" s="7" t="s">
        <v>1001</v>
      </c>
      <c r="AA526" s="7" t="s">
        <v>40</v>
      </c>
      <c r="AB526" s="7" t="s">
        <v>40</v>
      </c>
    </row>
    <row r="527" spans="1:28" ht="69.95" customHeight="1">
      <c r="A527" s="7">
        <v>2017</v>
      </c>
      <c r="B527" s="7" t="s">
        <v>64</v>
      </c>
      <c r="C527" s="7" t="s">
        <v>1563</v>
      </c>
      <c r="D527" s="13">
        <v>43019</v>
      </c>
      <c r="E527" s="7" t="s">
        <v>1564</v>
      </c>
      <c r="F527" s="7" t="s">
        <v>730</v>
      </c>
      <c r="G527" s="11">
        <v>505254.87</v>
      </c>
      <c r="H527" s="7" t="s">
        <v>1565</v>
      </c>
      <c r="I527" s="7" t="s">
        <v>1566</v>
      </c>
      <c r="J527" s="7" t="s">
        <v>1567</v>
      </c>
      <c r="K527" s="7" t="s">
        <v>1568</v>
      </c>
      <c r="L527" s="7" t="s">
        <v>1569</v>
      </c>
      <c r="M527" s="7" t="s">
        <v>1570</v>
      </c>
      <c r="N527" s="11">
        <v>505254.87</v>
      </c>
      <c r="O527" s="7" t="s">
        <v>40</v>
      </c>
      <c r="P527" s="7" t="s">
        <v>1571</v>
      </c>
      <c r="Q527" s="11">
        <v>28069.715</v>
      </c>
      <c r="R527" s="7" t="s">
        <v>42</v>
      </c>
      <c r="S527" s="15">
        <v>899</v>
      </c>
      <c r="T527" s="7" t="s">
        <v>43</v>
      </c>
      <c r="U527" s="7" t="s">
        <v>584</v>
      </c>
      <c r="V527" s="13">
        <v>43024</v>
      </c>
      <c r="W527" s="13">
        <v>43054</v>
      </c>
      <c r="X527" s="7" t="s">
        <v>605</v>
      </c>
      <c r="Y527" s="7" t="s">
        <v>442</v>
      </c>
      <c r="Z527" s="7" t="s">
        <v>101</v>
      </c>
      <c r="AA527" s="7" t="s">
        <v>40</v>
      </c>
      <c r="AB527" s="7" t="s">
        <v>40</v>
      </c>
    </row>
    <row r="528" spans="1:28" ht="69.95" customHeight="1">
      <c r="A528" s="7">
        <v>2017</v>
      </c>
      <c r="B528" s="7" t="s">
        <v>64</v>
      </c>
      <c r="C528" s="7" t="s">
        <v>1572</v>
      </c>
      <c r="D528" s="13">
        <v>43018</v>
      </c>
      <c r="E528" s="7" t="s">
        <v>1573</v>
      </c>
      <c r="F528" s="7" t="s">
        <v>1073</v>
      </c>
      <c r="G528" s="11">
        <v>393288.1</v>
      </c>
      <c r="H528" s="7" t="s">
        <v>1574</v>
      </c>
      <c r="I528" s="7" t="s">
        <v>1575</v>
      </c>
      <c r="J528" s="7" t="s">
        <v>1576</v>
      </c>
      <c r="K528" s="7" t="s">
        <v>1577</v>
      </c>
      <c r="L528" s="7" t="s">
        <v>1578</v>
      </c>
      <c r="M528" s="7" t="s">
        <v>1579</v>
      </c>
      <c r="N528" s="11">
        <v>393288.1</v>
      </c>
      <c r="O528" s="7" t="s">
        <v>40</v>
      </c>
      <c r="P528" s="7" t="s">
        <v>1580</v>
      </c>
      <c r="Q528" s="11">
        <v>1909.1655339805825</v>
      </c>
      <c r="R528" s="7" t="s">
        <v>42</v>
      </c>
      <c r="S528" s="15">
        <v>352</v>
      </c>
      <c r="T528" s="7" t="s">
        <v>43</v>
      </c>
      <c r="U528" s="7" t="s">
        <v>584</v>
      </c>
      <c r="V528" s="13">
        <v>43024</v>
      </c>
      <c r="W528" s="13">
        <v>43084</v>
      </c>
      <c r="X528" s="7" t="s">
        <v>640</v>
      </c>
      <c r="Y528" s="7" t="s">
        <v>496</v>
      </c>
      <c r="Z528" s="7" t="s">
        <v>749</v>
      </c>
      <c r="AA528" s="7" t="s">
        <v>40</v>
      </c>
      <c r="AB528" s="7" t="s">
        <v>40</v>
      </c>
    </row>
    <row r="529" spans="1:28" ht="69.95" customHeight="1">
      <c r="A529" s="7">
        <v>2017</v>
      </c>
      <c r="B529" s="7" t="s">
        <v>64</v>
      </c>
      <c r="C529" s="7" t="s">
        <v>1581</v>
      </c>
      <c r="D529" s="13">
        <v>43021</v>
      </c>
      <c r="E529" s="7" t="s">
        <v>1582</v>
      </c>
      <c r="F529" s="7" t="s">
        <v>1073</v>
      </c>
      <c r="G529" s="11">
        <v>868664.89</v>
      </c>
      <c r="H529" s="7" t="s">
        <v>1116</v>
      </c>
      <c r="I529" s="7" t="s">
        <v>1575</v>
      </c>
      <c r="J529" s="7" t="s">
        <v>1583</v>
      </c>
      <c r="K529" s="7" t="s">
        <v>1584</v>
      </c>
      <c r="L529" s="7" t="s">
        <v>1585</v>
      </c>
      <c r="M529" s="7" t="s">
        <v>1586</v>
      </c>
      <c r="N529" s="11">
        <v>868664.89</v>
      </c>
      <c r="O529" s="7" t="s">
        <v>40</v>
      </c>
      <c r="P529" s="7" t="s">
        <v>1587</v>
      </c>
      <c r="Q529" s="11">
        <v>3474.6595600000001</v>
      </c>
      <c r="R529" s="7" t="s">
        <v>42</v>
      </c>
      <c r="S529" s="15">
        <v>291</v>
      </c>
      <c r="T529" s="7" t="s">
        <v>43</v>
      </c>
      <c r="U529" s="7" t="s">
        <v>584</v>
      </c>
      <c r="V529" s="13">
        <v>43024</v>
      </c>
      <c r="W529" s="13">
        <v>43084</v>
      </c>
      <c r="X529" s="7" t="s">
        <v>640</v>
      </c>
      <c r="Y529" s="7" t="s">
        <v>496</v>
      </c>
      <c r="Z529" s="7" t="s">
        <v>749</v>
      </c>
      <c r="AA529" s="7" t="s">
        <v>40</v>
      </c>
      <c r="AB529" s="7" t="s">
        <v>40</v>
      </c>
    </row>
    <row r="530" spans="1:28" s="20" customFormat="1" ht="69.95" customHeight="1">
      <c r="A530" s="21">
        <v>2017</v>
      </c>
      <c r="B530" s="7" t="s">
        <v>30</v>
      </c>
      <c r="C530" s="7" t="s">
        <v>1674</v>
      </c>
      <c r="D530" s="24">
        <v>43089</v>
      </c>
      <c r="E530" s="7" t="s">
        <v>1675</v>
      </c>
      <c r="F530" s="7" t="s">
        <v>1614</v>
      </c>
      <c r="G530" s="23">
        <v>13313205.59</v>
      </c>
      <c r="H530" s="7" t="s">
        <v>396</v>
      </c>
      <c r="I530" s="7" t="s">
        <v>1676</v>
      </c>
      <c r="J530" s="7" t="s">
        <v>1677</v>
      </c>
      <c r="K530" s="7" t="s">
        <v>1678</v>
      </c>
      <c r="L530" s="7" t="s">
        <v>1679</v>
      </c>
      <c r="M530" s="7" t="s">
        <v>401</v>
      </c>
      <c r="N530" s="23">
        <v>13313205.59</v>
      </c>
      <c r="O530" s="21" t="s">
        <v>40</v>
      </c>
      <c r="P530" s="21" t="s">
        <v>1680</v>
      </c>
      <c r="Q530" s="23">
        <v>1819.7383255877528</v>
      </c>
      <c r="R530" s="21" t="s">
        <v>42</v>
      </c>
      <c r="S530" s="25">
        <v>23156</v>
      </c>
      <c r="T530" s="7" t="s">
        <v>43</v>
      </c>
      <c r="U530" s="21" t="s">
        <v>584</v>
      </c>
      <c r="V530" s="24">
        <v>43089</v>
      </c>
      <c r="W530" s="24">
        <v>43237</v>
      </c>
      <c r="X530" s="21" t="s">
        <v>1681</v>
      </c>
      <c r="Y530" s="21" t="s">
        <v>1682</v>
      </c>
      <c r="Z530" s="21" t="s">
        <v>462</v>
      </c>
      <c r="AA530" s="21" t="s">
        <v>40</v>
      </c>
      <c r="AB530" s="21" t="s">
        <v>40</v>
      </c>
    </row>
    <row r="531" spans="1:28" s="20" customFormat="1" ht="69.95" customHeight="1">
      <c r="A531" s="21">
        <v>2017</v>
      </c>
      <c r="B531" s="7" t="s">
        <v>30</v>
      </c>
      <c r="C531" s="7" t="s">
        <v>1683</v>
      </c>
      <c r="D531" s="24">
        <v>43089</v>
      </c>
      <c r="E531" s="7" t="s">
        <v>1684</v>
      </c>
      <c r="F531" s="7" t="s">
        <v>1614</v>
      </c>
      <c r="G531" s="23">
        <v>13297445.710000001</v>
      </c>
      <c r="H531" s="7" t="s">
        <v>396</v>
      </c>
      <c r="I531" s="7" t="s">
        <v>1347</v>
      </c>
      <c r="J531" s="7" t="s">
        <v>1348</v>
      </c>
      <c r="K531" s="7" t="s">
        <v>1349</v>
      </c>
      <c r="L531" s="7" t="s">
        <v>1350</v>
      </c>
      <c r="M531" s="7" t="s">
        <v>1351</v>
      </c>
      <c r="N531" s="23">
        <v>13297445.710000001</v>
      </c>
      <c r="O531" s="21" t="s">
        <v>40</v>
      </c>
      <c r="P531" s="21" t="s">
        <v>1680</v>
      </c>
      <c r="Q531" s="23">
        <v>1817.5841593767086</v>
      </c>
      <c r="R531" s="21" t="s">
        <v>42</v>
      </c>
      <c r="S531" s="25">
        <v>23156</v>
      </c>
      <c r="T531" s="7" t="s">
        <v>43</v>
      </c>
      <c r="U531" s="21" t="s">
        <v>584</v>
      </c>
      <c r="V531" s="24">
        <v>43089</v>
      </c>
      <c r="W531" s="24">
        <v>43237</v>
      </c>
      <c r="X531" s="21" t="s">
        <v>1681</v>
      </c>
      <c r="Y531" s="21" t="s">
        <v>1682</v>
      </c>
      <c r="Z531" s="21" t="s">
        <v>462</v>
      </c>
      <c r="AA531" s="21" t="s">
        <v>40</v>
      </c>
      <c r="AB531" s="21" t="s">
        <v>40</v>
      </c>
    </row>
    <row r="532" spans="1:28" s="20" customFormat="1" ht="69.95" customHeight="1">
      <c r="A532" s="21">
        <v>2017</v>
      </c>
      <c r="B532" s="7" t="s">
        <v>30</v>
      </c>
      <c r="C532" s="7" t="s">
        <v>1685</v>
      </c>
      <c r="D532" s="24">
        <v>43089</v>
      </c>
      <c r="E532" s="7" t="s">
        <v>1686</v>
      </c>
      <c r="F532" s="7" t="s">
        <v>1614</v>
      </c>
      <c r="G532" s="23">
        <v>24179375.460000001</v>
      </c>
      <c r="H532" s="7" t="s">
        <v>1687</v>
      </c>
      <c r="I532" s="7" t="s">
        <v>1688</v>
      </c>
      <c r="J532" s="7" t="s">
        <v>1689</v>
      </c>
      <c r="K532" s="7" t="s">
        <v>1690</v>
      </c>
      <c r="L532" s="7" t="s">
        <v>1691</v>
      </c>
      <c r="M532" s="7" t="s">
        <v>1692</v>
      </c>
      <c r="N532" s="23">
        <v>24179375.460000001</v>
      </c>
      <c r="O532" s="21" t="s">
        <v>40</v>
      </c>
      <c r="P532" s="21" t="s">
        <v>1693</v>
      </c>
      <c r="Q532" s="23">
        <v>1737.024099137931</v>
      </c>
      <c r="R532" s="21" t="s">
        <v>42</v>
      </c>
      <c r="S532" s="25">
        <v>1332272</v>
      </c>
      <c r="T532" s="7" t="s">
        <v>43</v>
      </c>
      <c r="U532" s="21" t="s">
        <v>584</v>
      </c>
      <c r="V532" s="24">
        <v>43089</v>
      </c>
      <c r="W532" s="24">
        <v>43192</v>
      </c>
      <c r="X532" s="21" t="s">
        <v>967</v>
      </c>
      <c r="Y532" s="21" t="s">
        <v>383</v>
      </c>
      <c r="Z532" s="21" t="s">
        <v>300</v>
      </c>
      <c r="AA532" s="21" t="s">
        <v>40</v>
      </c>
      <c r="AB532" s="21" t="s">
        <v>40</v>
      </c>
    </row>
    <row r="533" spans="1:28" s="20" customFormat="1" ht="69.95" customHeight="1">
      <c r="A533" s="21">
        <v>2017</v>
      </c>
      <c r="B533" s="7" t="s">
        <v>30</v>
      </c>
      <c r="C533" s="7" t="s">
        <v>1694</v>
      </c>
      <c r="D533" s="24">
        <v>43089</v>
      </c>
      <c r="E533" s="7" t="s">
        <v>1695</v>
      </c>
      <c r="F533" s="7" t="s">
        <v>1614</v>
      </c>
      <c r="G533" s="23">
        <v>21165119.91</v>
      </c>
      <c r="H533" s="7" t="s">
        <v>1495</v>
      </c>
      <c r="I533" s="7" t="s">
        <v>1696</v>
      </c>
      <c r="J533" s="7" t="s">
        <v>1697</v>
      </c>
      <c r="K533" s="7" t="s">
        <v>1698</v>
      </c>
      <c r="L533" s="7" t="s">
        <v>1699</v>
      </c>
      <c r="M533" s="7" t="s">
        <v>1700</v>
      </c>
      <c r="N533" s="23">
        <v>21165119.91</v>
      </c>
      <c r="O533" s="21" t="s">
        <v>40</v>
      </c>
      <c r="P533" s="21" t="s">
        <v>1701</v>
      </c>
      <c r="Q533" s="23">
        <v>1747.4504549207397</v>
      </c>
      <c r="R533" s="21" t="s">
        <v>42</v>
      </c>
      <c r="S533" s="25">
        <v>1332272</v>
      </c>
      <c r="T533" s="7" t="s">
        <v>43</v>
      </c>
      <c r="U533" s="21" t="s">
        <v>584</v>
      </c>
      <c r="V533" s="24">
        <v>43089</v>
      </c>
      <c r="W533" s="24">
        <v>43192</v>
      </c>
      <c r="X533" s="21" t="s">
        <v>967</v>
      </c>
      <c r="Y533" s="21" t="s">
        <v>383</v>
      </c>
      <c r="Z533" s="21" t="s">
        <v>300</v>
      </c>
      <c r="AA533" s="21" t="s">
        <v>40</v>
      </c>
      <c r="AB533" s="21" t="s">
        <v>40</v>
      </c>
    </row>
    <row r="534" spans="1:28" s="20" customFormat="1" ht="69.95" customHeight="1">
      <c r="A534" s="21">
        <v>2017</v>
      </c>
      <c r="B534" s="7" t="s">
        <v>30</v>
      </c>
      <c r="C534" s="7" t="s">
        <v>1702</v>
      </c>
      <c r="D534" s="24">
        <v>43089</v>
      </c>
      <c r="E534" s="7" t="s">
        <v>1703</v>
      </c>
      <c r="F534" s="7" t="s">
        <v>1211</v>
      </c>
      <c r="G534" s="23">
        <v>5743782.21</v>
      </c>
      <c r="H534" s="7" t="s">
        <v>1704</v>
      </c>
      <c r="I534" s="7" t="s">
        <v>1705</v>
      </c>
      <c r="J534" s="7" t="s">
        <v>1706</v>
      </c>
      <c r="K534" s="7" t="s">
        <v>1707</v>
      </c>
      <c r="L534" s="7" t="s">
        <v>1708</v>
      </c>
      <c r="M534" s="7" t="s">
        <v>484</v>
      </c>
      <c r="N534" s="23">
        <v>5743782.21</v>
      </c>
      <c r="O534" s="21" t="s">
        <v>40</v>
      </c>
      <c r="P534" s="21" t="s">
        <v>1709</v>
      </c>
      <c r="Q534" s="23">
        <v>1591.9573752771619</v>
      </c>
      <c r="R534" s="21" t="s">
        <v>42</v>
      </c>
      <c r="S534" s="25">
        <v>362158</v>
      </c>
      <c r="T534" s="7" t="s">
        <v>43</v>
      </c>
      <c r="U534" s="21" t="s">
        <v>584</v>
      </c>
      <c r="V534" s="24">
        <v>43089</v>
      </c>
      <c r="W534" s="24">
        <v>43176</v>
      </c>
      <c r="X534" s="21" t="s">
        <v>530</v>
      </c>
      <c r="Y534" s="21" t="s">
        <v>343</v>
      </c>
      <c r="Z534" s="21" t="s">
        <v>77</v>
      </c>
      <c r="AA534" s="21" t="s">
        <v>40</v>
      </c>
      <c r="AB534" s="21" t="s">
        <v>40</v>
      </c>
    </row>
    <row r="535" spans="1:28" s="20" customFormat="1" ht="69.95" customHeight="1">
      <c r="A535" s="21">
        <v>2017</v>
      </c>
      <c r="B535" s="7" t="s">
        <v>30</v>
      </c>
      <c r="C535" s="7" t="s">
        <v>1710</v>
      </c>
      <c r="D535" s="24">
        <v>43089</v>
      </c>
      <c r="E535" s="7" t="s">
        <v>1711</v>
      </c>
      <c r="F535" s="7" t="s">
        <v>730</v>
      </c>
      <c r="G535" s="23">
        <v>6098017.1100000003</v>
      </c>
      <c r="H535" s="7" t="s">
        <v>289</v>
      </c>
      <c r="I535" s="7" t="s">
        <v>1712</v>
      </c>
      <c r="J535" s="7" t="s">
        <v>1439</v>
      </c>
      <c r="K535" s="7" t="s">
        <v>1607</v>
      </c>
      <c r="L535" s="7" t="s">
        <v>1713</v>
      </c>
      <c r="M535" s="7" t="s">
        <v>1714</v>
      </c>
      <c r="N535" s="23">
        <v>6098017.1100000003</v>
      </c>
      <c r="O535" s="21" t="s">
        <v>40</v>
      </c>
      <c r="P535" s="25" t="s">
        <v>1715</v>
      </c>
      <c r="Q535" s="23">
        <v>2023.9021274477266</v>
      </c>
      <c r="R535" s="21" t="s">
        <v>42</v>
      </c>
      <c r="S535" s="25">
        <v>1332272</v>
      </c>
      <c r="T535" s="7" t="s">
        <v>43</v>
      </c>
      <c r="U535" s="21" t="s">
        <v>584</v>
      </c>
      <c r="V535" s="24">
        <v>43089</v>
      </c>
      <c r="W535" s="24">
        <v>43222</v>
      </c>
      <c r="X535" s="21" t="s">
        <v>671</v>
      </c>
      <c r="Y535" s="21" t="s">
        <v>334</v>
      </c>
      <c r="Z535" s="21" t="s">
        <v>133</v>
      </c>
      <c r="AA535" s="21" t="s">
        <v>40</v>
      </c>
      <c r="AB535" s="21" t="s">
        <v>40</v>
      </c>
    </row>
    <row r="536" spans="1:28" s="20" customFormat="1" ht="69.95" customHeight="1">
      <c r="A536" s="21">
        <v>2017</v>
      </c>
      <c r="B536" s="7" t="s">
        <v>30</v>
      </c>
      <c r="C536" s="7" t="s">
        <v>1716</v>
      </c>
      <c r="D536" s="24">
        <v>43089</v>
      </c>
      <c r="E536" s="7" t="s">
        <v>1717</v>
      </c>
      <c r="F536" s="7" t="s">
        <v>730</v>
      </c>
      <c r="G536" s="23">
        <v>6000654.8899999997</v>
      </c>
      <c r="H536" s="7" t="s">
        <v>289</v>
      </c>
      <c r="I536" s="7" t="s">
        <v>1347</v>
      </c>
      <c r="J536" s="7" t="s">
        <v>1348</v>
      </c>
      <c r="K536" s="7" t="s">
        <v>1349</v>
      </c>
      <c r="L536" s="7" t="s">
        <v>1350</v>
      </c>
      <c r="M536" s="7" t="s">
        <v>1351</v>
      </c>
      <c r="N536" s="23">
        <v>6000654.8899999997</v>
      </c>
      <c r="O536" s="21" t="s">
        <v>40</v>
      </c>
      <c r="P536" s="25" t="s">
        <v>1715</v>
      </c>
      <c r="Q536" s="23">
        <v>1991.5880816461997</v>
      </c>
      <c r="R536" s="21" t="s">
        <v>42</v>
      </c>
      <c r="S536" s="25">
        <v>1332272</v>
      </c>
      <c r="T536" s="7" t="s">
        <v>43</v>
      </c>
      <c r="U536" s="21" t="s">
        <v>584</v>
      </c>
      <c r="V536" s="24">
        <v>43089</v>
      </c>
      <c r="W536" s="24">
        <v>43253</v>
      </c>
      <c r="X536" s="21" t="s">
        <v>671</v>
      </c>
      <c r="Y536" s="21" t="s">
        <v>334</v>
      </c>
      <c r="Z536" s="21" t="s">
        <v>133</v>
      </c>
      <c r="AA536" s="21" t="s">
        <v>40</v>
      </c>
      <c r="AB536" s="21" t="s">
        <v>40</v>
      </c>
    </row>
    <row r="537" spans="1:28" s="27" customFormat="1" ht="69.95" customHeight="1">
      <c r="A537" s="21">
        <v>2017</v>
      </c>
      <c r="B537" s="7" t="s">
        <v>30</v>
      </c>
      <c r="C537" s="7" t="s">
        <v>1718</v>
      </c>
      <c r="D537" s="24">
        <v>43089</v>
      </c>
      <c r="E537" s="7" t="s">
        <v>1719</v>
      </c>
      <c r="F537" s="7" t="s">
        <v>730</v>
      </c>
      <c r="G537" s="23">
        <v>6048432.1399999997</v>
      </c>
      <c r="H537" s="7" t="s">
        <v>289</v>
      </c>
      <c r="I537" s="7" t="s">
        <v>1720</v>
      </c>
      <c r="J537" s="7" t="s">
        <v>1677</v>
      </c>
      <c r="K537" s="7" t="s">
        <v>1678</v>
      </c>
      <c r="L537" s="7" t="s">
        <v>1721</v>
      </c>
      <c r="M537" s="7" t="s">
        <v>1722</v>
      </c>
      <c r="N537" s="23">
        <v>6048432.1399999997</v>
      </c>
      <c r="O537" s="21" t="s">
        <v>40</v>
      </c>
      <c r="P537" s="25" t="s">
        <v>1715</v>
      </c>
      <c r="Q537" s="23">
        <v>2007.445117822768</v>
      </c>
      <c r="R537" s="21" t="s">
        <v>42</v>
      </c>
      <c r="S537" s="25">
        <v>1332272</v>
      </c>
      <c r="T537" s="7" t="s">
        <v>43</v>
      </c>
      <c r="U537" s="21" t="s">
        <v>584</v>
      </c>
      <c r="V537" s="24">
        <v>43089</v>
      </c>
      <c r="W537" s="24">
        <v>43253</v>
      </c>
      <c r="X537" s="21" t="s">
        <v>671</v>
      </c>
      <c r="Y537" s="21" t="s">
        <v>334</v>
      </c>
      <c r="Z537" s="21" t="s">
        <v>133</v>
      </c>
      <c r="AA537" s="21" t="s">
        <v>40</v>
      </c>
      <c r="AB537" s="21" t="s">
        <v>40</v>
      </c>
    </row>
    <row r="538" spans="1:28" s="20" customFormat="1" ht="69.95" customHeight="1">
      <c r="A538" s="21">
        <v>2017</v>
      </c>
      <c r="B538" s="7" t="s">
        <v>30</v>
      </c>
      <c r="C538" s="7" t="s">
        <v>1723</v>
      </c>
      <c r="D538" s="24">
        <v>43089</v>
      </c>
      <c r="E538" s="7" t="s">
        <v>1724</v>
      </c>
      <c r="F538" s="7" t="s">
        <v>730</v>
      </c>
      <c r="G538" s="23">
        <v>6301736.3099999996</v>
      </c>
      <c r="H538" s="7" t="s">
        <v>1019</v>
      </c>
      <c r="I538" s="7" t="s">
        <v>1725</v>
      </c>
      <c r="J538" s="7" t="s">
        <v>1726</v>
      </c>
      <c r="K538" s="7" t="s">
        <v>1727</v>
      </c>
      <c r="L538" s="7" t="s">
        <v>1728</v>
      </c>
      <c r="M538" s="7" t="s">
        <v>1729</v>
      </c>
      <c r="N538" s="23">
        <v>6301736.3099999996</v>
      </c>
      <c r="O538" s="21" t="s">
        <v>40</v>
      </c>
      <c r="P538" s="21" t="s">
        <v>1730</v>
      </c>
      <c r="Q538" s="23">
        <v>1868.8423220640568</v>
      </c>
      <c r="R538" s="21" t="s">
        <v>42</v>
      </c>
      <c r="S538" s="25">
        <v>6232</v>
      </c>
      <c r="T538" s="7" t="s">
        <v>43</v>
      </c>
      <c r="U538" s="21" t="s">
        <v>584</v>
      </c>
      <c r="V538" s="24">
        <v>43089</v>
      </c>
      <c r="W538" s="24">
        <v>43253</v>
      </c>
      <c r="X538" s="21" t="s">
        <v>605</v>
      </c>
      <c r="Y538" s="21" t="s">
        <v>442</v>
      </c>
      <c r="Z538" s="21" t="s">
        <v>101</v>
      </c>
      <c r="AA538" s="21" t="s">
        <v>40</v>
      </c>
      <c r="AB538" s="21" t="s">
        <v>40</v>
      </c>
    </row>
    <row r="539" spans="1:28" ht="69.95" customHeight="1">
      <c r="A539" s="7">
        <v>2017</v>
      </c>
      <c r="B539" s="7" t="s">
        <v>296</v>
      </c>
      <c r="C539" s="7" t="s">
        <v>1588</v>
      </c>
      <c r="D539" s="13">
        <v>43056</v>
      </c>
      <c r="E539" s="7" t="s">
        <v>1589</v>
      </c>
      <c r="F539" s="7" t="s">
        <v>730</v>
      </c>
      <c r="G539" s="11">
        <v>2199415.2999999998</v>
      </c>
      <c r="H539" s="7" t="s">
        <v>1590</v>
      </c>
      <c r="I539" s="7" t="s">
        <v>1591</v>
      </c>
      <c r="J539" s="7" t="s">
        <v>1448</v>
      </c>
      <c r="K539" s="7" t="s">
        <v>1592</v>
      </c>
      <c r="L539" s="7" t="s">
        <v>1593</v>
      </c>
      <c r="M539" s="7" t="s">
        <v>1594</v>
      </c>
      <c r="N539" s="11">
        <v>2199415.2999999998</v>
      </c>
      <c r="O539" s="7" t="s">
        <v>40</v>
      </c>
      <c r="P539" s="14" t="s">
        <v>1595</v>
      </c>
      <c r="Q539" s="12">
        <v>1329.9080910140826</v>
      </c>
      <c r="R539" s="7" t="s">
        <v>42</v>
      </c>
      <c r="S539" s="15">
        <v>2602</v>
      </c>
      <c r="T539" s="7" t="s">
        <v>43</v>
      </c>
      <c r="U539" s="7" t="s">
        <v>584</v>
      </c>
      <c r="V539" s="13">
        <v>43059</v>
      </c>
      <c r="W539" s="13">
        <v>43148</v>
      </c>
      <c r="X539" s="7" t="s">
        <v>586</v>
      </c>
      <c r="Y539" s="7" t="s">
        <v>404</v>
      </c>
      <c r="Z539" s="7" t="s">
        <v>405</v>
      </c>
      <c r="AA539" s="7" t="s">
        <v>40</v>
      </c>
      <c r="AB539" s="7" t="s">
        <v>40</v>
      </c>
    </row>
    <row r="540" spans="1:28" ht="69.95" customHeight="1">
      <c r="A540" s="7">
        <v>2017</v>
      </c>
      <c r="B540" s="7" t="s">
        <v>296</v>
      </c>
      <c r="C540" s="7" t="s">
        <v>1596</v>
      </c>
      <c r="D540" s="13">
        <v>43056</v>
      </c>
      <c r="E540" s="7" t="s">
        <v>1597</v>
      </c>
      <c r="F540" s="7" t="s">
        <v>730</v>
      </c>
      <c r="G540" s="11">
        <v>2482599.62</v>
      </c>
      <c r="H540" s="7" t="s">
        <v>866</v>
      </c>
      <c r="I540" s="7" t="s">
        <v>1598</v>
      </c>
      <c r="J540" s="7" t="s">
        <v>1401</v>
      </c>
      <c r="K540" s="7" t="s">
        <v>1599</v>
      </c>
      <c r="L540" s="7" t="s">
        <v>1600</v>
      </c>
      <c r="M540" s="7" t="s">
        <v>1601</v>
      </c>
      <c r="N540" s="11">
        <v>2482599.62</v>
      </c>
      <c r="O540" s="7" t="s">
        <v>40</v>
      </c>
      <c r="P540" s="14" t="s">
        <v>1602</v>
      </c>
      <c r="Q540" s="12">
        <v>929.81259176029971</v>
      </c>
      <c r="R540" s="7" t="s">
        <v>42</v>
      </c>
      <c r="S540" s="15">
        <v>365</v>
      </c>
      <c r="T540" s="7" t="s">
        <v>43</v>
      </c>
      <c r="U540" s="7" t="s">
        <v>584</v>
      </c>
      <c r="V540" s="13">
        <v>43059</v>
      </c>
      <c r="W540" s="13">
        <v>43105</v>
      </c>
      <c r="X540" s="7" t="s">
        <v>591</v>
      </c>
      <c r="Y540" s="7" t="s">
        <v>46</v>
      </c>
      <c r="Z540" s="7" t="s">
        <v>47</v>
      </c>
      <c r="AA540" s="7" t="s">
        <v>40</v>
      </c>
      <c r="AB540" s="7" t="s">
        <v>40</v>
      </c>
    </row>
    <row r="541" spans="1:28" ht="69.95" customHeight="1">
      <c r="A541" s="7">
        <v>2017</v>
      </c>
      <c r="B541" s="7" t="s">
        <v>296</v>
      </c>
      <c r="C541" s="7" t="s">
        <v>1603</v>
      </c>
      <c r="D541" s="13">
        <v>43056</v>
      </c>
      <c r="E541" s="7" t="s">
        <v>1604</v>
      </c>
      <c r="F541" s="7" t="s">
        <v>1211</v>
      </c>
      <c r="G541" s="11">
        <v>1924671.62</v>
      </c>
      <c r="H541" s="7" t="s">
        <v>1605</v>
      </c>
      <c r="I541" s="7" t="s">
        <v>1606</v>
      </c>
      <c r="J541" s="7" t="s">
        <v>1607</v>
      </c>
      <c r="K541" s="7" t="s">
        <v>1608</v>
      </c>
      <c r="L541" s="7" t="s">
        <v>1609</v>
      </c>
      <c r="M541" s="7" t="s">
        <v>1610</v>
      </c>
      <c r="N541" s="11">
        <v>1924671.62</v>
      </c>
      <c r="O541" s="7" t="s">
        <v>40</v>
      </c>
      <c r="P541" s="14" t="s">
        <v>1611</v>
      </c>
      <c r="Q541" s="12">
        <v>1372.2855268693006</v>
      </c>
      <c r="R541" s="7" t="s">
        <v>42</v>
      </c>
      <c r="S541" s="15">
        <v>1265</v>
      </c>
      <c r="T541" s="7" t="s">
        <v>43</v>
      </c>
      <c r="U541" s="7" t="s">
        <v>584</v>
      </c>
      <c r="V541" s="13">
        <v>43059</v>
      </c>
      <c r="W541" s="13">
        <v>43148</v>
      </c>
      <c r="X541" s="7" t="s">
        <v>723</v>
      </c>
      <c r="Y541" s="7" t="s">
        <v>144</v>
      </c>
      <c r="Z541" s="7" t="s">
        <v>1194</v>
      </c>
      <c r="AA541" s="7" t="s">
        <v>40</v>
      </c>
      <c r="AB541" s="7" t="s">
        <v>40</v>
      </c>
    </row>
    <row r="542" spans="1:28" ht="69.95" customHeight="1">
      <c r="A542" s="7">
        <v>2017</v>
      </c>
      <c r="B542" s="7" t="s">
        <v>296</v>
      </c>
      <c r="C542" s="7" t="s">
        <v>1612</v>
      </c>
      <c r="D542" s="13">
        <v>43056</v>
      </c>
      <c r="E542" s="7" t="s">
        <v>1613</v>
      </c>
      <c r="F542" s="7" t="s">
        <v>1614</v>
      </c>
      <c r="G542" s="11">
        <v>2996415.13</v>
      </c>
      <c r="H542" s="7" t="s">
        <v>1225</v>
      </c>
      <c r="I542" s="7" t="s">
        <v>1615</v>
      </c>
      <c r="J542" s="7" t="s">
        <v>1616</v>
      </c>
      <c r="K542" s="7" t="s">
        <v>1543</v>
      </c>
      <c r="L542" s="7" t="s">
        <v>1617</v>
      </c>
      <c r="M542" s="7" t="s">
        <v>1618</v>
      </c>
      <c r="N542" s="11">
        <v>2996415.13</v>
      </c>
      <c r="O542" s="7" t="s">
        <v>40</v>
      </c>
      <c r="P542" s="14" t="s">
        <v>1619</v>
      </c>
      <c r="Q542" s="12">
        <v>1580.2627060095456</v>
      </c>
      <c r="R542" s="7" t="s">
        <v>42</v>
      </c>
      <c r="S542" s="15">
        <v>1332272</v>
      </c>
      <c r="T542" s="7" t="s">
        <v>43</v>
      </c>
      <c r="U542" s="7" t="s">
        <v>584</v>
      </c>
      <c r="V542" s="13">
        <v>43059</v>
      </c>
      <c r="W542" s="13">
        <v>43148</v>
      </c>
      <c r="X542" s="7" t="s">
        <v>1086</v>
      </c>
      <c r="Y542" s="7" t="s">
        <v>687</v>
      </c>
      <c r="Z542" s="7" t="s">
        <v>268</v>
      </c>
      <c r="AA542" s="7" t="s">
        <v>40</v>
      </c>
      <c r="AB542" s="7" t="s">
        <v>40</v>
      </c>
    </row>
    <row r="543" spans="1:28" ht="69.95" customHeight="1">
      <c r="A543" s="7">
        <v>2017</v>
      </c>
      <c r="B543" s="7" t="s">
        <v>296</v>
      </c>
      <c r="C543" s="7" t="s">
        <v>1620</v>
      </c>
      <c r="D543" s="13">
        <v>43056</v>
      </c>
      <c r="E543" s="7" t="s">
        <v>1621</v>
      </c>
      <c r="F543" s="7" t="s">
        <v>1211</v>
      </c>
      <c r="G543" s="11">
        <v>3720532.52</v>
      </c>
      <c r="H543" s="7" t="s">
        <v>1622</v>
      </c>
      <c r="I543" s="7" t="s">
        <v>1623</v>
      </c>
      <c r="J543" s="7" t="s">
        <v>1624</v>
      </c>
      <c r="K543" s="7" t="s">
        <v>1625</v>
      </c>
      <c r="L543" s="7" t="s">
        <v>1626</v>
      </c>
      <c r="M543" s="7" t="s">
        <v>1627</v>
      </c>
      <c r="N543" s="11">
        <v>3720532.52</v>
      </c>
      <c r="O543" s="7" t="s">
        <v>40</v>
      </c>
      <c r="P543" s="14" t="s">
        <v>1628</v>
      </c>
      <c r="Q543" s="12">
        <v>4266.6168048531554</v>
      </c>
      <c r="R543" s="7" t="s">
        <v>42</v>
      </c>
      <c r="S543" s="15">
        <v>695</v>
      </c>
      <c r="T543" s="7" t="s">
        <v>43</v>
      </c>
      <c r="U543" s="7" t="s">
        <v>584</v>
      </c>
      <c r="V543" s="13">
        <v>43059</v>
      </c>
      <c r="W543" s="13">
        <v>43148</v>
      </c>
      <c r="X543" s="7" t="s">
        <v>605</v>
      </c>
      <c r="Y543" s="7" t="s">
        <v>442</v>
      </c>
      <c r="Z543" s="7" t="s">
        <v>101</v>
      </c>
      <c r="AA543" s="7" t="s">
        <v>40</v>
      </c>
      <c r="AB543" s="7" t="s">
        <v>40</v>
      </c>
    </row>
    <row r="544" spans="1:28" ht="69.95" customHeight="1">
      <c r="A544" s="7">
        <v>2017</v>
      </c>
      <c r="B544" s="7" t="s">
        <v>296</v>
      </c>
      <c r="C544" s="7" t="s">
        <v>1629</v>
      </c>
      <c r="D544" s="13">
        <v>43056</v>
      </c>
      <c r="E544" s="7" t="s">
        <v>1630</v>
      </c>
      <c r="F544" s="7" t="s">
        <v>1211</v>
      </c>
      <c r="G544" s="11">
        <v>3805115.17</v>
      </c>
      <c r="H544" s="7" t="s">
        <v>1320</v>
      </c>
      <c r="I544" s="7" t="s">
        <v>1566</v>
      </c>
      <c r="J544" s="7" t="s">
        <v>1567</v>
      </c>
      <c r="K544" s="7" t="s">
        <v>1568</v>
      </c>
      <c r="L544" s="7" t="s">
        <v>1569</v>
      </c>
      <c r="M544" s="7" t="s">
        <v>1570</v>
      </c>
      <c r="N544" s="11">
        <v>3805115.17</v>
      </c>
      <c r="O544" s="7" t="s">
        <v>40</v>
      </c>
      <c r="P544" s="14" t="s">
        <v>1631</v>
      </c>
      <c r="Q544" s="12">
        <v>4004.3727584610201</v>
      </c>
      <c r="R544" s="7" t="s">
        <v>42</v>
      </c>
      <c r="S544" s="15">
        <v>3598</v>
      </c>
      <c r="T544" s="7" t="s">
        <v>43</v>
      </c>
      <c r="U544" s="7" t="s">
        <v>584</v>
      </c>
      <c r="V544" s="13">
        <v>43059</v>
      </c>
      <c r="W544" s="13">
        <v>43178</v>
      </c>
      <c r="X544" s="7" t="s">
        <v>1326</v>
      </c>
      <c r="Y544" s="7" t="s">
        <v>1327</v>
      </c>
      <c r="Z544" s="7" t="s">
        <v>1109</v>
      </c>
      <c r="AA544" s="7" t="s">
        <v>40</v>
      </c>
      <c r="AB544" s="7" t="s">
        <v>40</v>
      </c>
    </row>
    <row r="545" spans="1:28" ht="69.95" customHeight="1">
      <c r="A545" s="7">
        <v>2017</v>
      </c>
      <c r="B545" s="7" t="s">
        <v>64</v>
      </c>
      <c r="C545" s="7" t="s">
        <v>1632</v>
      </c>
      <c r="D545" s="13">
        <v>42991</v>
      </c>
      <c r="E545" s="7" t="s">
        <v>1633</v>
      </c>
      <c r="F545" s="7" t="s">
        <v>730</v>
      </c>
      <c r="G545" s="11">
        <v>1558361.13</v>
      </c>
      <c r="H545" s="7" t="s">
        <v>1634</v>
      </c>
      <c r="I545" s="7" t="s">
        <v>1635</v>
      </c>
      <c r="J545" s="7" t="s">
        <v>1636</v>
      </c>
      <c r="K545" s="7" t="s">
        <v>1637</v>
      </c>
      <c r="L545" s="7" t="s">
        <v>1638</v>
      </c>
      <c r="M545" s="7" t="s">
        <v>1639</v>
      </c>
      <c r="N545" s="11">
        <v>1558361.13</v>
      </c>
      <c r="O545" s="7" t="s">
        <v>40</v>
      </c>
      <c r="P545" s="7" t="s">
        <v>1640</v>
      </c>
      <c r="Q545" s="11">
        <v>1882.0786594202898</v>
      </c>
      <c r="R545" s="7" t="s">
        <v>42</v>
      </c>
      <c r="S545" s="15">
        <v>967</v>
      </c>
      <c r="T545" s="7" t="s">
        <v>43</v>
      </c>
      <c r="U545" s="7" t="s">
        <v>584</v>
      </c>
      <c r="V545" s="13">
        <v>42996</v>
      </c>
      <c r="W545" s="13">
        <v>43066</v>
      </c>
      <c r="X545" s="7" t="s">
        <v>591</v>
      </c>
      <c r="Y545" s="7" t="s">
        <v>46</v>
      </c>
      <c r="Z545" s="7" t="s">
        <v>47</v>
      </c>
      <c r="AA545" s="7" t="s">
        <v>40</v>
      </c>
      <c r="AB545" s="7" t="s">
        <v>40</v>
      </c>
    </row>
    <row r="546" spans="1:28" s="28" customFormat="1" ht="69.95" customHeight="1">
      <c r="A546" s="45">
        <v>2017</v>
      </c>
      <c r="B546" s="45" t="s">
        <v>64</v>
      </c>
      <c r="C546" s="7" t="s">
        <v>2280</v>
      </c>
      <c r="D546" s="50">
        <v>43012</v>
      </c>
      <c r="E546" s="47" t="s">
        <v>2281</v>
      </c>
      <c r="F546" s="41" t="s">
        <v>1211</v>
      </c>
      <c r="G546" s="49">
        <v>442448.03</v>
      </c>
      <c r="H546" s="46" t="s">
        <v>1320</v>
      </c>
      <c r="I546" s="41" t="s">
        <v>1635</v>
      </c>
      <c r="J546" s="41" t="s">
        <v>1636</v>
      </c>
      <c r="K546" s="41" t="s">
        <v>1637</v>
      </c>
      <c r="L546" s="41" t="s">
        <v>1638</v>
      </c>
      <c r="M546" s="41" t="s">
        <v>1639</v>
      </c>
      <c r="N546" s="49">
        <v>442448.03</v>
      </c>
      <c r="O546" s="40" t="s">
        <v>40</v>
      </c>
      <c r="P546" s="40" t="s">
        <v>855</v>
      </c>
      <c r="Q546" s="48">
        <v>442448.03</v>
      </c>
      <c r="R546" s="21" t="s">
        <v>42</v>
      </c>
      <c r="S546" s="25" t="s">
        <v>232</v>
      </c>
      <c r="T546" s="47" t="s">
        <v>43</v>
      </c>
      <c r="U546" s="45" t="s">
        <v>584</v>
      </c>
      <c r="V546" s="50">
        <v>43012</v>
      </c>
      <c r="W546" s="50">
        <v>43100</v>
      </c>
      <c r="X546" s="21" t="s">
        <v>924</v>
      </c>
      <c r="Y546" s="21" t="s">
        <v>925</v>
      </c>
      <c r="Z546" s="21" t="s">
        <v>263</v>
      </c>
      <c r="AA546" s="45" t="s">
        <v>40</v>
      </c>
      <c r="AB546" s="45" t="s">
        <v>40</v>
      </c>
    </row>
    <row r="547" spans="1:28" s="28" customFormat="1" ht="69.95" customHeight="1">
      <c r="A547" s="45">
        <v>2017</v>
      </c>
      <c r="B547" s="45" t="s">
        <v>64</v>
      </c>
      <c r="C547" s="7" t="s">
        <v>2282</v>
      </c>
      <c r="D547" s="50">
        <v>43054</v>
      </c>
      <c r="E547" s="47" t="s">
        <v>2283</v>
      </c>
      <c r="F547" s="41" t="s">
        <v>730</v>
      </c>
      <c r="G547" s="49">
        <v>247885.53</v>
      </c>
      <c r="H547" s="46" t="s">
        <v>2284</v>
      </c>
      <c r="I547" s="41" t="s">
        <v>1635</v>
      </c>
      <c r="J547" s="41" t="s">
        <v>1636</v>
      </c>
      <c r="K547" s="41" t="s">
        <v>1637</v>
      </c>
      <c r="L547" s="41" t="s">
        <v>1638</v>
      </c>
      <c r="M547" s="41" t="s">
        <v>1639</v>
      </c>
      <c r="N547" s="49">
        <v>247885.53</v>
      </c>
      <c r="O547" s="40" t="s">
        <v>40</v>
      </c>
      <c r="P547" s="40" t="s">
        <v>855</v>
      </c>
      <c r="Q547" s="48">
        <v>247885.53</v>
      </c>
      <c r="R547" s="21" t="s">
        <v>42</v>
      </c>
      <c r="S547" s="25" t="s">
        <v>232</v>
      </c>
      <c r="T547" s="47" t="s">
        <v>43</v>
      </c>
      <c r="U547" s="45" t="s">
        <v>584</v>
      </c>
      <c r="V547" s="50">
        <v>43054</v>
      </c>
      <c r="W547" s="50">
        <v>43100</v>
      </c>
      <c r="X547" s="21" t="s">
        <v>924</v>
      </c>
      <c r="Y547" s="21" t="s">
        <v>925</v>
      </c>
      <c r="Z547" s="21" t="s">
        <v>263</v>
      </c>
      <c r="AA547" s="45" t="s">
        <v>40</v>
      </c>
      <c r="AB547" s="45" t="s">
        <v>40</v>
      </c>
    </row>
    <row r="548" spans="1:28" ht="69.95" customHeight="1">
      <c r="A548" s="7">
        <v>2017</v>
      </c>
      <c r="B548" s="7" t="s">
        <v>64</v>
      </c>
      <c r="C548" s="7" t="s">
        <v>1641</v>
      </c>
      <c r="D548" s="13">
        <v>43038</v>
      </c>
      <c r="E548" s="7" t="s">
        <v>1642</v>
      </c>
      <c r="F548" s="7" t="s">
        <v>730</v>
      </c>
      <c r="G548" s="11">
        <v>1715478.16</v>
      </c>
      <c r="H548" s="7" t="s">
        <v>1398</v>
      </c>
      <c r="I548" s="7" t="s">
        <v>1643</v>
      </c>
      <c r="J548" s="7" t="s">
        <v>1644</v>
      </c>
      <c r="K548" s="7" t="s">
        <v>1645</v>
      </c>
      <c r="L548" s="7" t="s">
        <v>1646</v>
      </c>
      <c r="M548" s="7" t="s">
        <v>1647</v>
      </c>
      <c r="N548" s="11">
        <v>1715478.16</v>
      </c>
      <c r="O548" s="7" t="s">
        <v>40</v>
      </c>
      <c r="P548" s="7" t="s">
        <v>1648</v>
      </c>
      <c r="Q548" s="11">
        <v>214434.77</v>
      </c>
      <c r="R548" s="7" t="s">
        <v>42</v>
      </c>
      <c r="S548" s="15">
        <v>1332272</v>
      </c>
      <c r="T548" s="7" t="s">
        <v>43</v>
      </c>
      <c r="U548" s="7" t="s">
        <v>584</v>
      </c>
      <c r="V548" s="13">
        <v>43040</v>
      </c>
      <c r="W548" s="13">
        <v>43084</v>
      </c>
      <c r="X548" s="7" t="s">
        <v>650</v>
      </c>
      <c r="Y548" s="7" t="s">
        <v>651</v>
      </c>
      <c r="Z548" s="7" t="s">
        <v>652</v>
      </c>
      <c r="AA548" s="7" t="s">
        <v>40</v>
      </c>
      <c r="AB548" s="7" t="s">
        <v>40</v>
      </c>
    </row>
    <row r="549" spans="1:28" ht="69.95" customHeight="1">
      <c r="A549" s="7">
        <v>2017</v>
      </c>
      <c r="B549" s="7" t="s">
        <v>64</v>
      </c>
      <c r="C549" s="7" t="s">
        <v>1649</v>
      </c>
      <c r="D549" s="13">
        <v>43066</v>
      </c>
      <c r="E549" s="7" t="s">
        <v>1650</v>
      </c>
      <c r="F549" s="7" t="s">
        <v>730</v>
      </c>
      <c r="G549" s="11">
        <v>1454175.38</v>
      </c>
      <c r="H549" s="7" t="s">
        <v>1651</v>
      </c>
      <c r="I549" s="7" t="s">
        <v>1514</v>
      </c>
      <c r="J549" s="7" t="s">
        <v>1652</v>
      </c>
      <c r="K549" s="7" t="s">
        <v>1653</v>
      </c>
      <c r="L549" s="7" t="s">
        <v>1654</v>
      </c>
      <c r="M549" s="7" t="s">
        <v>174</v>
      </c>
      <c r="N549" s="11">
        <v>1454175.38</v>
      </c>
      <c r="O549" s="7" t="s">
        <v>40</v>
      </c>
      <c r="P549" s="7" t="s">
        <v>1655</v>
      </c>
      <c r="Q549" s="11">
        <v>5487.4542641509433</v>
      </c>
      <c r="R549" s="7" t="s">
        <v>42</v>
      </c>
      <c r="S549" s="15">
        <v>11056</v>
      </c>
      <c r="T549" s="7" t="s">
        <v>43</v>
      </c>
      <c r="U549" s="7" t="s">
        <v>584</v>
      </c>
      <c r="V549" s="13">
        <v>43066</v>
      </c>
      <c r="W549" s="13">
        <v>43110</v>
      </c>
      <c r="X549" s="7" t="s">
        <v>1656</v>
      </c>
      <c r="Y549" s="7" t="s">
        <v>1657</v>
      </c>
      <c r="Z549" s="7" t="s">
        <v>63</v>
      </c>
      <c r="AA549" s="7" t="s">
        <v>40</v>
      </c>
      <c r="AB549" s="7" t="s">
        <v>40</v>
      </c>
    </row>
    <row r="550" spans="1:28" ht="69.95" customHeight="1">
      <c r="A550" s="7">
        <v>2017</v>
      </c>
      <c r="B550" s="7" t="s">
        <v>64</v>
      </c>
      <c r="C550" s="7" t="s">
        <v>1658</v>
      </c>
      <c r="D550" s="13">
        <v>43049</v>
      </c>
      <c r="E550" s="7" t="s">
        <v>1659</v>
      </c>
      <c r="F550" s="7" t="s">
        <v>730</v>
      </c>
      <c r="G550" s="11">
        <v>826853.74</v>
      </c>
      <c r="H550" s="7" t="s">
        <v>1398</v>
      </c>
      <c r="I550" s="7" t="s">
        <v>1660</v>
      </c>
      <c r="J550" s="7" t="s">
        <v>1661</v>
      </c>
      <c r="K550" s="7" t="s">
        <v>1463</v>
      </c>
      <c r="L550" s="7" t="s">
        <v>1662</v>
      </c>
      <c r="M550" s="7" t="s">
        <v>1663</v>
      </c>
      <c r="N550" s="11">
        <v>826853.74</v>
      </c>
      <c r="O550" s="7" t="s">
        <v>40</v>
      </c>
      <c r="P550" s="7" t="s">
        <v>862</v>
      </c>
      <c r="Q550" s="11">
        <v>826853.74</v>
      </c>
      <c r="R550" s="7" t="s">
        <v>42</v>
      </c>
      <c r="S550" s="15" t="s">
        <v>232</v>
      </c>
      <c r="T550" s="7" t="s">
        <v>43</v>
      </c>
      <c r="U550" s="7" t="s">
        <v>584</v>
      </c>
      <c r="V550" s="13">
        <v>43052</v>
      </c>
      <c r="W550" s="13">
        <v>43100</v>
      </c>
      <c r="X550" s="7" t="s">
        <v>640</v>
      </c>
      <c r="Y550" s="7" t="s">
        <v>641</v>
      </c>
      <c r="Z550" s="7" t="s">
        <v>167</v>
      </c>
      <c r="AA550" s="7" t="s">
        <v>40</v>
      </c>
      <c r="AB550" s="7" t="s">
        <v>40</v>
      </c>
    </row>
    <row r="551" spans="1:28" ht="69.95" customHeight="1">
      <c r="A551" s="7">
        <v>2017</v>
      </c>
      <c r="B551" s="7" t="s">
        <v>64</v>
      </c>
      <c r="C551" s="7" t="s">
        <v>1664</v>
      </c>
      <c r="D551" s="13">
        <v>43055</v>
      </c>
      <c r="E551" s="7" t="s">
        <v>1665</v>
      </c>
      <c r="F551" s="7" t="s">
        <v>730</v>
      </c>
      <c r="G551" s="11">
        <v>1320415.74</v>
      </c>
      <c r="H551" s="7" t="s">
        <v>1398</v>
      </c>
      <c r="I551" s="7" t="s">
        <v>1666</v>
      </c>
      <c r="J551" s="7" t="s">
        <v>1667</v>
      </c>
      <c r="K551" s="7" t="s">
        <v>1637</v>
      </c>
      <c r="L551" s="7" t="s">
        <v>1668</v>
      </c>
      <c r="M551" s="7" t="s">
        <v>283</v>
      </c>
      <c r="N551" s="11">
        <v>1320415.74</v>
      </c>
      <c r="O551" s="7" t="s">
        <v>40</v>
      </c>
      <c r="P551" s="7" t="s">
        <v>862</v>
      </c>
      <c r="Q551" s="11">
        <v>1320415.74</v>
      </c>
      <c r="R551" s="7" t="s">
        <v>42</v>
      </c>
      <c r="S551" s="15" t="s">
        <v>232</v>
      </c>
      <c r="T551" s="7" t="s">
        <v>43</v>
      </c>
      <c r="U551" s="7" t="s">
        <v>584</v>
      </c>
      <c r="V551" s="13">
        <v>43056</v>
      </c>
      <c r="W551" s="13">
        <v>43208</v>
      </c>
      <c r="X551" s="7" t="s">
        <v>924</v>
      </c>
      <c r="Y551" s="7" t="s">
        <v>925</v>
      </c>
      <c r="Z551" s="7" t="s">
        <v>263</v>
      </c>
      <c r="AA551" s="7" t="s">
        <v>40</v>
      </c>
      <c r="AB551" s="7" t="s">
        <v>40</v>
      </c>
    </row>
    <row r="552" spans="1:28" ht="69.95" customHeight="1">
      <c r="A552" s="7">
        <v>2017</v>
      </c>
      <c r="B552" s="7" t="s">
        <v>64</v>
      </c>
      <c r="C552" s="7" t="s">
        <v>1669</v>
      </c>
      <c r="D552" s="13">
        <v>43010</v>
      </c>
      <c r="E552" s="7" t="s">
        <v>1670</v>
      </c>
      <c r="F552" s="7" t="s">
        <v>1211</v>
      </c>
      <c r="G552" s="11">
        <v>1285965.22</v>
      </c>
      <c r="H552" s="7" t="s">
        <v>1398</v>
      </c>
      <c r="I552" s="7" t="s">
        <v>1399</v>
      </c>
      <c r="J552" s="7" t="s">
        <v>1671</v>
      </c>
      <c r="K552" s="7" t="s">
        <v>1672</v>
      </c>
      <c r="L552" s="7" t="s">
        <v>1673</v>
      </c>
      <c r="M552" s="7" t="s">
        <v>613</v>
      </c>
      <c r="N552" s="11">
        <v>1285965.22</v>
      </c>
      <c r="O552" s="7" t="s">
        <v>40</v>
      </c>
      <c r="P552" s="7" t="s">
        <v>862</v>
      </c>
      <c r="Q552" s="11">
        <v>1285965.22</v>
      </c>
      <c r="R552" s="7" t="s">
        <v>42</v>
      </c>
      <c r="S552" s="15" t="s">
        <v>232</v>
      </c>
      <c r="T552" s="7" t="s">
        <v>43</v>
      </c>
      <c r="U552" s="7" t="s">
        <v>584</v>
      </c>
      <c r="V552" s="13">
        <v>43010</v>
      </c>
      <c r="W552" s="13">
        <v>43092</v>
      </c>
      <c r="X552" s="7" t="s">
        <v>924</v>
      </c>
      <c r="Y552" s="7" t="s">
        <v>925</v>
      </c>
      <c r="Z552" s="7" t="s">
        <v>263</v>
      </c>
      <c r="AA552" s="7" t="s">
        <v>40</v>
      </c>
      <c r="AB552" s="7" t="s">
        <v>40</v>
      </c>
    </row>
    <row r="553" spans="1:28" ht="69.95" customHeight="1">
      <c r="A553" s="21">
        <v>2017</v>
      </c>
      <c r="B553" s="21" t="s">
        <v>64</v>
      </c>
      <c r="C553" s="7" t="s">
        <v>1731</v>
      </c>
      <c r="D553" s="24">
        <v>43054</v>
      </c>
      <c r="E553" s="7" t="s">
        <v>1732</v>
      </c>
      <c r="F553" s="7" t="s">
        <v>1211</v>
      </c>
      <c r="G553" s="23">
        <v>1009336.83</v>
      </c>
      <c r="H553" s="7" t="s">
        <v>1733</v>
      </c>
      <c r="I553" s="7" t="s">
        <v>1470</v>
      </c>
      <c r="J553" s="7" t="s">
        <v>1471</v>
      </c>
      <c r="K553" s="7" t="s">
        <v>1472</v>
      </c>
      <c r="L553" s="7" t="s">
        <v>1473</v>
      </c>
      <c r="M553" s="7" t="s">
        <v>1474</v>
      </c>
      <c r="N553" s="23">
        <v>1009336.83</v>
      </c>
      <c r="O553" s="21" t="s">
        <v>40</v>
      </c>
      <c r="P553" s="21" t="s">
        <v>1734</v>
      </c>
      <c r="Q553" s="23">
        <v>798.52597310126578</v>
      </c>
      <c r="R553" s="21" t="s">
        <v>42</v>
      </c>
      <c r="S553" s="25">
        <v>625</v>
      </c>
      <c r="T553" s="7" t="s">
        <v>43</v>
      </c>
      <c r="U553" s="21" t="s">
        <v>584</v>
      </c>
      <c r="V553" s="24">
        <v>43054</v>
      </c>
      <c r="W553" s="24">
        <v>43131</v>
      </c>
      <c r="X553" s="21" t="s">
        <v>586</v>
      </c>
      <c r="Y553" s="21" t="s">
        <v>404</v>
      </c>
      <c r="Z553" s="21" t="s">
        <v>405</v>
      </c>
      <c r="AA553" s="21" t="s">
        <v>40</v>
      </c>
      <c r="AB553" s="21" t="s">
        <v>40</v>
      </c>
    </row>
    <row r="554" spans="1:28" ht="69.95" customHeight="1">
      <c r="A554" s="21">
        <v>2017</v>
      </c>
      <c r="B554" s="7" t="s">
        <v>296</v>
      </c>
      <c r="C554" s="7" t="s">
        <v>1735</v>
      </c>
      <c r="D554" s="24">
        <v>43082</v>
      </c>
      <c r="E554" s="7" t="s">
        <v>1736</v>
      </c>
      <c r="F554" s="7" t="s">
        <v>1614</v>
      </c>
      <c r="G554" s="23">
        <v>2961863.09</v>
      </c>
      <c r="H554" s="7" t="s">
        <v>853</v>
      </c>
      <c r="I554" s="7" t="s">
        <v>1737</v>
      </c>
      <c r="J554" s="7" t="s">
        <v>1738</v>
      </c>
      <c r="K554" s="7" t="s">
        <v>1644</v>
      </c>
      <c r="L554" s="7" t="s">
        <v>1739</v>
      </c>
      <c r="M554" s="7" t="s">
        <v>1740</v>
      </c>
      <c r="N554" s="23">
        <v>2961863.09</v>
      </c>
      <c r="O554" s="21" t="s">
        <v>40</v>
      </c>
      <c r="P554" s="26" t="s">
        <v>1741</v>
      </c>
      <c r="Q554" s="22">
        <v>6383.3256249999995</v>
      </c>
      <c r="R554" s="21" t="s">
        <v>42</v>
      </c>
      <c r="S554" s="25">
        <v>3689</v>
      </c>
      <c r="T554" s="7" t="s">
        <v>43</v>
      </c>
      <c r="U554" s="21" t="s">
        <v>584</v>
      </c>
      <c r="V554" s="24">
        <v>43082</v>
      </c>
      <c r="W554" s="24">
        <v>43171</v>
      </c>
      <c r="X554" s="21" t="s">
        <v>650</v>
      </c>
      <c r="Y554" s="21" t="s">
        <v>651</v>
      </c>
      <c r="Z554" s="21" t="s">
        <v>652</v>
      </c>
      <c r="AA554" s="21" t="s">
        <v>40</v>
      </c>
      <c r="AB554" s="21" t="s">
        <v>40</v>
      </c>
    </row>
    <row r="555" spans="1:28" ht="69.95" customHeight="1">
      <c r="A555" s="21">
        <v>2017</v>
      </c>
      <c r="B555" s="7" t="s">
        <v>296</v>
      </c>
      <c r="C555" s="7" t="s">
        <v>1742</v>
      </c>
      <c r="D555" s="24">
        <v>43082</v>
      </c>
      <c r="E555" s="7" t="s">
        <v>1743</v>
      </c>
      <c r="F555" s="7" t="s">
        <v>730</v>
      </c>
      <c r="G555" s="23">
        <v>7954253.4100000001</v>
      </c>
      <c r="H555" s="7" t="s">
        <v>970</v>
      </c>
      <c r="I555" s="7" t="s">
        <v>1744</v>
      </c>
      <c r="J555" s="7" t="s">
        <v>1745</v>
      </c>
      <c r="K555" s="7" t="s">
        <v>1746</v>
      </c>
      <c r="L555" s="7" t="s">
        <v>1747</v>
      </c>
      <c r="M555" s="7" t="s">
        <v>1748</v>
      </c>
      <c r="N555" s="23">
        <v>7954253.4100000001</v>
      </c>
      <c r="O555" s="21" t="s">
        <v>40</v>
      </c>
      <c r="P555" s="26" t="s">
        <v>1234</v>
      </c>
      <c r="Q555" s="22">
        <v>6128.0842912172575</v>
      </c>
      <c r="R555" s="21" t="s">
        <v>42</v>
      </c>
      <c r="S555" s="25">
        <v>1332272</v>
      </c>
      <c r="T555" s="7" t="s">
        <v>43</v>
      </c>
      <c r="U555" s="21" t="s">
        <v>584</v>
      </c>
      <c r="V555" s="24">
        <v>43082</v>
      </c>
      <c r="W555" s="24">
        <v>43201</v>
      </c>
      <c r="X555" s="21" t="s">
        <v>699</v>
      </c>
      <c r="Y555" s="21" t="s">
        <v>513</v>
      </c>
      <c r="Z555" s="21" t="s">
        <v>280</v>
      </c>
      <c r="AA555" s="21" t="s">
        <v>40</v>
      </c>
      <c r="AB555" s="21" t="s">
        <v>40</v>
      </c>
    </row>
    <row r="556" spans="1:28" ht="69.95" customHeight="1">
      <c r="A556" s="21">
        <v>2017</v>
      </c>
      <c r="B556" s="7" t="s">
        <v>296</v>
      </c>
      <c r="C556" s="7" t="s">
        <v>1749</v>
      </c>
      <c r="D556" s="24">
        <v>43082</v>
      </c>
      <c r="E556" s="7" t="s">
        <v>1750</v>
      </c>
      <c r="F556" s="7" t="s">
        <v>730</v>
      </c>
      <c r="G556" s="23">
        <v>3956619.32</v>
      </c>
      <c r="H556" s="7" t="s">
        <v>136</v>
      </c>
      <c r="I556" s="7" t="s">
        <v>1591</v>
      </c>
      <c r="J556" s="7" t="s">
        <v>1751</v>
      </c>
      <c r="K556" s="7" t="s">
        <v>1752</v>
      </c>
      <c r="L556" s="7" t="s">
        <v>1753</v>
      </c>
      <c r="M556" s="7" t="s">
        <v>1754</v>
      </c>
      <c r="N556" s="23">
        <v>3956619.32</v>
      </c>
      <c r="O556" s="21" t="s">
        <v>40</v>
      </c>
      <c r="P556" s="26" t="s">
        <v>1755</v>
      </c>
      <c r="Q556" s="22">
        <v>2898.6222124542123</v>
      </c>
      <c r="R556" s="21" t="s">
        <v>42</v>
      </c>
      <c r="S556" s="25">
        <v>845</v>
      </c>
      <c r="T556" s="7" t="s">
        <v>43</v>
      </c>
      <c r="U556" s="21" t="s">
        <v>584</v>
      </c>
      <c r="V556" s="24">
        <v>43082</v>
      </c>
      <c r="W556" s="24">
        <v>43141</v>
      </c>
      <c r="X556" s="21" t="s">
        <v>999</v>
      </c>
      <c r="Y556" s="21" t="s">
        <v>1075</v>
      </c>
      <c r="Z556" s="21" t="s">
        <v>1001</v>
      </c>
      <c r="AA556" s="21" t="s">
        <v>40</v>
      </c>
      <c r="AB556" s="21" t="s">
        <v>40</v>
      </c>
    </row>
    <row r="557" spans="1:28" ht="69.95" customHeight="1">
      <c r="A557" s="21">
        <v>2017</v>
      </c>
      <c r="B557" s="7" t="s">
        <v>296</v>
      </c>
      <c r="C557" s="7" t="s">
        <v>1756</v>
      </c>
      <c r="D557" s="24">
        <v>43082</v>
      </c>
      <c r="E557" s="7" t="s">
        <v>1757</v>
      </c>
      <c r="F557" s="7" t="s">
        <v>730</v>
      </c>
      <c r="G557" s="23">
        <v>5195974.71</v>
      </c>
      <c r="H557" s="7" t="s">
        <v>396</v>
      </c>
      <c r="I557" s="7" t="s">
        <v>1758</v>
      </c>
      <c r="J557" s="7" t="s">
        <v>1759</v>
      </c>
      <c r="K557" s="7" t="s">
        <v>1760</v>
      </c>
      <c r="L557" s="7" t="s">
        <v>1761</v>
      </c>
      <c r="M557" s="7" t="s">
        <v>1762</v>
      </c>
      <c r="N557" s="23">
        <v>5195974.71</v>
      </c>
      <c r="O557" s="21" t="s">
        <v>40</v>
      </c>
      <c r="P557" s="26" t="s">
        <v>1763</v>
      </c>
      <c r="Q557" s="22">
        <v>1267.9294070278183</v>
      </c>
      <c r="R557" s="21" t="s">
        <v>42</v>
      </c>
      <c r="S557" s="25">
        <v>1299</v>
      </c>
      <c r="T557" s="7" t="s">
        <v>43</v>
      </c>
      <c r="U557" s="21" t="s">
        <v>584</v>
      </c>
      <c r="V557" s="24">
        <v>43082</v>
      </c>
      <c r="W557" s="24">
        <v>43201</v>
      </c>
      <c r="X557" s="21" t="s">
        <v>605</v>
      </c>
      <c r="Y557" s="21" t="s">
        <v>442</v>
      </c>
      <c r="Z557" s="21" t="s">
        <v>101</v>
      </c>
      <c r="AA557" s="21" t="s">
        <v>40</v>
      </c>
      <c r="AB557" s="21" t="s">
        <v>40</v>
      </c>
    </row>
    <row r="558" spans="1:28" ht="69.95" customHeight="1">
      <c r="A558" s="21">
        <v>2017</v>
      </c>
      <c r="B558" s="7" t="s">
        <v>296</v>
      </c>
      <c r="C558" s="7" t="s">
        <v>1764</v>
      </c>
      <c r="D558" s="24">
        <v>43082</v>
      </c>
      <c r="E558" s="7" t="s">
        <v>1765</v>
      </c>
      <c r="F558" s="7" t="s">
        <v>730</v>
      </c>
      <c r="G558" s="23">
        <v>5748894.1600000001</v>
      </c>
      <c r="H558" s="7" t="s">
        <v>203</v>
      </c>
      <c r="I558" s="7" t="s">
        <v>1766</v>
      </c>
      <c r="J558" s="7" t="s">
        <v>1425</v>
      </c>
      <c r="K558" s="7" t="s">
        <v>1767</v>
      </c>
      <c r="L558" s="7" t="s">
        <v>1768</v>
      </c>
      <c r="M558" s="7" t="s">
        <v>1769</v>
      </c>
      <c r="N558" s="23">
        <v>5748894.1600000001</v>
      </c>
      <c r="O558" s="21" t="s">
        <v>40</v>
      </c>
      <c r="P558" s="26" t="s">
        <v>1770</v>
      </c>
      <c r="Q558" s="22">
        <v>1477.105385405961</v>
      </c>
      <c r="R558" s="21" t="s">
        <v>42</v>
      </c>
      <c r="S558" s="25">
        <v>1025</v>
      </c>
      <c r="T558" s="7" t="s">
        <v>43</v>
      </c>
      <c r="U558" s="21" t="s">
        <v>584</v>
      </c>
      <c r="V558" s="24">
        <v>43082</v>
      </c>
      <c r="W558" s="24">
        <v>43201</v>
      </c>
      <c r="X558" s="21" t="s">
        <v>1062</v>
      </c>
      <c r="Y558" s="21" t="s">
        <v>1063</v>
      </c>
      <c r="Z558" s="21" t="s">
        <v>254</v>
      </c>
      <c r="AA558" s="21" t="s">
        <v>40</v>
      </c>
      <c r="AB558" s="21" t="s">
        <v>40</v>
      </c>
    </row>
    <row r="559" spans="1:28" ht="69.95" customHeight="1">
      <c r="A559" s="21">
        <v>2017</v>
      </c>
      <c r="B559" s="7" t="s">
        <v>296</v>
      </c>
      <c r="C559" s="7" t="s">
        <v>1771</v>
      </c>
      <c r="D559" s="24">
        <v>43082</v>
      </c>
      <c r="E559" s="7" t="s">
        <v>1772</v>
      </c>
      <c r="F559" s="7" t="s">
        <v>730</v>
      </c>
      <c r="G559" s="23">
        <v>2596210.91</v>
      </c>
      <c r="H559" s="7" t="s">
        <v>148</v>
      </c>
      <c r="I559" s="7" t="s">
        <v>1773</v>
      </c>
      <c r="J559" s="7" t="s">
        <v>1774</v>
      </c>
      <c r="K559" s="7" t="s">
        <v>1775</v>
      </c>
      <c r="L559" s="7" t="s">
        <v>1776</v>
      </c>
      <c r="M559" s="7" t="s">
        <v>1777</v>
      </c>
      <c r="N559" s="23">
        <v>2596210.91</v>
      </c>
      <c r="O559" s="21" t="s">
        <v>40</v>
      </c>
      <c r="P559" s="26" t="s">
        <v>1778</v>
      </c>
      <c r="Q559" s="22">
        <v>1664.2377628205129</v>
      </c>
      <c r="R559" s="21" t="s">
        <v>42</v>
      </c>
      <c r="S559" s="25">
        <v>892</v>
      </c>
      <c r="T559" s="7" t="s">
        <v>43</v>
      </c>
      <c r="U559" s="21" t="s">
        <v>584</v>
      </c>
      <c r="V559" s="24">
        <v>43082</v>
      </c>
      <c r="W559" s="24">
        <v>43186</v>
      </c>
      <c r="X559" s="21" t="s">
        <v>544</v>
      </c>
      <c r="Y559" s="21" t="s">
        <v>545</v>
      </c>
      <c r="Z559" s="21" t="s">
        <v>212</v>
      </c>
      <c r="AA559" s="21" t="s">
        <v>40</v>
      </c>
      <c r="AB559" s="21" t="s">
        <v>40</v>
      </c>
    </row>
    <row r="560" spans="1:28" ht="69.95" customHeight="1">
      <c r="A560" s="21">
        <v>2017</v>
      </c>
      <c r="B560" s="7" t="s">
        <v>296</v>
      </c>
      <c r="C560" s="7" t="s">
        <v>1779</v>
      </c>
      <c r="D560" s="24">
        <v>43082</v>
      </c>
      <c r="E560" s="7" t="s">
        <v>1780</v>
      </c>
      <c r="F560" s="7" t="s">
        <v>730</v>
      </c>
      <c r="G560" s="23">
        <v>6795712.2699999996</v>
      </c>
      <c r="H560" s="7" t="s">
        <v>1781</v>
      </c>
      <c r="I560" s="7" t="s">
        <v>1782</v>
      </c>
      <c r="J560" s="7" t="s">
        <v>1783</v>
      </c>
      <c r="K560" s="7" t="s">
        <v>1784</v>
      </c>
      <c r="L560" s="7" t="s">
        <v>1785</v>
      </c>
      <c r="M560" s="7" t="s">
        <v>261</v>
      </c>
      <c r="N560" s="23">
        <v>6795712.2699999996</v>
      </c>
      <c r="O560" s="21" t="s">
        <v>40</v>
      </c>
      <c r="P560" s="26" t="s">
        <v>1786</v>
      </c>
      <c r="Q560" s="22">
        <v>2151.9038220392654</v>
      </c>
      <c r="R560" s="21" t="s">
        <v>42</v>
      </c>
      <c r="S560" s="25">
        <v>2059</v>
      </c>
      <c r="T560" s="7" t="s">
        <v>43</v>
      </c>
      <c r="U560" s="21" t="s">
        <v>584</v>
      </c>
      <c r="V560" s="24">
        <v>43082</v>
      </c>
      <c r="W560" s="24">
        <v>43201</v>
      </c>
      <c r="X560" s="21" t="s">
        <v>571</v>
      </c>
      <c r="Y560" s="21" t="s">
        <v>572</v>
      </c>
      <c r="Z560" s="21" t="s">
        <v>573</v>
      </c>
      <c r="AA560" s="21" t="s">
        <v>40</v>
      </c>
      <c r="AB560" s="21" t="s">
        <v>40</v>
      </c>
    </row>
    <row r="561" spans="1:28" ht="69.95" customHeight="1">
      <c r="A561" s="21">
        <v>2017</v>
      </c>
      <c r="B561" s="7" t="s">
        <v>296</v>
      </c>
      <c r="C561" s="7" t="s">
        <v>1787</v>
      </c>
      <c r="D561" s="24">
        <v>43082</v>
      </c>
      <c r="E561" s="7" t="s">
        <v>1788</v>
      </c>
      <c r="F561" s="7" t="s">
        <v>730</v>
      </c>
      <c r="G561" s="23">
        <v>2345937.4300000002</v>
      </c>
      <c r="H561" s="7" t="s">
        <v>1781</v>
      </c>
      <c r="I561" s="7" t="s">
        <v>1575</v>
      </c>
      <c r="J561" s="7" t="s">
        <v>1789</v>
      </c>
      <c r="K561" s="7" t="s">
        <v>1489</v>
      </c>
      <c r="L561" s="7" t="s">
        <v>1790</v>
      </c>
      <c r="M561" s="7" t="s">
        <v>97</v>
      </c>
      <c r="N561" s="23">
        <v>2345937.4300000002</v>
      </c>
      <c r="O561" s="21" t="s">
        <v>40</v>
      </c>
      <c r="P561" s="26" t="s">
        <v>1791</v>
      </c>
      <c r="Q561" s="22">
        <v>1907.2662032520327</v>
      </c>
      <c r="R561" s="21" t="s">
        <v>42</v>
      </c>
      <c r="S561" s="25">
        <v>2059</v>
      </c>
      <c r="T561" s="7" t="s">
        <v>43</v>
      </c>
      <c r="U561" s="21" t="s">
        <v>584</v>
      </c>
      <c r="V561" s="24">
        <v>43082</v>
      </c>
      <c r="W561" s="24">
        <v>43201</v>
      </c>
      <c r="X561" s="21" t="s">
        <v>571</v>
      </c>
      <c r="Y561" s="21" t="s">
        <v>572</v>
      </c>
      <c r="Z561" s="21" t="s">
        <v>573</v>
      </c>
      <c r="AA561" s="21" t="s">
        <v>40</v>
      </c>
      <c r="AB561" s="21" t="s">
        <v>40</v>
      </c>
    </row>
    <row r="562" spans="1:28" ht="69.95" customHeight="1">
      <c r="A562" s="21">
        <v>2017</v>
      </c>
      <c r="B562" s="7" t="s">
        <v>296</v>
      </c>
      <c r="C562" s="7" t="s">
        <v>1792</v>
      </c>
      <c r="D562" s="24">
        <v>43082</v>
      </c>
      <c r="E562" s="7" t="s">
        <v>1793</v>
      </c>
      <c r="F562" s="7" t="s">
        <v>730</v>
      </c>
      <c r="G562" s="23">
        <v>8493500.0099999998</v>
      </c>
      <c r="H562" s="7" t="s">
        <v>1794</v>
      </c>
      <c r="I562" s="7" t="s">
        <v>1795</v>
      </c>
      <c r="J562" s="7" t="s">
        <v>1796</v>
      </c>
      <c r="K562" s="7" t="s">
        <v>1797</v>
      </c>
      <c r="L562" s="7" t="s">
        <v>1798</v>
      </c>
      <c r="M562" s="7" t="s">
        <v>493</v>
      </c>
      <c r="N562" s="23">
        <v>8493500.0099999998</v>
      </c>
      <c r="O562" s="21" t="s">
        <v>40</v>
      </c>
      <c r="P562" s="26" t="s">
        <v>1799</v>
      </c>
      <c r="Q562" s="22">
        <v>1602.5471716981131</v>
      </c>
      <c r="R562" s="21" t="s">
        <v>42</v>
      </c>
      <c r="S562" s="25">
        <v>697</v>
      </c>
      <c r="T562" s="7" t="s">
        <v>43</v>
      </c>
      <c r="U562" s="21" t="s">
        <v>584</v>
      </c>
      <c r="V562" s="24">
        <v>43082</v>
      </c>
      <c r="W562" s="24">
        <v>43201</v>
      </c>
      <c r="X562" s="21" t="s">
        <v>699</v>
      </c>
      <c r="Y562" s="21" t="s">
        <v>513</v>
      </c>
      <c r="Z562" s="21" t="s">
        <v>280</v>
      </c>
      <c r="AA562" s="21" t="s">
        <v>40</v>
      </c>
      <c r="AB562" s="21" t="s">
        <v>40</v>
      </c>
    </row>
    <row r="563" spans="1:28" ht="69.95" customHeight="1">
      <c r="A563" s="21">
        <v>2017</v>
      </c>
      <c r="B563" s="7" t="s">
        <v>296</v>
      </c>
      <c r="C563" s="7" t="s">
        <v>1800</v>
      </c>
      <c r="D563" s="24">
        <v>43082</v>
      </c>
      <c r="E563" s="7" t="s">
        <v>1801</v>
      </c>
      <c r="F563" s="7" t="s">
        <v>730</v>
      </c>
      <c r="G563" s="23">
        <v>7978305.2699999996</v>
      </c>
      <c r="H563" s="7" t="s">
        <v>1114</v>
      </c>
      <c r="I563" s="7" t="s">
        <v>1802</v>
      </c>
      <c r="J563" s="7" t="s">
        <v>1803</v>
      </c>
      <c r="K563" s="7" t="s">
        <v>1804</v>
      </c>
      <c r="L563" s="7" t="s">
        <v>1805</v>
      </c>
      <c r="M563" s="7" t="s">
        <v>1806</v>
      </c>
      <c r="N563" s="23">
        <v>7978305.2699999996</v>
      </c>
      <c r="O563" s="21" t="s">
        <v>40</v>
      </c>
      <c r="P563" s="26" t="s">
        <v>1807</v>
      </c>
      <c r="Q563" s="22">
        <v>2634.8432199471595</v>
      </c>
      <c r="R563" s="21" t="s">
        <v>42</v>
      </c>
      <c r="S563" s="25">
        <v>38952</v>
      </c>
      <c r="T563" s="7" t="s">
        <v>43</v>
      </c>
      <c r="U563" s="21" t="s">
        <v>584</v>
      </c>
      <c r="V563" s="24">
        <v>43082</v>
      </c>
      <c r="W563" s="24">
        <v>43186</v>
      </c>
      <c r="X563" s="21" t="s">
        <v>846</v>
      </c>
      <c r="Y563" s="21" t="s">
        <v>847</v>
      </c>
      <c r="Z563" s="21" t="s">
        <v>848</v>
      </c>
      <c r="AA563" s="21" t="s">
        <v>40</v>
      </c>
      <c r="AB563" s="21" t="s">
        <v>40</v>
      </c>
    </row>
    <row r="564" spans="1:28" ht="69.95" customHeight="1">
      <c r="A564" s="21">
        <v>2017</v>
      </c>
      <c r="B564" s="7" t="s">
        <v>296</v>
      </c>
      <c r="C564" s="7" t="s">
        <v>1808</v>
      </c>
      <c r="D564" s="24">
        <v>43088</v>
      </c>
      <c r="E564" s="7" t="s">
        <v>1809</v>
      </c>
      <c r="F564" s="7" t="s">
        <v>730</v>
      </c>
      <c r="G564" s="23">
        <v>3989821.13</v>
      </c>
      <c r="H564" s="7" t="s">
        <v>1114</v>
      </c>
      <c r="I564" s="7" t="s">
        <v>1542</v>
      </c>
      <c r="J564" s="7" t="s">
        <v>1810</v>
      </c>
      <c r="K564" s="7" t="s">
        <v>1811</v>
      </c>
      <c r="L564" s="7" t="s">
        <v>1812</v>
      </c>
      <c r="M564" s="7" t="s">
        <v>230</v>
      </c>
      <c r="N564" s="23">
        <v>3989821.13</v>
      </c>
      <c r="O564" s="21" t="s">
        <v>40</v>
      </c>
      <c r="P564" s="26" t="s">
        <v>1113</v>
      </c>
      <c r="Q564" s="22">
        <v>2652.8066023936171</v>
      </c>
      <c r="R564" s="21" t="s">
        <v>42</v>
      </c>
      <c r="S564" s="25">
        <v>38952</v>
      </c>
      <c r="T564" s="7" t="s">
        <v>43</v>
      </c>
      <c r="U564" s="21" t="s">
        <v>584</v>
      </c>
      <c r="V564" s="24">
        <v>43088</v>
      </c>
      <c r="W564" s="24">
        <v>43192</v>
      </c>
      <c r="X564" s="21" t="s">
        <v>846</v>
      </c>
      <c r="Y564" s="21" t="s">
        <v>847</v>
      </c>
      <c r="Z564" s="21" t="s">
        <v>848</v>
      </c>
      <c r="AA564" s="21" t="s">
        <v>40</v>
      </c>
      <c r="AB564" s="21" t="s">
        <v>40</v>
      </c>
    </row>
    <row r="565" spans="1:28" ht="69.95" customHeight="1">
      <c r="A565" s="21">
        <v>2017</v>
      </c>
      <c r="B565" s="7" t="s">
        <v>296</v>
      </c>
      <c r="C565" s="7" t="s">
        <v>1813</v>
      </c>
      <c r="D565" s="24">
        <v>43082</v>
      </c>
      <c r="E565" s="7" t="s">
        <v>1814</v>
      </c>
      <c r="F565" s="7" t="s">
        <v>730</v>
      </c>
      <c r="G565" s="23">
        <v>8241710.4699999997</v>
      </c>
      <c r="H565" s="7" t="s">
        <v>1398</v>
      </c>
      <c r="I565" s="7" t="s">
        <v>1815</v>
      </c>
      <c r="J565" s="7" t="s">
        <v>1644</v>
      </c>
      <c r="K565" s="7" t="s">
        <v>1816</v>
      </c>
      <c r="L565" s="7" t="s">
        <v>1817</v>
      </c>
      <c r="M565" s="7" t="s">
        <v>1818</v>
      </c>
      <c r="N565" s="23">
        <v>8241710.4699999997</v>
      </c>
      <c r="O565" s="21" t="s">
        <v>40</v>
      </c>
      <c r="P565" s="26" t="s">
        <v>1819</v>
      </c>
      <c r="Q565" s="22">
        <v>1496.5880642818231</v>
      </c>
      <c r="R565" s="21" t="s">
        <v>42</v>
      </c>
      <c r="S565" s="25">
        <v>98421</v>
      </c>
      <c r="T565" s="7" t="s">
        <v>43</v>
      </c>
      <c r="U565" s="21" t="s">
        <v>584</v>
      </c>
      <c r="V565" s="24">
        <v>43082</v>
      </c>
      <c r="W565" s="24">
        <v>43231</v>
      </c>
      <c r="X565" s="21" t="s">
        <v>701</v>
      </c>
      <c r="Y565" s="21" t="s">
        <v>524</v>
      </c>
      <c r="Z565" s="21" t="s">
        <v>254</v>
      </c>
      <c r="AA565" s="21" t="s">
        <v>40</v>
      </c>
      <c r="AB565" s="21" t="s">
        <v>40</v>
      </c>
    </row>
    <row r="566" spans="1:28" ht="69.95" customHeight="1">
      <c r="A566" s="21">
        <v>2017</v>
      </c>
      <c r="B566" s="7" t="s">
        <v>296</v>
      </c>
      <c r="C566" s="7" t="s">
        <v>1820</v>
      </c>
      <c r="D566" s="24">
        <v>43082</v>
      </c>
      <c r="E566" s="7" t="s">
        <v>1821</v>
      </c>
      <c r="F566" s="7" t="s">
        <v>1164</v>
      </c>
      <c r="G566" s="23">
        <v>7996862.4500000002</v>
      </c>
      <c r="H566" s="7" t="s">
        <v>1822</v>
      </c>
      <c r="I566" s="7" t="s">
        <v>1705</v>
      </c>
      <c r="J566" s="7" t="s">
        <v>1481</v>
      </c>
      <c r="K566" s="7" t="s">
        <v>1823</v>
      </c>
      <c r="L566" s="7" t="s">
        <v>1824</v>
      </c>
      <c r="M566" s="7" t="s">
        <v>1825</v>
      </c>
      <c r="N566" s="23">
        <v>7996862.4500000002</v>
      </c>
      <c r="O566" s="21" t="s">
        <v>40</v>
      </c>
      <c r="P566" s="26" t="s">
        <v>1826</v>
      </c>
      <c r="Q566" s="22">
        <v>4186.838979057592</v>
      </c>
      <c r="R566" s="21" t="s">
        <v>42</v>
      </c>
      <c r="S566" s="25">
        <v>291</v>
      </c>
      <c r="T566" s="7" t="s">
        <v>43</v>
      </c>
      <c r="U566" s="21" t="s">
        <v>584</v>
      </c>
      <c r="V566" s="24">
        <v>43082</v>
      </c>
      <c r="W566" s="24">
        <v>43100</v>
      </c>
      <c r="X566" s="21" t="s">
        <v>999</v>
      </c>
      <c r="Y566" s="21" t="s">
        <v>1075</v>
      </c>
      <c r="Z566" s="21" t="s">
        <v>1001</v>
      </c>
      <c r="AA566" s="21" t="s">
        <v>40</v>
      </c>
      <c r="AB566" s="21" t="s">
        <v>40</v>
      </c>
    </row>
    <row r="567" spans="1:28" ht="69.95" customHeight="1">
      <c r="A567" s="21">
        <v>2017</v>
      </c>
      <c r="B567" s="7" t="s">
        <v>296</v>
      </c>
      <c r="C567" s="7" t="s">
        <v>1827</v>
      </c>
      <c r="D567" s="24">
        <v>43082</v>
      </c>
      <c r="E567" s="7" t="s">
        <v>1828</v>
      </c>
      <c r="F567" s="7" t="s">
        <v>1829</v>
      </c>
      <c r="G567" s="23">
        <v>5994261</v>
      </c>
      <c r="H567" s="7" t="s">
        <v>1830</v>
      </c>
      <c r="I567" s="7" t="s">
        <v>1831</v>
      </c>
      <c r="J567" s="7" t="s">
        <v>1644</v>
      </c>
      <c r="K567" s="7" t="s">
        <v>1832</v>
      </c>
      <c r="L567" s="7" t="s">
        <v>1833</v>
      </c>
      <c r="M567" s="7" t="s">
        <v>1834</v>
      </c>
      <c r="N567" s="23">
        <v>5994261</v>
      </c>
      <c r="O567" s="21" t="s">
        <v>40</v>
      </c>
      <c r="P567" s="26" t="s">
        <v>1835</v>
      </c>
      <c r="Q567" s="22">
        <v>13748.305045871559</v>
      </c>
      <c r="R567" s="21" t="s">
        <v>42</v>
      </c>
      <c r="S567" s="25">
        <v>645</v>
      </c>
      <c r="T567" s="7" t="s">
        <v>43</v>
      </c>
      <c r="U567" s="21" t="s">
        <v>584</v>
      </c>
      <c r="V567" s="24">
        <v>43082</v>
      </c>
      <c r="W567" s="24">
        <v>43100</v>
      </c>
      <c r="X567" s="21" t="s">
        <v>699</v>
      </c>
      <c r="Y567" s="21" t="s">
        <v>513</v>
      </c>
      <c r="Z567" s="21" t="s">
        <v>280</v>
      </c>
      <c r="AA567" s="21" t="s">
        <v>40</v>
      </c>
      <c r="AB567" s="21" t="s">
        <v>40</v>
      </c>
    </row>
    <row r="568" spans="1:28" ht="69.95" customHeight="1">
      <c r="A568" s="21">
        <v>2017</v>
      </c>
      <c r="B568" s="7" t="s">
        <v>296</v>
      </c>
      <c r="C568" s="7" t="s">
        <v>1836</v>
      </c>
      <c r="D568" s="24">
        <v>43082</v>
      </c>
      <c r="E568" s="7" t="s">
        <v>1837</v>
      </c>
      <c r="F568" s="7" t="s">
        <v>1211</v>
      </c>
      <c r="G568" s="23">
        <v>5231076.3600000003</v>
      </c>
      <c r="H568" s="7" t="s">
        <v>1320</v>
      </c>
      <c r="I568" s="7" t="s">
        <v>1838</v>
      </c>
      <c r="J568" s="7" t="s">
        <v>1839</v>
      </c>
      <c r="K568" s="7" t="s">
        <v>1840</v>
      </c>
      <c r="L568" s="7" t="s">
        <v>1841</v>
      </c>
      <c r="M568" s="7" t="s">
        <v>1842</v>
      </c>
      <c r="N568" s="23">
        <v>5231076.3600000003</v>
      </c>
      <c r="O568" s="21" t="s">
        <v>40</v>
      </c>
      <c r="P568" s="26" t="s">
        <v>1843</v>
      </c>
      <c r="Q568" s="22">
        <v>2433.0587720930234</v>
      </c>
      <c r="R568" s="21" t="s">
        <v>42</v>
      </c>
      <c r="S568" s="25">
        <v>12056</v>
      </c>
      <c r="T568" s="7" t="s">
        <v>43</v>
      </c>
      <c r="U568" s="21" t="s">
        <v>584</v>
      </c>
      <c r="V568" s="24">
        <v>43082</v>
      </c>
      <c r="W568" s="24">
        <v>43186</v>
      </c>
      <c r="X568" s="21" t="s">
        <v>736</v>
      </c>
      <c r="Y568" s="21" t="s">
        <v>737</v>
      </c>
      <c r="Z568" s="21" t="s">
        <v>581</v>
      </c>
      <c r="AA568" s="21" t="s">
        <v>40</v>
      </c>
      <c r="AB568" s="21" t="s">
        <v>40</v>
      </c>
    </row>
    <row r="569" spans="1:28" ht="69.95" customHeight="1">
      <c r="A569" s="21">
        <v>2017</v>
      </c>
      <c r="B569" s="7" t="s">
        <v>296</v>
      </c>
      <c r="C569" s="7" t="s">
        <v>1844</v>
      </c>
      <c r="D569" s="24">
        <v>43082</v>
      </c>
      <c r="E569" s="7" t="s">
        <v>1845</v>
      </c>
      <c r="F569" s="7" t="s">
        <v>1211</v>
      </c>
      <c r="G569" s="23">
        <v>4127441.19</v>
      </c>
      <c r="H569" s="7" t="s">
        <v>1846</v>
      </c>
      <c r="I569" s="7" t="s">
        <v>1575</v>
      </c>
      <c r="J569" s="7" t="s">
        <v>1847</v>
      </c>
      <c r="K569" s="7" t="s">
        <v>1775</v>
      </c>
      <c r="L569" s="7" t="s">
        <v>1848</v>
      </c>
      <c r="M569" s="7" t="s">
        <v>1849</v>
      </c>
      <c r="N569" s="23">
        <v>4127441.19</v>
      </c>
      <c r="O569" s="21" t="s">
        <v>40</v>
      </c>
      <c r="P569" s="26" t="s">
        <v>1850</v>
      </c>
      <c r="Q569" s="22">
        <v>12660.862546012269</v>
      </c>
      <c r="R569" s="21" t="s">
        <v>42</v>
      </c>
      <c r="S569" s="25">
        <v>26598</v>
      </c>
      <c r="T569" s="7" t="s">
        <v>43</v>
      </c>
      <c r="U569" s="21" t="s">
        <v>584</v>
      </c>
      <c r="V569" s="24">
        <v>43082</v>
      </c>
      <c r="W569" s="24">
        <v>43186</v>
      </c>
      <c r="X569" s="21" t="s">
        <v>1326</v>
      </c>
      <c r="Y569" s="21" t="s">
        <v>1327</v>
      </c>
      <c r="Z569" s="21" t="s">
        <v>1109</v>
      </c>
      <c r="AA569" s="21" t="s">
        <v>40</v>
      </c>
      <c r="AB569" s="21" t="s">
        <v>40</v>
      </c>
    </row>
    <row r="570" spans="1:28" ht="69.95" customHeight="1">
      <c r="A570" s="21">
        <v>2017</v>
      </c>
      <c r="B570" s="7" t="s">
        <v>296</v>
      </c>
      <c r="C570" s="7" t="s">
        <v>1851</v>
      </c>
      <c r="D570" s="24">
        <v>43088</v>
      </c>
      <c r="E570" s="7" t="s">
        <v>1852</v>
      </c>
      <c r="F570" s="7" t="s">
        <v>1211</v>
      </c>
      <c r="G570" s="23">
        <v>3696246.86</v>
      </c>
      <c r="H570" s="7" t="s">
        <v>1853</v>
      </c>
      <c r="I570" s="7" t="s">
        <v>1854</v>
      </c>
      <c r="J570" s="7" t="s">
        <v>1855</v>
      </c>
      <c r="K570" s="7" t="s">
        <v>1568</v>
      </c>
      <c r="L570" s="7" t="s">
        <v>1856</v>
      </c>
      <c r="M570" s="7" t="s">
        <v>1857</v>
      </c>
      <c r="N570" s="23">
        <v>3696246.86</v>
      </c>
      <c r="O570" s="21" t="s">
        <v>40</v>
      </c>
      <c r="P570" s="26" t="s">
        <v>1858</v>
      </c>
      <c r="Q570" s="22">
        <v>5757.3938629283484</v>
      </c>
      <c r="R570" s="21" t="s">
        <v>42</v>
      </c>
      <c r="S570" s="25">
        <v>569</v>
      </c>
      <c r="T570" s="7" t="s">
        <v>43</v>
      </c>
      <c r="U570" s="21" t="s">
        <v>584</v>
      </c>
      <c r="V570" s="24">
        <v>43088</v>
      </c>
      <c r="W570" s="24">
        <v>43177</v>
      </c>
      <c r="X570" s="21" t="s">
        <v>701</v>
      </c>
      <c r="Y570" s="21" t="s">
        <v>524</v>
      </c>
      <c r="Z570" s="21" t="s">
        <v>254</v>
      </c>
      <c r="AA570" s="21" t="s">
        <v>40</v>
      </c>
      <c r="AB570" s="21" t="s">
        <v>40</v>
      </c>
    </row>
    <row r="571" spans="1:28" ht="69.95" customHeight="1">
      <c r="A571" s="21">
        <v>2017</v>
      </c>
      <c r="B571" s="7" t="s">
        <v>296</v>
      </c>
      <c r="C571" s="7" t="s">
        <v>1859</v>
      </c>
      <c r="D571" s="24">
        <v>43082</v>
      </c>
      <c r="E571" s="7" t="s">
        <v>1860</v>
      </c>
      <c r="F571" s="7" t="s">
        <v>1211</v>
      </c>
      <c r="G571" s="23">
        <v>5655079.3700000001</v>
      </c>
      <c r="H571" s="7" t="s">
        <v>900</v>
      </c>
      <c r="I571" s="7" t="s">
        <v>1737</v>
      </c>
      <c r="J571" s="7" t="s">
        <v>1738</v>
      </c>
      <c r="K571" s="7" t="s">
        <v>1644</v>
      </c>
      <c r="L571" s="7" t="s">
        <v>1861</v>
      </c>
      <c r="M571" s="7" t="s">
        <v>1862</v>
      </c>
      <c r="N571" s="23">
        <v>5655079.3700000001</v>
      </c>
      <c r="O571" s="21" t="s">
        <v>40</v>
      </c>
      <c r="P571" s="26" t="s">
        <v>1863</v>
      </c>
      <c r="Q571" s="22">
        <v>1795.2632920634921</v>
      </c>
      <c r="R571" s="21" t="s">
        <v>42</v>
      </c>
      <c r="S571" s="25">
        <v>2056</v>
      </c>
      <c r="T571" s="7" t="s">
        <v>43</v>
      </c>
      <c r="U571" s="21" t="s">
        <v>584</v>
      </c>
      <c r="V571" s="24">
        <v>43082</v>
      </c>
      <c r="W571" s="24">
        <v>43201</v>
      </c>
      <c r="X571" s="21" t="s">
        <v>650</v>
      </c>
      <c r="Y571" s="21" t="s">
        <v>651</v>
      </c>
      <c r="Z571" s="21" t="s">
        <v>652</v>
      </c>
      <c r="AA571" s="21" t="s">
        <v>40</v>
      </c>
      <c r="AB571" s="21" t="s">
        <v>40</v>
      </c>
    </row>
    <row r="572" spans="1:28" ht="69.95" customHeight="1">
      <c r="A572" s="21">
        <v>2017</v>
      </c>
      <c r="B572" s="7" t="s">
        <v>831</v>
      </c>
      <c r="C572" s="7" t="s">
        <v>1864</v>
      </c>
      <c r="D572" s="24">
        <v>43082</v>
      </c>
      <c r="E572" s="7" t="s">
        <v>1865</v>
      </c>
      <c r="F572" s="7" t="s">
        <v>1866</v>
      </c>
      <c r="G572" s="23">
        <v>2918783.25</v>
      </c>
      <c r="H572" s="7" t="s">
        <v>1867</v>
      </c>
      <c r="I572" s="7" t="s">
        <v>1868</v>
      </c>
      <c r="J572" s="7" t="s">
        <v>1869</v>
      </c>
      <c r="K572" s="7" t="s">
        <v>1400</v>
      </c>
      <c r="L572" s="7" t="s">
        <v>1870</v>
      </c>
      <c r="M572" s="7" t="s">
        <v>1871</v>
      </c>
      <c r="N572" s="23">
        <v>2918783.25</v>
      </c>
      <c r="O572" s="21" t="s">
        <v>40</v>
      </c>
      <c r="P572" s="26" t="s">
        <v>1872</v>
      </c>
      <c r="Q572" s="22">
        <v>1764.6815296251511</v>
      </c>
      <c r="R572" s="21" t="s">
        <v>42</v>
      </c>
      <c r="S572" s="25">
        <v>1204</v>
      </c>
      <c r="T572" s="7" t="s">
        <v>43</v>
      </c>
      <c r="U572" s="21" t="s">
        <v>584</v>
      </c>
      <c r="V572" s="24">
        <v>43082</v>
      </c>
      <c r="W572" s="24">
        <v>43100</v>
      </c>
      <c r="X572" s="21" t="s">
        <v>668</v>
      </c>
      <c r="Y572" s="21" t="s">
        <v>88</v>
      </c>
      <c r="Z572" s="21" t="s">
        <v>798</v>
      </c>
      <c r="AA572" s="21" t="s">
        <v>40</v>
      </c>
      <c r="AB572" s="21" t="s">
        <v>40</v>
      </c>
    </row>
    <row r="573" spans="1:28" s="51" customFormat="1" ht="69.95" customHeight="1">
      <c r="A573" s="45">
        <v>2017</v>
      </c>
      <c r="B573" s="41" t="s">
        <v>296</v>
      </c>
      <c r="C573" s="7" t="s">
        <v>2285</v>
      </c>
      <c r="D573" s="24">
        <v>43133</v>
      </c>
      <c r="E573" s="47" t="s">
        <v>2286</v>
      </c>
      <c r="F573" s="41" t="s">
        <v>730</v>
      </c>
      <c r="G573" s="49">
        <v>6216718.1200000001</v>
      </c>
      <c r="H573" s="47" t="s">
        <v>148</v>
      </c>
      <c r="I573" s="41" t="s">
        <v>2287</v>
      </c>
      <c r="J573" s="41" t="s">
        <v>2288</v>
      </c>
      <c r="K573" s="41" t="s">
        <v>1592</v>
      </c>
      <c r="L573" s="41" t="s">
        <v>2289</v>
      </c>
      <c r="M573" s="41" t="s">
        <v>2290</v>
      </c>
      <c r="N573" s="49">
        <v>6216718.1200000001</v>
      </c>
      <c r="O573" s="40" t="s">
        <v>40</v>
      </c>
      <c r="P573" s="43" t="s">
        <v>2291</v>
      </c>
      <c r="Q573" s="53">
        <v>2726.6307543859648</v>
      </c>
      <c r="R573" s="40" t="s">
        <v>42</v>
      </c>
      <c r="S573" s="52">
        <v>3688</v>
      </c>
      <c r="T573" s="47" t="s">
        <v>43</v>
      </c>
      <c r="U573" s="45" t="s">
        <v>584</v>
      </c>
      <c r="V573" s="24">
        <v>43133</v>
      </c>
      <c r="W573" s="24">
        <v>43282</v>
      </c>
      <c r="X573" s="40" t="s">
        <v>544</v>
      </c>
      <c r="Y573" s="40" t="s">
        <v>545</v>
      </c>
      <c r="Z573" s="40" t="s">
        <v>212</v>
      </c>
      <c r="AA573" s="45" t="s">
        <v>40</v>
      </c>
      <c r="AB573" s="45" t="s">
        <v>40</v>
      </c>
    </row>
    <row r="574" spans="1:28" ht="69.95" customHeight="1">
      <c r="A574" s="21">
        <v>2017</v>
      </c>
      <c r="B574" s="7" t="s">
        <v>296</v>
      </c>
      <c r="C574" s="7" t="s">
        <v>1873</v>
      </c>
      <c r="D574" s="24">
        <v>43088</v>
      </c>
      <c r="E574" s="7" t="s">
        <v>1874</v>
      </c>
      <c r="F574" s="7" t="s">
        <v>1614</v>
      </c>
      <c r="G574" s="23">
        <v>3985716.58</v>
      </c>
      <c r="H574" s="7" t="s">
        <v>1687</v>
      </c>
      <c r="I574" s="7" t="s">
        <v>1875</v>
      </c>
      <c r="J574" s="7" t="s">
        <v>1876</v>
      </c>
      <c r="K574" s="7" t="s">
        <v>1877</v>
      </c>
      <c r="L574" s="7" t="s">
        <v>1878</v>
      </c>
      <c r="M574" s="7" t="s">
        <v>1879</v>
      </c>
      <c r="N574" s="23">
        <v>3985716.58</v>
      </c>
      <c r="O574" s="21" t="s">
        <v>40</v>
      </c>
      <c r="P574" s="26" t="s">
        <v>1880</v>
      </c>
      <c r="Q574" s="22">
        <v>3049.5153634276971</v>
      </c>
      <c r="R574" s="21" t="s">
        <v>42</v>
      </c>
      <c r="S574" s="25">
        <v>1026</v>
      </c>
      <c r="T574" s="7" t="s">
        <v>43</v>
      </c>
      <c r="U574" s="21" t="s">
        <v>584</v>
      </c>
      <c r="V574" s="24">
        <v>43088</v>
      </c>
      <c r="W574" s="24">
        <v>43174</v>
      </c>
      <c r="X574" s="21" t="s">
        <v>668</v>
      </c>
      <c r="Y574" s="21" t="s">
        <v>88</v>
      </c>
      <c r="Z574" s="21" t="s">
        <v>798</v>
      </c>
      <c r="AA574" s="21" t="s">
        <v>40</v>
      </c>
      <c r="AB574" s="21" t="s">
        <v>40</v>
      </c>
    </row>
    <row r="575" spans="1:28" ht="69.95" customHeight="1">
      <c r="A575" s="21">
        <v>2017</v>
      </c>
      <c r="B575" s="7" t="s">
        <v>296</v>
      </c>
      <c r="C575" s="7" t="s">
        <v>1881</v>
      </c>
      <c r="D575" s="24">
        <v>43088</v>
      </c>
      <c r="E575" s="7" t="s">
        <v>1882</v>
      </c>
      <c r="F575" s="7" t="s">
        <v>730</v>
      </c>
      <c r="G575" s="23">
        <v>5979767.6399999997</v>
      </c>
      <c r="H575" s="7" t="s">
        <v>1883</v>
      </c>
      <c r="I575" s="7" t="s">
        <v>1884</v>
      </c>
      <c r="J575" s="7" t="s">
        <v>1885</v>
      </c>
      <c r="K575" s="7" t="s">
        <v>1644</v>
      </c>
      <c r="L575" s="7" t="s">
        <v>1886</v>
      </c>
      <c r="M575" s="7" t="s">
        <v>1887</v>
      </c>
      <c r="N575" s="23">
        <v>5979767.6399999997</v>
      </c>
      <c r="O575" s="21" t="s">
        <v>40</v>
      </c>
      <c r="P575" s="26" t="s">
        <v>1888</v>
      </c>
      <c r="Q575" s="22">
        <v>2610.1124574421647</v>
      </c>
      <c r="R575" s="21" t="s">
        <v>42</v>
      </c>
      <c r="S575" s="25">
        <v>2069</v>
      </c>
      <c r="T575" s="7" t="s">
        <v>43</v>
      </c>
      <c r="U575" s="21" t="s">
        <v>584</v>
      </c>
      <c r="V575" s="24">
        <v>43088</v>
      </c>
      <c r="W575" s="24">
        <v>43174</v>
      </c>
      <c r="X575" s="21" t="s">
        <v>1476</v>
      </c>
      <c r="Y575" s="21" t="s">
        <v>975</v>
      </c>
      <c r="Z575" s="21" t="s">
        <v>976</v>
      </c>
      <c r="AA575" s="21" t="s">
        <v>40</v>
      </c>
      <c r="AB575" s="21" t="s">
        <v>40</v>
      </c>
    </row>
    <row r="576" spans="1:28" ht="69.95" customHeight="1">
      <c r="A576" s="21">
        <v>2017</v>
      </c>
      <c r="B576" s="7" t="s">
        <v>296</v>
      </c>
      <c r="C576" s="7" t="s">
        <v>1889</v>
      </c>
      <c r="D576" s="24">
        <v>43088</v>
      </c>
      <c r="E576" s="7" t="s">
        <v>1890</v>
      </c>
      <c r="F576" s="7" t="s">
        <v>1211</v>
      </c>
      <c r="G576" s="23">
        <v>3998780.69</v>
      </c>
      <c r="H576" s="7" t="s">
        <v>1891</v>
      </c>
      <c r="I576" s="7" t="s">
        <v>1892</v>
      </c>
      <c r="J576" s="7" t="s">
        <v>1455</v>
      </c>
      <c r="K576" s="7" t="s">
        <v>1893</v>
      </c>
      <c r="L576" s="7" t="s">
        <v>1894</v>
      </c>
      <c r="M576" s="7" t="s">
        <v>1895</v>
      </c>
      <c r="N576" s="23">
        <v>3998780.69</v>
      </c>
      <c r="O576" s="21" t="s">
        <v>40</v>
      </c>
      <c r="P576" s="26" t="s">
        <v>1896</v>
      </c>
      <c r="Q576" s="22">
        <v>1134.727778093076</v>
      </c>
      <c r="R576" s="21" t="s">
        <v>42</v>
      </c>
      <c r="S576" s="25">
        <v>2687</v>
      </c>
      <c r="T576" s="7" t="s">
        <v>43</v>
      </c>
      <c r="U576" s="21" t="s">
        <v>584</v>
      </c>
      <c r="V576" s="24">
        <v>43088</v>
      </c>
      <c r="W576" s="24">
        <v>43174</v>
      </c>
      <c r="X576" s="21" t="s">
        <v>668</v>
      </c>
      <c r="Y576" s="21" t="s">
        <v>88</v>
      </c>
      <c r="Z576" s="21" t="s">
        <v>798</v>
      </c>
      <c r="AA576" s="21" t="s">
        <v>40</v>
      </c>
      <c r="AB576" s="21" t="s">
        <v>40</v>
      </c>
    </row>
    <row r="577" spans="1:28" ht="69.95" customHeight="1">
      <c r="A577" s="21">
        <v>2017</v>
      </c>
      <c r="B577" s="7" t="s">
        <v>296</v>
      </c>
      <c r="C577" s="7" t="s">
        <v>1897</v>
      </c>
      <c r="D577" s="24">
        <v>43088</v>
      </c>
      <c r="E577" s="7" t="s">
        <v>1898</v>
      </c>
      <c r="F577" s="7" t="s">
        <v>1211</v>
      </c>
      <c r="G577" s="23">
        <v>2795892.55</v>
      </c>
      <c r="H577" s="7" t="s">
        <v>1899</v>
      </c>
      <c r="I577" s="7" t="s">
        <v>1900</v>
      </c>
      <c r="J577" s="7" t="s">
        <v>1901</v>
      </c>
      <c r="K577" s="7" t="s">
        <v>1902</v>
      </c>
      <c r="L577" s="7" t="s">
        <v>1903</v>
      </c>
      <c r="M577" s="7" t="s">
        <v>1904</v>
      </c>
      <c r="N577" s="23">
        <v>2795892.55</v>
      </c>
      <c r="O577" s="21" t="s">
        <v>40</v>
      </c>
      <c r="P577" s="26" t="s">
        <v>1905</v>
      </c>
      <c r="Q577" s="22">
        <v>13313.774047619047</v>
      </c>
      <c r="R577" s="21" t="s">
        <v>42</v>
      </c>
      <c r="S577" s="25">
        <v>563</v>
      </c>
      <c r="T577" s="7" t="s">
        <v>43</v>
      </c>
      <c r="U577" s="21" t="s">
        <v>584</v>
      </c>
      <c r="V577" s="24">
        <v>43088</v>
      </c>
      <c r="W577" s="24">
        <v>43177</v>
      </c>
      <c r="X577" s="21" t="s">
        <v>668</v>
      </c>
      <c r="Y577" s="21" t="s">
        <v>88</v>
      </c>
      <c r="Z577" s="21" t="s">
        <v>798</v>
      </c>
      <c r="AA577" s="21" t="s">
        <v>40</v>
      </c>
      <c r="AB577" s="21" t="s">
        <v>40</v>
      </c>
    </row>
    <row r="578" spans="1:28" ht="69.95" customHeight="1">
      <c r="A578" s="21">
        <v>2017</v>
      </c>
      <c r="B578" s="7" t="s">
        <v>296</v>
      </c>
      <c r="C578" s="7" t="s">
        <v>1906</v>
      </c>
      <c r="D578" s="24">
        <v>43088</v>
      </c>
      <c r="E578" s="7" t="s">
        <v>1907</v>
      </c>
      <c r="F578" s="7" t="s">
        <v>1211</v>
      </c>
      <c r="G578" s="23">
        <v>3491530.1</v>
      </c>
      <c r="H578" s="7" t="s">
        <v>1908</v>
      </c>
      <c r="I578" s="7" t="s">
        <v>1909</v>
      </c>
      <c r="J578" s="7" t="s">
        <v>1636</v>
      </c>
      <c r="K578" s="7" t="s">
        <v>1910</v>
      </c>
      <c r="L578" s="7" t="s">
        <v>1911</v>
      </c>
      <c r="M578" s="7" t="s">
        <v>1912</v>
      </c>
      <c r="N578" s="23">
        <v>3491530.1</v>
      </c>
      <c r="O578" s="21" t="s">
        <v>40</v>
      </c>
      <c r="P578" s="26" t="s">
        <v>1863</v>
      </c>
      <c r="Q578" s="22">
        <v>1108.4222539682539</v>
      </c>
      <c r="R578" s="21" t="s">
        <v>42</v>
      </c>
      <c r="S578" s="25">
        <v>2684</v>
      </c>
      <c r="T578" s="7" t="s">
        <v>43</v>
      </c>
      <c r="U578" s="21" t="s">
        <v>584</v>
      </c>
      <c r="V578" s="24">
        <v>43088</v>
      </c>
      <c r="W578" s="24">
        <v>43177</v>
      </c>
      <c r="X578" s="21" t="s">
        <v>1062</v>
      </c>
      <c r="Y578" s="21" t="s">
        <v>1063</v>
      </c>
      <c r="Z578" s="21" t="s">
        <v>254</v>
      </c>
      <c r="AA578" s="21" t="s">
        <v>40</v>
      </c>
      <c r="AB578" s="21" t="s">
        <v>40</v>
      </c>
    </row>
    <row r="579" spans="1:28" ht="69.95" customHeight="1">
      <c r="A579" s="21">
        <v>2017</v>
      </c>
      <c r="B579" s="7" t="s">
        <v>296</v>
      </c>
      <c r="C579" s="7" t="s">
        <v>1913</v>
      </c>
      <c r="D579" s="24">
        <v>43088</v>
      </c>
      <c r="E579" s="7" t="s">
        <v>1914</v>
      </c>
      <c r="F579" s="7" t="s">
        <v>1211</v>
      </c>
      <c r="G579" s="23">
        <v>4950060.7300000004</v>
      </c>
      <c r="H579" s="7" t="s">
        <v>1915</v>
      </c>
      <c r="I579" s="7" t="s">
        <v>1355</v>
      </c>
      <c r="J579" s="7" t="s">
        <v>1356</v>
      </c>
      <c r="K579" s="7" t="s">
        <v>1357</v>
      </c>
      <c r="L579" s="7" t="s">
        <v>1358</v>
      </c>
      <c r="M579" s="7" t="s">
        <v>1359</v>
      </c>
      <c r="N579" s="23">
        <v>4950060.7300000004</v>
      </c>
      <c r="O579" s="21" t="s">
        <v>40</v>
      </c>
      <c r="P579" s="26" t="s">
        <v>1916</v>
      </c>
      <c r="Q579" s="22">
        <v>1320.0161946666667</v>
      </c>
      <c r="R579" s="21" t="s">
        <v>42</v>
      </c>
      <c r="S579" s="25">
        <v>985</v>
      </c>
      <c r="T579" s="7" t="s">
        <v>43</v>
      </c>
      <c r="U579" s="21" t="s">
        <v>584</v>
      </c>
      <c r="V579" s="24">
        <v>43088</v>
      </c>
      <c r="W579" s="24">
        <v>43177</v>
      </c>
      <c r="X579" s="21" t="s">
        <v>1026</v>
      </c>
      <c r="Y579" s="21" t="s">
        <v>1216</v>
      </c>
      <c r="Z579" s="21" t="s">
        <v>316</v>
      </c>
      <c r="AA579" s="21" t="s">
        <v>40</v>
      </c>
      <c r="AB579" s="21" t="s">
        <v>40</v>
      </c>
    </row>
    <row r="580" spans="1:28" ht="69.95" customHeight="1">
      <c r="A580" s="21">
        <v>2017</v>
      </c>
      <c r="B580" s="7" t="s">
        <v>296</v>
      </c>
      <c r="C580" s="7" t="s">
        <v>1917</v>
      </c>
      <c r="D580" s="24">
        <v>43088</v>
      </c>
      <c r="E580" s="7" t="s">
        <v>1918</v>
      </c>
      <c r="F580" s="7" t="s">
        <v>1211</v>
      </c>
      <c r="G580" s="23">
        <v>3994412.49</v>
      </c>
      <c r="H580" s="7" t="s">
        <v>1687</v>
      </c>
      <c r="I580" s="7" t="s">
        <v>1696</v>
      </c>
      <c r="J580" s="7" t="s">
        <v>1697</v>
      </c>
      <c r="K580" s="7" t="s">
        <v>1698</v>
      </c>
      <c r="L580" s="7" t="s">
        <v>1699</v>
      </c>
      <c r="M580" s="7" t="s">
        <v>1700</v>
      </c>
      <c r="N580" s="23">
        <v>3994412.49</v>
      </c>
      <c r="O580" s="21" t="s">
        <v>40</v>
      </c>
      <c r="P580" s="26" t="s">
        <v>1919</v>
      </c>
      <c r="Q580" s="22">
        <v>1143.8752835051548</v>
      </c>
      <c r="R580" s="21" t="s">
        <v>42</v>
      </c>
      <c r="S580" s="25">
        <v>825</v>
      </c>
      <c r="T580" s="7" t="s">
        <v>43</v>
      </c>
      <c r="U580" s="21" t="s">
        <v>584</v>
      </c>
      <c r="V580" s="24">
        <v>43088</v>
      </c>
      <c r="W580" s="24">
        <v>43177</v>
      </c>
      <c r="X580" s="21" t="s">
        <v>650</v>
      </c>
      <c r="Y580" s="21" t="s">
        <v>651</v>
      </c>
      <c r="Z580" s="21" t="s">
        <v>652</v>
      </c>
      <c r="AA580" s="21" t="s">
        <v>40</v>
      </c>
      <c r="AB580" s="21" t="s">
        <v>40</v>
      </c>
    </row>
    <row r="581" spans="1:28" ht="69.95" customHeight="1">
      <c r="A581" s="21">
        <v>2017</v>
      </c>
      <c r="B581" s="7" t="s">
        <v>296</v>
      </c>
      <c r="C581" s="7" t="s">
        <v>1920</v>
      </c>
      <c r="D581" s="24">
        <v>43088</v>
      </c>
      <c r="E581" s="7" t="s">
        <v>1921</v>
      </c>
      <c r="F581" s="7" t="s">
        <v>1211</v>
      </c>
      <c r="G581" s="23">
        <v>2886916.94</v>
      </c>
      <c r="H581" s="7" t="s">
        <v>1922</v>
      </c>
      <c r="I581" s="7" t="s">
        <v>1923</v>
      </c>
      <c r="J581" s="7" t="s">
        <v>1924</v>
      </c>
      <c r="K581" s="7" t="s">
        <v>1925</v>
      </c>
      <c r="L581" s="7" t="s">
        <v>1926</v>
      </c>
      <c r="M581" s="7" t="s">
        <v>85</v>
      </c>
      <c r="N581" s="23">
        <v>2886916.94</v>
      </c>
      <c r="O581" s="21" t="s">
        <v>40</v>
      </c>
      <c r="P581" s="26" t="s">
        <v>1927</v>
      </c>
      <c r="Q581" s="22">
        <v>6636.5906666666669</v>
      </c>
      <c r="R581" s="21" t="s">
        <v>42</v>
      </c>
      <c r="S581" s="25">
        <v>634</v>
      </c>
      <c r="T581" s="7" t="s">
        <v>43</v>
      </c>
      <c r="U581" s="21" t="s">
        <v>584</v>
      </c>
      <c r="V581" s="24">
        <v>43088</v>
      </c>
      <c r="W581" s="24">
        <v>43177</v>
      </c>
      <c r="X581" s="21" t="s">
        <v>544</v>
      </c>
      <c r="Y581" s="21" t="s">
        <v>545</v>
      </c>
      <c r="Z581" s="21" t="s">
        <v>212</v>
      </c>
      <c r="AA581" s="21" t="s">
        <v>40</v>
      </c>
      <c r="AB581" s="21" t="s">
        <v>40</v>
      </c>
    </row>
    <row r="582" spans="1:28" ht="69.95" customHeight="1">
      <c r="A582" s="21">
        <v>2017</v>
      </c>
      <c r="B582" s="7" t="s">
        <v>296</v>
      </c>
      <c r="C582" s="7" t="s">
        <v>1928</v>
      </c>
      <c r="D582" s="24">
        <v>43088</v>
      </c>
      <c r="E582" s="7" t="s">
        <v>1929</v>
      </c>
      <c r="F582" s="7" t="s">
        <v>1211</v>
      </c>
      <c r="G582" s="23">
        <v>5078968.1900000004</v>
      </c>
      <c r="H582" s="7" t="s">
        <v>1930</v>
      </c>
      <c r="I582" s="7" t="s">
        <v>1438</v>
      </c>
      <c r="J582" s="7" t="s">
        <v>1439</v>
      </c>
      <c r="K582" s="7" t="s">
        <v>1440</v>
      </c>
      <c r="L582" s="7" t="s">
        <v>1441</v>
      </c>
      <c r="M582" s="7" t="s">
        <v>1442</v>
      </c>
      <c r="N582" s="23">
        <v>5078968.1900000004</v>
      </c>
      <c r="O582" s="21" t="s">
        <v>40</v>
      </c>
      <c r="P582" s="26" t="s">
        <v>1931</v>
      </c>
      <c r="Q582" s="22">
        <v>827.73275586701436</v>
      </c>
      <c r="R582" s="21" t="s">
        <v>42</v>
      </c>
      <c r="S582" s="25">
        <v>1068</v>
      </c>
      <c r="T582" s="7" t="s">
        <v>43</v>
      </c>
      <c r="U582" s="21" t="s">
        <v>584</v>
      </c>
      <c r="V582" s="24">
        <v>43088</v>
      </c>
      <c r="W582" s="24">
        <v>43177</v>
      </c>
      <c r="X582" s="21" t="s">
        <v>699</v>
      </c>
      <c r="Y582" s="21" t="s">
        <v>513</v>
      </c>
      <c r="Z582" s="21" t="s">
        <v>280</v>
      </c>
      <c r="AA582" s="21" t="s">
        <v>40</v>
      </c>
      <c r="AB582" s="21" t="s">
        <v>40</v>
      </c>
    </row>
    <row r="583" spans="1:28" ht="69.95" customHeight="1">
      <c r="A583" s="21">
        <v>2017</v>
      </c>
      <c r="B583" s="7" t="s">
        <v>296</v>
      </c>
      <c r="C583" s="7" t="s">
        <v>1932</v>
      </c>
      <c r="D583" s="24">
        <v>43088</v>
      </c>
      <c r="E583" s="7" t="s">
        <v>1933</v>
      </c>
      <c r="F583" s="7" t="s">
        <v>1211</v>
      </c>
      <c r="G583" s="23">
        <v>1995958</v>
      </c>
      <c r="H583" s="7" t="s">
        <v>1934</v>
      </c>
      <c r="I583" s="7" t="s">
        <v>1500</v>
      </c>
      <c r="J583" s="7" t="s">
        <v>1935</v>
      </c>
      <c r="K583" s="7" t="s">
        <v>1349</v>
      </c>
      <c r="L583" s="7" t="s">
        <v>1936</v>
      </c>
      <c r="M583" s="7" t="s">
        <v>1937</v>
      </c>
      <c r="N583" s="23">
        <v>1995958</v>
      </c>
      <c r="O583" s="21" t="s">
        <v>40</v>
      </c>
      <c r="P583" s="26" t="s">
        <v>1938</v>
      </c>
      <c r="Q583" s="22">
        <v>3675.7974217311234</v>
      </c>
      <c r="R583" s="21" t="s">
        <v>42</v>
      </c>
      <c r="S583" s="25">
        <v>355</v>
      </c>
      <c r="T583" s="7" t="s">
        <v>43</v>
      </c>
      <c r="U583" s="21" t="s">
        <v>584</v>
      </c>
      <c r="V583" s="24">
        <v>43088</v>
      </c>
      <c r="W583" s="24">
        <v>43177</v>
      </c>
      <c r="X583" s="21" t="s">
        <v>668</v>
      </c>
      <c r="Y583" s="21" t="s">
        <v>88</v>
      </c>
      <c r="Z583" s="21" t="s">
        <v>798</v>
      </c>
      <c r="AA583" s="21" t="s">
        <v>40</v>
      </c>
      <c r="AB583" s="21" t="s">
        <v>40</v>
      </c>
    </row>
    <row r="584" spans="1:28" ht="69.95" customHeight="1">
      <c r="A584" s="21">
        <v>2017</v>
      </c>
      <c r="B584" s="7" t="s">
        <v>296</v>
      </c>
      <c r="C584" s="7" t="s">
        <v>1939</v>
      </c>
      <c r="D584" s="24">
        <v>43088</v>
      </c>
      <c r="E584" s="7" t="s">
        <v>1940</v>
      </c>
      <c r="F584" s="7" t="s">
        <v>1211</v>
      </c>
      <c r="G584" s="23">
        <v>3925636.16</v>
      </c>
      <c r="H584" s="7" t="s">
        <v>1941</v>
      </c>
      <c r="I584" s="7" t="s">
        <v>1575</v>
      </c>
      <c r="J584" s="7" t="s">
        <v>1576</v>
      </c>
      <c r="K584" s="7" t="s">
        <v>1577</v>
      </c>
      <c r="L584" s="7" t="s">
        <v>1578</v>
      </c>
      <c r="M584" s="7" t="s">
        <v>1579</v>
      </c>
      <c r="N584" s="23">
        <v>3925636.16</v>
      </c>
      <c r="O584" s="21" t="s">
        <v>40</v>
      </c>
      <c r="P584" s="26" t="s">
        <v>1942</v>
      </c>
      <c r="Q584" s="22">
        <v>2121.9654918918918</v>
      </c>
      <c r="R584" s="21" t="s">
        <v>42</v>
      </c>
      <c r="S584" s="25">
        <v>1678</v>
      </c>
      <c r="T584" s="7" t="s">
        <v>43</v>
      </c>
      <c r="U584" s="21" t="s">
        <v>584</v>
      </c>
      <c r="V584" s="24">
        <v>43088</v>
      </c>
      <c r="W584" s="24">
        <v>43177</v>
      </c>
      <c r="X584" s="21" t="s">
        <v>668</v>
      </c>
      <c r="Y584" s="21" t="s">
        <v>88</v>
      </c>
      <c r="Z584" s="21" t="s">
        <v>798</v>
      </c>
      <c r="AA584" s="21" t="s">
        <v>40</v>
      </c>
      <c r="AB584" s="21" t="s">
        <v>40</v>
      </c>
    </row>
    <row r="585" spans="1:28" ht="69.95" customHeight="1">
      <c r="A585" s="21">
        <v>2017</v>
      </c>
      <c r="B585" s="7" t="s">
        <v>296</v>
      </c>
      <c r="C585" s="7" t="s">
        <v>1943</v>
      </c>
      <c r="D585" s="24">
        <v>43088</v>
      </c>
      <c r="E585" s="7" t="s">
        <v>1944</v>
      </c>
      <c r="F585" s="7" t="s">
        <v>1211</v>
      </c>
      <c r="G585" s="23">
        <v>3092973.17</v>
      </c>
      <c r="H585" s="7" t="s">
        <v>1945</v>
      </c>
      <c r="I585" s="7" t="s">
        <v>1946</v>
      </c>
      <c r="J585" s="7" t="s">
        <v>1947</v>
      </c>
      <c r="K585" s="7" t="s">
        <v>1543</v>
      </c>
      <c r="L585" s="7" t="s">
        <v>1948</v>
      </c>
      <c r="M585" s="7" t="s">
        <v>1949</v>
      </c>
      <c r="N585" s="23">
        <v>3092973.17</v>
      </c>
      <c r="O585" s="21" t="s">
        <v>40</v>
      </c>
      <c r="P585" s="26" t="s">
        <v>1950</v>
      </c>
      <c r="Q585" s="22">
        <v>6470.655167364017</v>
      </c>
      <c r="R585" s="21" t="s">
        <v>42</v>
      </c>
      <c r="S585" s="25">
        <v>469</v>
      </c>
      <c r="T585" s="7" t="s">
        <v>43</v>
      </c>
      <c r="U585" s="21" t="s">
        <v>584</v>
      </c>
      <c r="V585" s="24">
        <v>43088</v>
      </c>
      <c r="W585" s="24">
        <v>43177</v>
      </c>
      <c r="X585" s="21" t="s">
        <v>668</v>
      </c>
      <c r="Y585" s="21" t="s">
        <v>88</v>
      </c>
      <c r="Z585" s="21" t="s">
        <v>798</v>
      </c>
      <c r="AA585" s="21" t="s">
        <v>40</v>
      </c>
      <c r="AB585" s="21" t="s">
        <v>40</v>
      </c>
    </row>
    <row r="586" spans="1:28" ht="69.95" customHeight="1">
      <c r="A586" s="21">
        <v>2017</v>
      </c>
      <c r="B586" s="7" t="s">
        <v>296</v>
      </c>
      <c r="C586" s="7" t="s">
        <v>1951</v>
      </c>
      <c r="D586" s="24">
        <v>43088</v>
      </c>
      <c r="E586" s="7" t="s">
        <v>1952</v>
      </c>
      <c r="F586" s="7" t="s">
        <v>1211</v>
      </c>
      <c r="G586" s="23">
        <v>5666226.9900000002</v>
      </c>
      <c r="H586" s="7" t="s">
        <v>1953</v>
      </c>
      <c r="I586" s="7" t="s">
        <v>1954</v>
      </c>
      <c r="J586" s="7" t="s">
        <v>1955</v>
      </c>
      <c r="K586" s="7" t="s">
        <v>1956</v>
      </c>
      <c r="L586" s="7" t="s">
        <v>1957</v>
      </c>
      <c r="M586" s="7" t="s">
        <v>1958</v>
      </c>
      <c r="N586" s="23">
        <v>5666226.9900000002</v>
      </c>
      <c r="O586" s="21" t="s">
        <v>40</v>
      </c>
      <c r="P586" s="26" t="s">
        <v>1959</v>
      </c>
      <c r="Q586" s="22">
        <v>1261.4040494211933</v>
      </c>
      <c r="R586" s="21" t="s">
        <v>42</v>
      </c>
      <c r="S586" s="25">
        <v>2481</v>
      </c>
      <c r="T586" s="7" t="s">
        <v>43</v>
      </c>
      <c r="U586" s="21" t="s">
        <v>584</v>
      </c>
      <c r="V586" s="24">
        <v>43088</v>
      </c>
      <c r="W586" s="24">
        <v>43177</v>
      </c>
      <c r="X586" s="21" t="s">
        <v>967</v>
      </c>
      <c r="Y586" s="21" t="s">
        <v>383</v>
      </c>
      <c r="Z586" s="21" t="s">
        <v>300</v>
      </c>
      <c r="AA586" s="21" t="s">
        <v>40</v>
      </c>
      <c r="AB586" s="21" t="s">
        <v>40</v>
      </c>
    </row>
    <row r="587" spans="1:28" ht="69.95" customHeight="1">
      <c r="A587" s="21">
        <v>2017</v>
      </c>
      <c r="B587" s="7" t="s">
        <v>296</v>
      </c>
      <c r="C587" s="7" t="s">
        <v>1960</v>
      </c>
      <c r="D587" s="24">
        <v>43088</v>
      </c>
      <c r="E587" s="7" t="s">
        <v>1961</v>
      </c>
      <c r="F587" s="7" t="s">
        <v>730</v>
      </c>
      <c r="G587" s="23">
        <v>5044118.71</v>
      </c>
      <c r="H587" s="7" t="s">
        <v>1962</v>
      </c>
      <c r="I587" s="7" t="s">
        <v>1557</v>
      </c>
      <c r="J587" s="7" t="s">
        <v>1558</v>
      </c>
      <c r="K587" s="7" t="s">
        <v>1559</v>
      </c>
      <c r="L587" s="7" t="s">
        <v>1560</v>
      </c>
      <c r="M587" s="7" t="s">
        <v>1561</v>
      </c>
      <c r="N587" s="23">
        <v>5044118.71</v>
      </c>
      <c r="O587" s="21" t="s">
        <v>40</v>
      </c>
      <c r="P587" s="26" t="s">
        <v>1963</v>
      </c>
      <c r="Q587" s="22">
        <v>6986.3140027700829</v>
      </c>
      <c r="R587" s="21" t="s">
        <v>42</v>
      </c>
      <c r="S587" s="25">
        <v>126</v>
      </c>
      <c r="T587" s="7" t="s">
        <v>43</v>
      </c>
      <c r="U587" s="21" t="s">
        <v>584</v>
      </c>
      <c r="V587" s="24">
        <v>43088</v>
      </c>
      <c r="W587" s="24">
        <v>43207</v>
      </c>
      <c r="X587" s="21" t="s">
        <v>605</v>
      </c>
      <c r="Y587" s="21" t="s">
        <v>442</v>
      </c>
      <c r="Z587" s="21" t="s">
        <v>101</v>
      </c>
      <c r="AA587" s="21" t="s">
        <v>40</v>
      </c>
      <c r="AB587" s="21" t="s">
        <v>40</v>
      </c>
    </row>
    <row r="588" spans="1:28" s="54" customFormat="1" ht="69.95" customHeight="1">
      <c r="A588" s="45">
        <v>2017</v>
      </c>
      <c r="B588" s="41" t="s">
        <v>296</v>
      </c>
      <c r="C588" s="7" t="s">
        <v>2292</v>
      </c>
      <c r="D588" s="24">
        <v>43133</v>
      </c>
      <c r="E588" s="47" t="s">
        <v>2293</v>
      </c>
      <c r="F588" s="41" t="s">
        <v>1614</v>
      </c>
      <c r="G588" s="49">
        <v>2994664.35</v>
      </c>
      <c r="H588" s="47" t="s">
        <v>1687</v>
      </c>
      <c r="I588" s="41" t="s">
        <v>2294</v>
      </c>
      <c r="J588" s="41" t="s">
        <v>2295</v>
      </c>
      <c r="K588" s="41" t="s">
        <v>1543</v>
      </c>
      <c r="L588" s="41" t="s">
        <v>2296</v>
      </c>
      <c r="M588" s="41" t="s">
        <v>2297</v>
      </c>
      <c r="N588" s="49">
        <v>2994664.35</v>
      </c>
      <c r="O588" s="40" t="s">
        <v>40</v>
      </c>
      <c r="P588" s="44" t="s">
        <v>2298</v>
      </c>
      <c r="Q588" s="53">
        <v>1229.3367610837438</v>
      </c>
      <c r="R588" s="40" t="s">
        <v>42</v>
      </c>
      <c r="S588" s="25">
        <v>21596</v>
      </c>
      <c r="T588" s="47" t="s">
        <v>43</v>
      </c>
      <c r="U588" s="45" t="s">
        <v>584</v>
      </c>
      <c r="V588" s="24">
        <v>43133</v>
      </c>
      <c r="W588" s="24">
        <v>43282</v>
      </c>
      <c r="X588" s="40" t="s">
        <v>999</v>
      </c>
      <c r="Y588" s="40" t="s">
        <v>1075</v>
      </c>
      <c r="Z588" s="40" t="s">
        <v>1001</v>
      </c>
      <c r="AA588" s="45" t="s">
        <v>40</v>
      </c>
      <c r="AB588" s="45" t="s">
        <v>40</v>
      </c>
    </row>
    <row r="589" spans="1:28" ht="69.95" customHeight="1">
      <c r="A589" s="21">
        <v>2017</v>
      </c>
      <c r="B589" s="21" t="s">
        <v>64</v>
      </c>
      <c r="C589" s="7" t="s">
        <v>1964</v>
      </c>
      <c r="D589" s="24">
        <v>43045</v>
      </c>
      <c r="E589" s="7" t="s">
        <v>1965</v>
      </c>
      <c r="F589" s="7" t="s">
        <v>730</v>
      </c>
      <c r="G589" s="23">
        <v>1664033.71</v>
      </c>
      <c r="H589" s="7" t="s">
        <v>1966</v>
      </c>
      <c r="I589" s="7" t="s">
        <v>1967</v>
      </c>
      <c r="J589" s="7" t="s">
        <v>1968</v>
      </c>
      <c r="K589" s="7" t="s">
        <v>1969</v>
      </c>
      <c r="L589" s="7" t="s">
        <v>1970</v>
      </c>
      <c r="M589" s="7" t="s">
        <v>1971</v>
      </c>
      <c r="N589" s="23">
        <v>1664033.71</v>
      </c>
      <c r="O589" s="21" t="s">
        <v>40</v>
      </c>
      <c r="P589" s="21" t="s">
        <v>1972</v>
      </c>
      <c r="Q589" s="23">
        <v>892.24327613941011</v>
      </c>
      <c r="R589" s="21" t="s">
        <v>42</v>
      </c>
      <c r="S589" s="25">
        <v>3689</v>
      </c>
      <c r="T589" s="7" t="s">
        <v>43</v>
      </c>
      <c r="U589" s="21" t="s">
        <v>584</v>
      </c>
      <c r="V589" s="24">
        <v>43045</v>
      </c>
      <c r="W589" s="24">
        <v>43100</v>
      </c>
      <c r="X589" s="21" t="s">
        <v>668</v>
      </c>
      <c r="Y589" s="21" t="s">
        <v>476</v>
      </c>
      <c r="Z589" s="21" t="s">
        <v>89</v>
      </c>
      <c r="AA589" s="21" t="s">
        <v>40</v>
      </c>
      <c r="AB589" s="21" t="s">
        <v>40</v>
      </c>
    </row>
    <row r="590" spans="1:28" ht="69.95" customHeight="1">
      <c r="A590" s="21">
        <v>2017</v>
      </c>
      <c r="B590" s="21" t="s">
        <v>64</v>
      </c>
      <c r="C590" s="7" t="s">
        <v>1973</v>
      </c>
      <c r="D590" s="24">
        <v>43040</v>
      </c>
      <c r="E590" s="7" t="s">
        <v>1974</v>
      </c>
      <c r="F590" s="7" t="s">
        <v>730</v>
      </c>
      <c r="G590" s="23">
        <v>1218435.67</v>
      </c>
      <c r="H590" s="7" t="s">
        <v>714</v>
      </c>
      <c r="I590" s="7" t="s">
        <v>1975</v>
      </c>
      <c r="J590" s="7" t="s">
        <v>1976</v>
      </c>
      <c r="K590" s="7" t="s">
        <v>1977</v>
      </c>
      <c r="L590" s="7" t="s">
        <v>1978</v>
      </c>
      <c r="M590" s="7" t="s">
        <v>1979</v>
      </c>
      <c r="N590" s="23">
        <v>1218435.67</v>
      </c>
      <c r="O590" s="21" t="s">
        <v>40</v>
      </c>
      <c r="P590" s="21" t="s">
        <v>1980</v>
      </c>
      <c r="Q590" s="23">
        <v>8520.5291608391599</v>
      </c>
      <c r="R590" s="21" t="s">
        <v>42</v>
      </c>
      <c r="S590" s="25">
        <v>426</v>
      </c>
      <c r="T590" s="7" t="s">
        <v>43</v>
      </c>
      <c r="U590" s="21" t="s">
        <v>584</v>
      </c>
      <c r="V590" s="24">
        <v>43040</v>
      </c>
      <c r="W590" s="24">
        <v>43084</v>
      </c>
      <c r="X590" s="21" t="s">
        <v>681</v>
      </c>
      <c r="Y590" s="21" t="s">
        <v>682</v>
      </c>
      <c r="Z590" s="21" t="s">
        <v>683</v>
      </c>
      <c r="AA590" s="21" t="s">
        <v>40</v>
      </c>
      <c r="AB590" s="21" t="s">
        <v>40</v>
      </c>
    </row>
    <row r="591" spans="1:28" ht="69.95" customHeight="1">
      <c r="A591" s="21">
        <v>2017</v>
      </c>
      <c r="B591" s="21" t="s">
        <v>64</v>
      </c>
      <c r="C591" s="7" t="s">
        <v>1981</v>
      </c>
      <c r="D591" s="24">
        <v>43040</v>
      </c>
      <c r="E591" s="7" t="s">
        <v>1982</v>
      </c>
      <c r="F591" s="7" t="s">
        <v>730</v>
      </c>
      <c r="G591" s="23">
        <v>1710522.15</v>
      </c>
      <c r="H591" s="7" t="s">
        <v>714</v>
      </c>
      <c r="I591" s="7" t="s">
        <v>1347</v>
      </c>
      <c r="J591" s="7" t="s">
        <v>1983</v>
      </c>
      <c r="K591" s="7" t="s">
        <v>1984</v>
      </c>
      <c r="L591" s="7" t="s">
        <v>1985</v>
      </c>
      <c r="M591" s="7" t="s">
        <v>1986</v>
      </c>
      <c r="N591" s="23">
        <v>1710522.15</v>
      </c>
      <c r="O591" s="21" t="s">
        <v>40</v>
      </c>
      <c r="P591" s="21" t="s">
        <v>1987</v>
      </c>
      <c r="Q591" s="23">
        <v>780.70385668644451</v>
      </c>
      <c r="R591" s="21" t="s">
        <v>42</v>
      </c>
      <c r="S591" s="25">
        <v>1868</v>
      </c>
      <c r="T591" s="7" t="s">
        <v>43</v>
      </c>
      <c r="U591" s="21" t="s">
        <v>584</v>
      </c>
      <c r="V591" s="24">
        <v>43040</v>
      </c>
      <c r="W591" s="24">
        <v>43084</v>
      </c>
      <c r="X591" s="21" t="s">
        <v>681</v>
      </c>
      <c r="Y591" s="21" t="s">
        <v>682</v>
      </c>
      <c r="Z591" s="21" t="s">
        <v>683</v>
      </c>
      <c r="AA591" s="21" t="s">
        <v>40</v>
      </c>
      <c r="AB591" s="21" t="s">
        <v>40</v>
      </c>
    </row>
    <row r="592" spans="1:28" ht="69.95" customHeight="1">
      <c r="A592" s="21">
        <v>2017</v>
      </c>
      <c r="B592" s="21" t="s">
        <v>64</v>
      </c>
      <c r="C592" s="7" t="s">
        <v>1988</v>
      </c>
      <c r="D592" s="24">
        <v>43063</v>
      </c>
      <c r="E592" s="7" t="s">
        <v>1989</v>
      </c>
      <c r="F592" s="7" t="s">
        <v>730</v>
      </c>
      <c r="G592" s="23">
        <v>1650458.56</v>
      </c>
      <c r="H592" s="7" t="s">
        <v>1127</v>
      </c>
      <c r="I592" s="7" t="s">
        <v>1990</v>
      </c>
      <c r="J592" s="7" t="s">
        <v>1991</v>
      </c>
      <c r="K592" s="7" t="s">
        <v>1455</v>
      </c>
      <c r="L592" s="7" t="s">
        <v>1992</v>
      </c>
      <c r="M592" s="7" t="s">
        <v>1993</v>
      </c>
      <c r="N592" s="23">
        <v>1650458.56</v>
      </c>
      <c r="O592" s="21" t="s">
        <v>40</v>
      </c>
      <c r="P592" s="21" t="s">
        <v>1994</v>
      </c>
      <c r="Q592" s="23">
        <v>1568.876958174905</v>
      </c>
      <c r="R592" s="21" t="s">
        <v>42</v>
      </c>
      <c r="S592" s="25">
        <v>986</v>
      </c>
      <c r="T592" s="7" t="s">
        <v>43</v>
      </c>
      <c r="U592" s="21" t="s">
        <v>584</v>
      </c>
      <c r="V592" s="24">
        <v>43063</v>
      </c>
      <c r="W592" s="24">
        <v>43145</v>
      </c>
      <c r="X592" s="21" t="s">
        <v>999</v>
      </c>
      <c r="Y592" s="21" t="s">
        <v>1075</v>
      </c>
      <c r="Z592" s="21" t="s">
        <v>1001</v>
      </c>
      <c r="AA592" s="21" t="s">
        <v>40</v>
      </c>
      <c r="AB592" s="21" t="s">
        <v>40</v>
      </c>
    </row>
    <row r="593" spans="1:28" ht="69.95" customHeight="1">
      <c r="A593" s="21">
        <v>2017</v>
      </c>
      <c r="B593" s="21" t="s">
        <v>64</v>
      </c>
      <c r="C593" s="7" t="s">
        <v>1995</v>
      </c>
      <c r="D593" s="24">
        <v>43031</v>
      </c>
      <c r="E593" s="7" t="s">
        <v>1996</v>
      </c>
      <c r="F593" s="7" t="s">
        <v>730</v>
      </c>
      <c r="G593" s="23">
        <v>1705874.36</v>
      </c>
      <c r="H593" s="7" t="s">
        <v>1997</v>
      </c>
      <c r="I593" s="7" t="s">
        <v>1712</v>
      </c>
      <c r="J593" s="7" t="s">
        <v>1439</v>
      </c>
      <c r="K593" s="7" t="s">
        <v>1607</v>
      </c>
      <c r="L593" s="7" t="s">
        <v>1713</v>
      </c>
      <c r="M593" s="7" t="s">
        <v>1714</v>
      </c>
      <c r="N593" s="23">
        <v>1705874.36</v>
      </c>
      <c r="O593" s="21" t="s">
        <v>40</v>
      </c>
      <c r="P593" s="21" t="s">
        <v>1998</v>
      </c>
      <c r="Q593" s="23">
        <v>391.61486685032139</v>
      </c>
      <c r="R593" s="21" t="s">
        <v>42</v>
      </c>
      <c r="S593" s="25">
        <v>695</v>
      </c>
      <c r="T593" s="7" t="s">
        <v>43</v>
      </c>
      <c r="U593" s="21" t="s">
        <v>584</v>
      </c>
      <c r="V593" s="24">
        <v>43031</v>
      </c>
      <c r="W593" s="24">
        <v>43100</v>
      </c>
      <c r="X593" s="21" t="s">
        <v>671</v>
      </c>
      <c r="Y593" s="21" t="s">
        <v>334</v>
      </c>
      <c r="Z593" s="21" t="s">
        <v>133</v>
      </c>
      <c r="AA593" s="21" t="s">
        <v>40</v>
      </c>
      <c r="AB593" s="21" t="s">
        <v>40</v>
      </c>
    </row>
    <row r="594" spans="1:28" ht="69.95" customHeight="1">
      <c r="A594" s="21">
        <v>2017</v>
      </c>
      <c r="B594" s="21" t="s">
        <v>64</v>
      </c>
      <c r="C594" s="7" t="s">
        <v>1999</v>
      </c>
      <c r="D594" s="24">
        <v>43046</v>
      </c>
      <c r="E594" s="7" t="s">
        <v>2000</v>
      </c>
      <c r="F594" s="7" t="s">
        <v>730</v>
      </c>
      <c r="G594" s="23">
        <v>1436854.75</v>
      </c>
      <c r="H594" s="7" t="s">
        <v>2001</v>
      </c>
      <c r="I594" s="7" t="s">
        <v>2002</v>
      </c>
      <c r="J594" s="7" t="s">
        <v>1471</v>
      </c>
      <c r="K594" s="7" t="s">
        <v>2003</v>
      </c>
      <c r="L594" s="7" t="s">
        <v>2004</v>
      </c>
      <c r="M594" s="7" t="s">
        <v>2005</v>
      </c>
      <c r="N594" s="23">
        <v>1436854.75</v>
      </c>
      <c r="O594" s="21" t="s">
        <v>40</v>
      </c>
      <c r="P594" s="21" t="s">
        <v>2006</v>
      </c>
      <c r="Q594" s="23">
        <v>598.68947916666662</v>
      </c>
      <c r="R594" s="21" t="s">
        <v>42</v>
      </c>
      <c r="S594" s="25">
        <v>5602</v>
      </c>
      <c r="T594" s="7" t="s">
        <v>43</v>
      </c>
      <c r="U594" s="21" t="s">
        <v>584</v>
      </c>
      <c r="V594" s="24">
        <v>43046</v>
      </c>
      <c r="W594" s="24">
        <v>43146</v>
      </c>
      <c r="X594" s="21" t="s">
        <v>846</v>
      </c>
      <c r="Y594" s="21" t="s">
        <v>847</v>
      </c>
      <c r="Z594" s="21" t="s">
        <v>848</v>
      </c>
      <c r="AA594" s="21" t="s">
        <v>40</v>
      </c>
      <c r="AB594" s="21" t="s">
        <v>40</v>
      </c>
    </row>
    <row r="595" spans="1:28" ht="69.95" customHeight="1">
      <c r="A595" s="21">
        <v>2017</v>
      </c>
      <c r="B595" s="21" t="s">
        <v>64</v>
      </c>
      <c r="C595" s="7" t="s">
        <v>2007</v>
      </c>
      <c r="D595" s="24">
        <v>43024</v>
      </c>
      <c r="E595" s="7" t="s">
        <v>2008</v>
      </c>
      <c r="F595" s="7" t="s">
        <v>730</v>
      </c>
      <c r="G595" s="23">
        <v>1554169.12</v>
      </c>
      <c r="H595" s="7" t="s">
        <v>1507</v>
      </c>
      <c r="I595" s="7" t="s">
        <v>2009</v>
      </c>
      <c r="J595" s="7" t="s">
        <v>1455</v>
      </c>
      <c r="K595" s="7" t="s">
        <v>2010</v>
      </c>
      <c r="L595" s="7" t="s">
        <v>2011</v>
      </c>
      <c r="M595" s="7" t="s">
        <v>2012</v>
      </c>
      <c r="N595" s="23">
        <v>1554169.12</v>
      </c>
      <c r="O595" s="21" t="s">
        <v>40</v>
      </c>
      <c r="P595" s="21" t="s">
        <v>2013</v>
      </c>
      <c r="Q595" s="23">
        <v>675.72570434782608</v>
      </c>
      <c r="R595" s="21" t="s">
        <v>42</v>
      </c>
      <c r="S595" s="25">
        <v>1163</v>
      </c>
      <c r="T595" s="7" t="s">
        <v>43</v>
      </c>
      <c r="U595" s="21" t="s">
        <v>584</v>
      </c>
      <c r="V595" s="24">
        <v>43024</v>
      </c>
      <c r="W595" s="24">
        <v>43084</v>
      </c>
      <c r="X595" s="21" t="s">
        <v>571</v>
      </c>
      <c r="Y595" s="21" t="s">
        <v>572</v>
      </c>
      <c r="Z595" s="21" t="s">
        <v>573</v>
      </c>
      <c r="AA595" s="21" t="s">
        <v>40</v>
      </c>
      <c r="AB595" s="21" t="s">
        <v>40</v>
      </c>
    </row>
    <row r="596" spans="1:28" ht="69.95" customHeight="1">
      <c r="A596" s="21">
        <v>2017</v>
      </c>
      <c r="B596" s="21" t="s">
        <v>64</v>
      </c>
      <c r="C596" s="7" t="s">
        <v>2014</v>
      </c>
      <c r="D596" s="24">
        <v>43042</v>
      </c>
      <c r="E596" s="7" t="s">
        <v>2015</v>
      </c>
      <c r="F596" s="7" t="s">
        <v>730</v>
      </c>
      <c r="G596" s="23">
        <v>1664300.46</v>
      </c>
      <c r="H596" s="7" t="s">
        <v>2016</v>
      </c>
      <c r="I596" s="7" t="s">
        <v>2017</v>
      </c>
      <c r="J596" s="7" t="s">
        <v>1803</v>
      </c>
      <c r="K596" s="7" t="s">
        <v>1331</v>
      </c>
      <c r="L596" s="7" t="s">
        <v>2018</v>
      </c>
      <c r="M596" s="7" t="s">
        <v>2019</v>
      </c>
      <c r="N596" s="23">
        <v>1664300.46</v>
      </c>
      <c r="O596" s="21" t="s">
        <v>40</v>
      </c>
      <c r="P596" s="21" t="s">
        <v>2020</v>
      </c>
      <c r="Q596" s="23">
        <v>3082.037888888889</v>
      </c>
      <c r="R596" s="21" t="s">
        <v>42</v>
      </c>
      <c r="S596" s="25">
        <v>124022</v>
      </c>
      <c r="T596" s="7" t="s">
        <v>43</v>
      </c>
      <c r="U596" s="21" t="s">
        <v>584</v>
      </c>
      <c r="V596" s="24">
        <v>43042</v>
      </c>
      <c r="W596" s="24">
        <v>43084</v>
      </c>
      <c r="X596" s="21" t="s">
        <v>605</v>
      </c>
      <c r="Y596" s="21" t="s">
        <v>442</v>
      </c>
      <c r="Z596" s="21" t="s">
        <v>101</v>
      </c>
      <c r="AA596" s="21" t="s">
        <v>40</v>
      </c>
      <c r="AB596" s="21" t="s">
        <v>40</v>
      </c>
    </row>
    <row r="597" spans="1:28" ht="69.95" customHeight="1">
      <c r="A597" s="21">
        <v>2017</v>
      </c>
      <c r="B597" s="21" t="s">
        <v>64</v>
      </c>
      <c r="C597" s="7" t="s">
        <v>2021</v>
      </c>
      <c r="D597" s="24">
        <v>43031</v>
      </c>
      <c r="E597" s="7" t="s">
        <v>2022</v>
      </c>
      <c r="F597" s="7" t="s">
        <v>730</v>
      </c>
      <c r="G597" s="23">
        <v>976825.88</v>
      </c>
      <c r="H597" s="7" t="s">
        <v>1398</v>
      </c>
      <c r="I597" s="7" t="s">
        <v>2023</v>
      </c>
      <c r="J597" s="7" t="s">
        <v>2024</v>
      </c>
      <c r="K597" s="7" t="s">
        <v>1471</v>
      </c>
      <c r="L597" s="7" t="s">
        <v>2025</v>
      </c>
      <c r="M597" s="7" t="s">
        <v>242</v>
      </c>
      <c r="N597" s="23">
        <v>976825.88</v>
      </c>
      <c r="O597" s="21" t="s">
        <v>40</v>
      </c>
      <c r="P597" s="21" t="s">
        <v>2026</v>
      </c>
      <c r="Q597" s="23">
        <v>39073.035199999998</v>
      </c>
      <c r="R597" s="21" t="s">
        <v>42</v>
      </c>
      <c r="S597" s="25" t="s">
        <v>232</v>
      </c>
      <c r="T597" s="7" t="s">
        <v>43</v>
      </c>
      <c r="U597" s="21" t="s">
        <v>584</v>
      </c>
      <c r="V597" s="24">
        <v>43031</v>
      </c>
      <c r="W597" s="24">
        <v>43131</v>
      </c>
      <c r="X597" s="21" t="s">
        <v>924</v>
      </c>
      <c r="Y597" s="21" t="s">
        <v>925</v>
      </c>
      <c r="Z597" s="21" t="s">
        <v>263</v>
      </c>
      <c r="AA597" s="21" t="s">
        <v>40</v>
      </c>
      <c r="AB597" s="21" t="s">
        <v>40</v>
      </c>
    </row>
    <row r="598" spans="1:28" ht="69.95" customHeight="1">
      <c r="A598" s="21">
        <v>2017</v>
      </c>
      <c r="B598" s="21" t="s">
        <v>64</v>
      </c>
      <c r="C598" s="7" t="s">
        <v>2027</v>
      </c>
      <c r="D598" s="24">
        <v>43060</v>
      </c>
      <c r="E598" s="7" t="s">
        <v>2028</v>
      </c>
      <c r="F598" s="7" t="s">
        <v>1211</v>
      </c>
      <c r="G598" s="23">
        <v>996458.25</v>
      </c>
      <c r="H598" s="7" t="s">
        <v>1320</v>
      </c>
      <c r="I598" s="7" t="s">
        <v>1802</v>
      </c>
      <c r="J598" s="7" t="s">
        <v>1803</v>
      </c>
      <c r="K598" s="7" t="s">
        <v>1804</v>
      </c>
      <c r="L598" s="7" t="s">
        <v>1805</v>
      </c>
      <c r="M598" s="7" t="s">
        <v>1806</v>
      </c>
      <c r="N598" s="23">
        <v>996458.25</v>
      </c>
      <c r="O598" s="21" t="s">
        <v>40</v>
      </c>
      <c r="P598" s="21" t="s">
        <v>946</v>
      </c>
      <c r="Q598" s="23">
        <v>996458.25</v>
      </c>
      <c r="R598" s="21" t="s">
        <v>42</v>
      </c>
      <c r="S598" s="25" t="s">
        <v>232</v>
      </c>
      <c r="T598" s="7" t="s">
        <v>43</v>
      </c>
      <c r="U598" s="21" t="s">
        <v>584</v>
      </c>
      <c r="V598" s="24">
        <v>43060</v>
      </c>
      <c r="W598" s="24">
        <v>43146</v>
      </c>
      <c r="X598" s="21" t="s">
        <v>924</v>
      </c>
      <c r="Y598" s="21" t="s">
        <v>925</v>
      </c>
      <c r="Z598" s="21" t="s">
        <v>263</v>
      </c>
      <c r="AA598" s="21" t="s">
        <v>40</v>
      </c>
      <c r="AB598" s="21" t="s">
        <v>40</v>
      </c>
    </row>
    <row r="599" spans="1:28" ht="69.95" customHeight="1">
      <c r="A599" s="21">
        <v>2017</v>
      </c>
      <c r="B599" s="21" t="s">
        <v>64</v>
      </c>
      <c r="C599" s="7" t="s">
        <v>2029</v>
      </c>
      <c r="D599" s="24">
        <v>43049</v>
      </c>
      <c r="E599" s="7" t="s">
        <v>2030</v>
      </c>
      <c r="F599" s="7" t="s">
        <v>1211</v>
      </c>
      <c r="G599" s="23">
        <v>485258.58</v>
      </c>
      <c r="H599" s="7" t="s">
        <v>2031</v>
      </c>
      <c r="I599" s="7" t="s">
        <v>2032</v>
      </c>
      <c r="J599" s="7" t="s">
        <v>2033</v>
      </c>
      <c r="K599" s="7" t="s">
        <v>2034</v>
      </c>
      <c r="L599" s="7" t="s">
        <v>2035</v>
      </c>
      <c r="M599" s="7" t="s">
        <v>2036</v>
      </c>
      <c r="N599" s="23">
        <v>485258.58</v>
      </c>
      <c r="O599" s="21" t="s">
        <v>40</v>
      </c>
      <c r="P599" s="21" t="s">
        <v>2037</v>
      </c>
      <c r="Q599" s="23">
        <v>670.2466574585635</v>
      </c>
      <c r="R599" s="21" t="s">
        <v>42</v>
      </c>
      <c r="S599" s="25">
        <v>6058</v>
      </c>
      <c r="T599" s="7" t="s">
        <v>43</v>
      </c>
      <c r="U599" s="21" t="s">
        <v>584</v>
      </c>
      <c r="V599" s="24">
        <v>43049</v>
      </c>
      <c r="W599" s="24">
        <v>43130</v>
      </c>
      <c r="X599" s="21" t="s">
        <v>1062</v>
      </c>
      <c r="Y599" s="21" t="s">
        <v>1063</v>
      </c>
      <c r="Z599" s="21" t="s">
        <v>254</v>
      </c>
      <c r="AA599" s="21" t="s">
        <v>40</v>
      </c>
      <c r="AB599" s="21" t="s">
        <v>40</v>
      </c>
    </row>
    <row r="600" spans="1:28" ht="69.95" customHeight="1">
      <c r="A600" s="21">
        <v>2017</v>
      </c>
      <c r="B600" s="21" t="s">
        <v>64</v>
      </c>
      <c r="C600" s="7" t="s">
        <v>2038</v>
      </c>
      <c r="D600" s="24">
        <v>43063</v>
      </c>
      <c r="E600" s="7" t="s">
        <v>2039</v>
      </c>
      <c r="F600" s="7" t="s">
        <v>1211</v>
      </c>
      <c r="G600" s="23">
        <v>997254.59</v>
      </c>
      <c r="H600" s="7" t="s">
        <v>2040</v>
      </c>
      <c r="I600" s="7" t="s">
        <v>2041</v>
      </c>
      <c r="J600" s="7" t="s">
        <v>2042</v>
      </c>
      <c r="K600" s="7" t="s">
        <v>1349</v>
      </c>
      <c r="L600" s="7" t="s">
        <v>2043</v>
      </c>
      <c r="M600" s="7" t="s">
        <v>2044</v>
      </c>
      <c r="N600" s="23">
        <v>997254.59</v>
      </c>
      <c r="O600" s="21" t="s">
        <v>40</v>
      </c>
      <c r="P600" s="21" t="s">
        <v>2045</v>
      </c>
      <c r="Q600" s="23">
        <v>3040.4103353658534</v>
      </c>
      <c r="R600" s="21" t="s">
        <v>42</v>
      </c>
      <c r="S600" s="25">
        <v>489</v>
      </c>
      <c r="T600" s="7" t="s">
        <v>43</v>
      </c>
      <c r="U600" s="21" t="s">
        <v>584</v>
      </c>
      <c r="V600" s="24">
        <v>43063</v>
      </c>
      <c r="W600" s="24">
        <v>43131</v>
      </c>
      <c r="X600" s="21" t="s">
        <v>1026</v>
      </c>
      <c r="Y600" s="21" t="s">
        <v>1065</v>
      </c>
      <c r="Z600" s="21" t="s">
        <v>139</v>
      </c>
      <c r="AA600" s="21" t="s">
        <v>40</v>
      </c>
      <c r="AB600" s="21" t="s">
        <v>40</v>
      </c>
    </row>
    <row r="601" spans="1:28" ht="69.95" customHeight="1">
      <c r="A601" s="21">
        <v>2017</v>
      </c>
      <c r="B601" s="21" t="s">
        <v>64</v>
      </c>
      <c r="C601" s="7" t="s">
        <v>2046</v>
      </c>
      <c r="D601" s="24">
        <v>43042</v>
      </c>
      <c r="E601" s="7" t="s">
        <v>2047</v>
      </c>
      <c r="F601" s="7" t="s">
        <v>730</v>
      </c>
      <c r="G601" s="23">
        <v>1680442.12</v>
      </c>
      <c r="H601" s="7" t="s">
        <v>1398</v>
      </c>
      <c r="I601" s="7" t="s">
        <v>1566</v>
      </c>
      <c r="J601" s="7" t="s">
        <v>1567</v>
      </c>
      <c r="K601" s="7" t="s">
        <v>1568</v>
      </c>
      <c r="L601" s="7" t="s">
        <v>1569</v>
      </c>
      <c r="M601" s="7" t="s">
        <v>1570</v>
      </c>
      <c r="N601" s="23">
        <v>1680442.12</v>
      </c>
      <c r="O601" s="21" t="s">
        <v>40</v>
      </c>
      <c r="P601" s="21" t="s">
        <v>2048</v>
      </c>
      <c r="Q601" s="23">
        <v>960.25264000000004</v>
      </c>
      <c r="R601" s="21" t="s">
        <v>42</v>
      </c>
      <c r="S601" s="25">
        <v>396</v>
      </c>
      <c r="T601" s="7" t="s">
        <v>43</v>
      </c>
      <c r="U601" s="21" t="s">
        <v>584</v>
      </c>
      <c r="V601" s="24">
        <v>43042</v>
      </c>
      <c r="W601" s="24">
        <v>43131</v>
      </c>
      <c r="X601" s="21" t="s">
        <v>671</v>
      </c>
      <c r="Y601" s="21" t="s">
        <v>334</v>
      </c>
      <c r="Z601" s="21" t="s">
        <v>133</v>
      </c>
      <c r="AA601" s="21" t="s">
        <v>40</v>
      </c>
      <c r="AB601" s="21" t="s">
        <v>40</v>
      </c>
    </row>
    <row r="602" spans="1:28" ht="69.95" customHeight="1">
      <c r="A602" s="21">
        <v>2017</v>
      </c>
      <c r="B602" s="21" t="s">
        <v>64</v>
      </c>
      <c r="C602" s="7" t="s">
        <v>2049</v>
      </c>
      <c r="D602" s="24">
        <v>43018</v>
      </c>
      <c r="E602" s="7" t="s">
        <v>2050</v>
      </c>
      <c r="F602" s="7" t="s">
        <v>1211</v>
      </c>
      <c r="G602" s="23">
        <v>491840</v>
      </c>
      <c r="H602" s="7" t="s">
        <v>1320</v>
      </c>
      <c r="I602" s="7" t="s">
        <v>2051</v>
      </c>
      <c r="J602" s="7" t="s">
        <v>2052</v>
      </c>
      <c r="K602" s="7" t="s">
        <v>2053</v>
      </c>
      <c r="L602" s="7" t="s">
        <v>2054</v>
      </c>
      <c r="M602" s="7" t="s">
        <v>2055</v>
      </c>
      <c r="N602" s="23">
        <v>491840</v>
      </c>
      <c r="O602" s="21" t="s">
        <v>40</v>
      </c>
      <c r="P602" s="21" t="s">
        <v>2056</v>
      </c>
      <c r="Q602" s="23">
        <v>122960</v>
      </c>
      <c r="R602" s="21" t="s">
        <v>42</v>
      </c>
      <c r="S602" s="25" t="s">
        <v>232</v>
      </c>
      <c r="T602" s="7" t="s">
        <v>43</v>
      </c>
      <c r="U602" s="21" t="s">
        <v>584</v>
      </c>
      <c r="V602" s="24">
        <v>43018</v>
      </c>
      <c r="W602" s="24">
        <v>43100</v>
      </c>
      <c r="X602" s="21" t="s">
        <v>924</v>
      </c>
      <c r="Y602" s="21" t="s">
        <v>925</v>
      </c>
      <c r="Z602" s="21" t="s">
        <v>263</v>
      </c>
      <c r="AA602" s="21" t="s">
        <v>40</v>
      </c>
      <c r="AB602" s="21" t="s">
        <v>40</v>
      </c>
    </row>
    <row r="603" spans="1:28" ht="69.95" customHeight="1">
      <c r="A603" s="21">
        <v>2017</v>
      </c>
      <c r="B603" s="21" t="s">
        <v>64</v>
      </c>
      <c r="C603" s="7" t="s">
        <v>2057</v>
      </c>
      <c r="D603" s="24">
        <v>43066</v>
      </c>
      <c r="E603" s="7" t="s">
        <v>2058</v>
      </c>
      <c r="F603" s="7" t="s">
        <v>1211</v>
      </c>
      <c r="G603" s="23">
        <v>95898.49</v>
      </c>
      <c r="H603" s="7" t="s">
        <v>1320</v>
      </c>
      <c r="I603" s="7" t="s">
        <v>2059</v>
      </c>
      <c r="J603" s="7" t="s">
        <v>2060</v>
      </c>
      <c r="K603" s="7" t="s">
        <v>2061</v>
      </c>
      <c r="L603" s="7" t="s">
        <v>2062</v>
      </c>
      <c r="M603" s="7" t="s">
        <v>2063</v>
      </c>
      <c r="N603" s="23">
        <v>95898.49</v>
      </c>
      <c r="O603" s="21" t="s">
        <v>40</v>
      </c>
      <c r="P603" s="21" t="s">
        <v>946</v>
      </c>
      <c r="Q603" s="23">
        <v>95898.49</v>
      </c>
      <c r="R603" s="21" t="s">
        <v>42</v>
      </c>
      <c r="S603" s="25" t="s">
        <v>232</v>
      </c>
      <c r="T603" s="7" t="s">
        <v>43</v>
      </c>
      <c r="U603" s="21" t="s">
        <v>584</v>
      </c>
      <c r="V603" s="24">
        <v>43066</v>
      </c>
      <c r="W603" s="24">
        <v>43131</v>
      </c>
      <c r="X603" s="21" t="s">
        <v>924</v>
      </c>
      <c r="Y603" s="21" t="s">
        <v>925</v>
      </c>
      <c r="Z603" s="21" t="s">
        <v>263</v>
      </c>
      <c r="AA603" s="21" t="s">
        <v>40</v>
      </c>
      <c r="AB603" s="21" t="s">
        <v>40</v>
      </c>
    </row>
    <row r="604" spans="1:28" ht="69.95" customHeight="1">
      <c r="A604" s="21">
        <v>2017</v>
      </c>
      <c r="B604" s="21" t="s">
        <v>64</v>
      </c>
      <c r="C604" s="7" t="s">
        <v>2064</v>
      </c>
      <c r="D604" s="24">
        <v>43084</v>
      </c>
      <c r="E604" s="7" t="s">
        <v>2065</v>
      </c>
      <c r="F604" s="7" t="s">
        <v>1211</v>
      </c>
      <c r="G604" s="23">
        <v>248650.88</v>
      </c>
      <c r="H604" s="7" t="s">
        <v>1320</v>
      </c>
      <c r="I604" s="7" t="s">
        <v>2066</v>
      </c>
      <c r="J604" s="7" t="s">
        <v>2067</v>
      </c>
      <c r="K604" s="7" t="s">
        <v>2068</v>
      </c>
      <c r="L604" s="7" t="s">
        <v>2069</v>
      </c>
      <c r="M604" s="7" t="s">
        <v>2070</v>
      </c>
      <c r="N604" s="23">
        <v>248650.88</v>
      </c>
      <c r="O604" s="21" t="s">
        <v>40</v>
      </c>
      <c r="P604" s="21" t="s">
        <v>946</v>
      </c>
      <c r="Q604" s="23">
        <v>248650.88</v>
      </c>
      <c r="R604" s="21" t="s">
        <v>42</v>
      </c>
      <c r="S604" s="25" t="s">
        <v>232</v>
      </c>
      <c r="T604" s="7" t="s">
        <v>43</v>
      </c>
      <c r="U604" s="21" t="s">
        <v>584</v>
      </c>
      <c r="V604" s="24">
        <v>43084</v>
      </c>
      <c r="W604" s="24">
        <v>43131</v>
      </c>
      <c r="X604" s="21" t="s">
        <v>924</v>
      </c>
      <c r="Y604" s="21" t="s">
        <v>925</v>
      </c>
      <c r="Z604" s="21" t="s">
        <v>263</v>
      </c>
      <c r="AA604" s="21" t="s">
        <v>40</v>
      </c>
      <c r="AB604" s="21" t="s">
        <v>40</v>
      </c>
    </row>
    <row r="605" spans="1:28" ht="69.95" customHeight="1">
      <c r="A605" s="21">
        <v>2017</v>
      </c>
      <c r="B605" s="21" t="s">
        <v>64</v>
      </c>
      <c r="C605" s="7" t="s">
        <v>2071</v>
      </c>
      <c r="D605" s="24">
        <v>43084</v>
      </c>
      <c r="E605" s="7" t="s">
        <v>2072</v>
      </c>
      <c r="F605" s="7" t="s">
        <v>730</v>
      </c>
      <c r="G605" s="23">
        <v>1558918.75</v>
      </c>
      <c r="H605" s="7" t="s">
        <v>436</v>
      </c>
      <c r="I605" s="7" t="s">
        <v>1990</v>
      </c>
      <c r="J605" s="7" t="s">
        <v>1991</v>
      </c>
      <c r="K605" s="7" t="s">
        <v>1455</v>
      </c>
      <c r="L605" s="7" t="s">
        <v>1992</v>
      </c>
      <c r="M605" s="7" t="s">
        <v>1993</v>
      </c>
      <c r="N605" s="23">
        <v>1558918.75</v>
      </c>
      <c r="O605" s="21" t="s">
        <v>40</v>
      </c>
      <c r="P605" s="21" t="s">
        <v>2073</v>
      </c>
      <c r="Q605" s="23">
        <v>4236.192255434783</v>
      </c>
      <c r="R605" s="21" t="s">
        <v>42</v>
      </c>
      <c r="S605" s="25">
        <v>128961</v>
      </c>
      <c r="T605" s="7" t="s">
        <v>43</v>
      </c>
      <c r="U605" s="21" t="s">
        <v>584</v>
      </c>
      <c r="V605" s="24">
        <v>43084</v>
      </c>
      <c r="W605" s="24">
        <v>43131</v>
      </c>
      <c r="X605" s="21" t="s">
        <v>842</v>
      </c>
      <c r="Y605" s="21" t="s">
        <v>519</v>
      </c>
      <c r="Z605" s="21" t="s">
        <v>63</v>
      </c>
      <c r="AA605" s="21" t="s">
        <v>40</v>
      </c>
      <c r="AB605" s="21" t="s">
        <v>40</v>
      </c>
    </row>
    <row r="606" spans="1:28" ht="69.95" customHeight="1">
      <c r="A606" s="21">
        <v>2017</v>
      </c>
      <c r="B606" s="21" t="s">
        <v>64</v>
      </c>
      <c r="C606" s="7" t="s">
        <v>2074</v>
      </c>
      <c r="D606" s="24">
        <v>43045</v>
      </c>
      <c r="E606" s="7" t="s">
        <v>2075</v>
      </c>
      <c r="F606" s="7" t="s">
        <v>1164</v>
      </c>
      <c r="G606" s="23">
        <v>1620156.15</v>
      </c>
      <c r="H606" s="7" t="s">
        <v>2076</v>
      </c>
      <c r="I606" s="7" t="s">
        <v>2077</v>
      </c>
      <c r="J606" s="7" t="s">
        <v>1481</v>
      </c>
      <c r="K606" s="7" t="s">
        <v>1463</v>
      </c>
      <c r="L606" s="7" t="s">
        <v>2078</v>
      </c>
      <c r="M606" s="7" t="s">
        <v>2079</v>
      </c>
      <c r="N606" s="23">
        <v>1620156.15</v>
      </c>
      <c r="O606" s="21" t="s">
        <v>40</v>
      </c>
      <c r="P606" s="21" t="s">
        <v>2080</v>
      </c>
      <c r="Q606" s="23">
        <v>6183.802099236641</v>
      </c>
      <c r="R606" s="21" t="s">
        <v>42</v>
      </c>
      <c r="S606" s="25">
        <v>352</v>
      </c>
      <c r="T606" s="7" t="s">
        <v>43</v>
      </c>
      <c r="U606" s="21" t="s">
        <v>584</v>
      </c>
      <c r="V606" s="24">
        <v>43045</v>
      </c>
      <c r="W606" s="24">
        <v>43100</v>
      </c>
      <c r="X606" s="21" t="s">
        <v>699</v>
      </c>
      <c r="Y606" s="21" t="s">
        <v>513</v>
      </c>
      <c r="Z606" s="21" t="s">
        <v>280</v>
      </c>
      <c r="AA606" s="21" t="s">
        <v>40</v>
      </c>
      <c r="AB606" s="21" t="s">
        <v>40</v>
      </c>
    </row>
    <row r="607" spans="1:28" ht="69.95" customHeight="1">
      <c r="A607" s="21">
        <v>2017</v>
      </c>
      <c r="B607" s="21" t="s">
        <v>64</v>
      </c>
      <c r="C607" s="7" t="s">
        <v>2081</v>
      </c>
      <c r="D607" s="24">
        <v>43045</v>
      </c>
      <c r="E607" s="7" t="s">
        <v>2082</v>
      </c>
      <c r="F607" s="7" t="s">
        <v>1829</v>
      </c>
      <c r="G607" s="23">
        <v>1557137.55</v>
      </c>
      <c r="H607" s="7" t="s">
        <v>2076</v>
      </c>
      <c r="I607" s="7" t="s">
        <v>1868</v>
      </c>
      <c r="J607" s="7" t="s">
        <v>1869</v>
      </c>
      <c r="K607" s="7" t="s">
        <v>1400</v>
      </c>
      <c r="L607" s="7" t="s">
        <v>2083</v>
      </c>
      <c r="M607" s="7" t="s">
        <v>2084</v>
      </c>
      <c r="N607" s="23">
        <v>1557137.55</v>
      </c>
      <c r="O607" s="21" t="s">
        <v>40</v>
      </c>
      <c r="P607" s="21" t="s">
        <v>2085</v>
      </c>
      <c r="Q607" s="23">
        <v>6012.1140926640928</v>
      </c>
      <c r="R607" s="21" t="s">
        <v>42</v>
      </c>
      <c r="S607" s="25">
        <v>352</v>
      </c>
      <c r="T607" s="7" t="s">
        <v>43</v>
      </c>
      <c r="U607" s="21" t="s">
        <v>584</v>
      </c>
      <c r="V607" s="24">
        <v>43045</v>
      </c>
      <c r="W607" s="24">
        <v>43100</v>
      </c>
      <c r="X607" s="21" t="s">
        <v>699</v>
      </c>
      <c r="Y607" s="21" t="s">
        <v>513</v>
      </c>
      <c r="Z607" s="21" t="s">
        <v>280</v>
      </c>
      <c r="AA607" s="21" t="s">
        <v>40</v>
      </c>
      <c r="AB607" s="21" t="s">
        <v>40</v>
      </c>
    </row>
    <row r="608" spans="1:28" ht="69.95" customHeight="1">
      <c r="A608" s="21">
        <v>2017</v>
      </c>
      <c r="B608" s="21" t="s">
        <v>64</v>
      </c>
      <c r="C608" s="7" t="s">
        <v>2086</v>
      </c>
      <c r="D608" s="24">
        <v>43045</v>
      </c>
      <c r="E608" s="7" t="s">
        <v>2087</v>
      </c>
      <c r="F608" s="7" t="s">
        <v>2088</v>
      </c>
      <c r="G608" s="23">
        <v>991771.16</v>
      </c>
      <c r="H608" s="7" t="s">
        <v>2076</v>
      </c>
      <c r="I608" s="7" t="s">
        <v>2089</v>
      </c>
      <c r="J608" s="7" t="s">
        <v>2090</v>
      </c>
      <c r="K608" s="7" t="s">
        <v>2091</v>
      </c>
      <c r="L608" s="7" t="s">
        <v>2092</v>
      </c>
      <c r="M608" s="7" t="s">
        <v>2093</v>
      </c>
      <c r="N608" s="23">
        <v>991771.16</v>
      </c>
      <c r="O608" s="21" t="s">
        <v>40</v>
      </c>
      <c r="P608" s="21" t="s">
        <v>51</v>
      </c>
      <c r="Q608" s="23">
        <v>991771.16</v>
      </c>
      <c r="R608" s="21" t="s">
        <v>42</v>
      </c>
      <c r="S608" s="25">
        <v>352</v>
      </c>
      <c r="T608" s="7" t="s">
        <v>43</v>
      </c>
      <c r="U608" s="21" t="s">
        <v>584</v>
      </c>
      <c r="V608" s="24">
        <v>43045</v>
      </c>
      <c r="W608" s="24">
        <v>43100</v>
      </c>
      <c r="X608" s="21" t="s">
        <v>699</v>
      </c>
      <c r="Y608" s="21" t="s">
        <v>513</v>
      </c>
      <c r="Z608" s="21" t="s">
        <v>280</v>
      </c>
      <c r="AA608" s="21" t="s">
        <v>40</v>
      </c>
      <c r="AB608" s="21" t="s">
        <v>40</v>
      </c>
    </row>
    <row r="609" spans="1:28" ht="69.95" customHeight="1">
      <c r="A609" s="21">
        <v>2017</v>
      </c>
      <c r="B609" s="21" t="s">
        <v>64</v>
      </c>
      <c r="C609" s="7" t="s">
        <v>2094</v>
      </c>
      <c r="D609" s="24">
        <v>43045</v>
      </c>
      <c r="E609" s="7" t="s">
        <v>2095</v>
      </c>
      <c r="F609" s="7" t="s">
        <v>2096</v>
      </c>
      <c r="G609" s="23">
        <v>1510992.13</v>
      </c>
      <c r="H609" s="7" t="s">
        <v>2097</v>
      </c>
      <c r="I609" s="7" t="s">
        <v>1758</v>
      </c>
      <c r="J609" s="7" t="s">
        <v>1759</v>
      </c>
      <c r="K609" s="7" t="s">
        <v>1760</v>
      </c>
      <c r="L609" s="7" t="s">
        <v>1761</v>
      </c>
      <c r="M609" s="7" t="s">
        <v>1762</v>
      </c>
      <c r="N609" s="23">
        <v>1510992.13</v>
      </c>
      <c r="O609" s="21" t="s">
        <v>40</v>
      </c>
      <c r="P609" s="21" t="s">
        <v>2098</v>
      </c>
      <c r="Q609" s="23">
        <v>1529.3442611336031</v>
      </c>
      <c r="R609" s="21" t="s">
        <v>42</v>
      </c>
      <c r="S609" s="25">
        <v>698</v>
      </c>
      <c r="T609" s="7" t="s">
        <v>43</v>
      </c>
      <c r="U609" s="21" t="s">
        <v>584</v>
      </c>
      <c r="V609" s="24">
        <v>43045</v>
      </c>
      <c r="W609" s="24">
        <v>43100</v>
      </c>
      <c r="X609" s="21" t="s">
        <v>1026</v>
      </c>
      <c r="Y609" s="21" t="s">
        <v>1065</v>
      </c>
      <c r="Z609" s="21" t="s">
        <v>139</v>
      </c>
      <c r="AA609" s="21" t="s">
        <v>40</v>
      </c>
      <c r="AB609" s="21" t="s">
        <v>40</v>
      </c>
    </row>
    <row r="610" spans="1:28" ht="69.95" customHeight="1">
      <c r="A610" s="21">
        <v>2017</v>
      </c>
      <c r="B610" s="21" t="s">
        <v>64</v>
      </c>
      <c r="C610" s="7" t="s">
        <v>2099</v>
      </c>
      <c r="D610" s="24">
        <v>43045</v>
      </c>
      <c r="E610" s="7" t="s">
        <v>2100</v>
      </c>
      <c r="F610" s="7" t="s">
        <v>2101</v>
      </c>
      <c r="G610" s="23">
        <v>1622165.56</v>
      </c>
      <c r="H610" s="7" t="s">
        <v>2097</v>
      </c>
      <c r="I610" s="7" t="s">
        <v>2102</v>
      </c>
      <c r="J610" s="7" t="s">
        <v>1401</v>
      </c>
      <c r="K610" s="7" t="s">
        <v>2103</v>
      </c>
      <c r="L610" s="7" t="s">
        <v>2104</v>
      </c>
      <c r="M610" s="7" t="s">
        <v>2105</v>
      </c>
      <c r="N610" s="23">
        <v>1622165.56</v>
      </c>
      <c r="O610" s="21" t="s">
        <v>40</v>
      </c>
      <c r="P610" s="21" t="s">
        <v>2106</v>
      </c>
      <c r="Q610" s="23">
        <v>1631.9573038229378</v>
      </c>
      <c r="R610" s="21" t="s">
        <v>42</v>
      </c>
      <c r="S610" s="25">
        <v>698</v>
      </c>
      <c r="T610" s="7" t="s">
        <v>43</v>
      </c>
      <c r="U610" s="21" t="s">
        <v>584</v>
      </c>
      <c r="V610" s="24">
        <v>43045</v>
      </c>
      <c r="W610" s="24">
        <v>43100</v>
      </c>
      <c r="X610" s="21" t="s">
        <v>1026</v>
      </c>
      <c r="Y610" s="21" t="s">
        <v>1065</v>
      </c>
      <c r="Z610" s="21" t="s">
        <v>139</v>
      </c>
      <c r="AA610" s="21" t="s">
        <v>40</v>
      </c>
      <c r="AB610" s="21" t="s">
        <v>40</v>
      </c>
    </row>
    <row r="611" spans="1:28" ht="69.95" customHeight="1">
      <c r="A611" s="21">
        <v>2017</v>
      </c>
      <c r="B611" s="21" t="s">
        <v>64</v>
      </c>
      <c r="C611" s="7" t="s">
        <v>2107</v>
      </c>
      <c r="D611" s="24">
        <v>43045</v>
      </c>
      <c r="E611" s="7" t="s">
        <v>2108</v>
      </c>
      <c r="F611" s="7" t="s">
        <v>730</v>
      </c>
      <c r="G611" s="23">
        <v>1452125.63</v>
      </c>
      <c r="H611" s="7" t="s">
        <v>714</v>
      </c>
      <c r="I611" s="7" t="s">
        <v>2109</v>
      </c>
      <c r="J611" s="7" t="s">
        <v>2110</v>
      </c>
      <c r="K611" s="7" t="s">
        <v>2111</v>
      </c>
      <c r="L611" s="7" t="s">
        <v>2112</v>
      </c>
      <c r="M611" s="7" t="s">
        <v>2113</v>
      </c>
      <c r="N611" s="23">
        <v>1452125.63</v>
      </c>
      <c r="O611" s="21" t="s">
        <v>40</v>
      </c>
      <c r="P611" s="21" t="s">
        <v>2114</v>
      </c>
      <c r="Q611" s="23">
        <v>1422.258207639569</v>
      </c>
      <c r="R611" s="21" t="s">
        <v>42</v>
      </c>
      <c r="S611" s="25">
        <v>752</v>
      </c>
      <c r="T611" s="7" t="s">
        <v>43</v>
      </c>
      <c r="U611" s="21" t="s">
        <v>584</v>
      </c>
      <c r="V611" s="24">
        <v>43045</v>
      </c>
      <c r="W611" s="24">
        <v>43100</v>
      </c>
      <c r="X611" s="21" t="s">
        <v>681</v>
      </c>
      <c r="Y611" s="21" t="s">
        <v>682</v>
      </c>
      <c r="Z611" s="21" t="s">
        <v>683</v>
      </c>
      <c r="AA611" s="21" t="s">
        <v>40</v>
      </c>
      <c r="AB611" s="21" t="s">
        <v>40</v>
      </c>
    </row>
    <row r="612" spans="1:28" ht="69.95" customHeight="1">
      <c r="A612" s="21">
        <v>2017</v>
      </c>
      <c r="B612" s="21" t="s">
        <v>64</v>
      </c>
      <c r="C612" s="7" t="s">
        <v>2115</v>
      </c>
      <c r="D612" s="24">
        <v>43045</v>
      </c>
      <c r="E612" s="7" t="s">
        <v>2116</v>
      </c>
      <c r="F612" s="7" t="s">
        <v>730</v>
      </c>
      <c r="G612" s="23">
        <v>1485030.58</v>
      </c>
      <c r="H612" s="7" t="s">
        <v>1915</v>
      </c>
      <c r="I612" s="7" t="s">
        <v>2117</v>
      </c>
      <c r="J612" s="7" t="s">
        <v>1847</v>
      </c>
      <c r="K612" s="7" t="s">
        <v>2118</v>
      </c>
      <c r="L612" s="7" t="s">
        <v>2119</v>
      </c>
      <c r="M612" s="7" t="s">
        <v>2120</v>
      </c>
      <c r="N612" s="23">
        <v>1485030.58</v>
      </c>
      <c r="O612" s="21" t="s">
        <v>40</v>
      </c>
      <c r="P612" s="21" t="s">
        <v>667</v>
      </c>
      <c r="Q612" s="23">
        <v>1197.6053064516129</v>
      </c>
      <c r="R612" s="21" t="s">
        <v>42</v>
      </c>
      <c r="S612" s="25">
        <v>8450</v>
      </c>
      <c r="T612" s="7" t="s">
        <v>43</v>
      </c>
      <c r="U612" s="21" t="s">
        <v>584</v>
      </c>
      <c r="V612" s="24">
        <v>43045</v>
      </c>
      <c r="W612" s="24">
        <v>43100</v>
      </c>
      <c r="X612" s="21" t="s">
        <v>668</v>
      </c>
      <c r="Y612" s="21" t="s">
        <v>476</v>
      </c>
      <c r="Z612" s="21" t="s">
        <v>89</v>
      </c>
      <c r="AA612" s="21" t="s">
        <v>40</v>
      </c>
      <c r="AB612" s="21" t="s">
        <v>40</v>
      </c>
    </row>
    <row r="613" spans="1:28" ht="69.95" customHeight="1">
      <c r="A613" s="21">
        <v>2017</v>
      </c>
      <c r="B613" s="21" t="s">
        <v>64</v>
      </c>
      <c r="C613" s="7" t="s">
        <v>2121</v>
      </c>
      <c r="D613" s="24">
        <v>43045</v>
      </c>
      <c r="E613" s="7" t="s">
        <v>2122</v>
      </c>
      <c r="F613" s="7" t="s">
        <v>730</v>
      </c>
      <c r="G613" s="23">
        <v>1134380.3999999999</v>
      </c>
      <c r="H613" s="7" t="s">
        <v>1915</v>
      </c>
      <c r="I613" s="7" t="s">
        <v>2123</v>
      </c>
      <c r="J613" s="7" t="s">
        <v>2124</v>
      </c>
      <c r="K613" s="7" t="s">
        <v>2125</v>
      </c>
      <c r="L613" s="7" t="s">
        <v>2126</v>
      </c>
      <c r="M613" s="7" t="s">
        <v>2127</v>
      </c>
      <c r="N613" s="23">
        <v>1134380.3999999999</v>
      </c>
      <c r="O613" s="21" t="s">
        <v>40</v>
      </c>
      <c r="P613" s="21" t="s">
        <v>667</v>
      </c>
      <c r="Q613" s="23">
        <v>914.82290322580639</v>
      </c>
      <c r="R613" s="21" t="s">
        <v>42</v>
      </c>
      <c r="S613" s="25">
        <v>8450</v>
      </c>
      <c r="T613" s="7" t="s">
        <v>43</v>
      </c>
      <c r="U613" s="21" t="s">
        <v>584</v>
      </c>
      <c r="V613" s="24">
        <v>43045</v>
      </c>
      <c r="W613" s="24">
        <v>43100</v>
      </c>
      <c r="X613" s="21" t="s">
        <v>668</v>
      </c>
      <c r="Y613" s="21" t="s">
        <v>476</v>
      </c>
      <c r="Z613" s="21" t="s">
        <v>89</v>
      </c>
      <c r="AA613" s="21" t="s">
        <v>40</v>
      </c>
      <c r="AB613" s="21" t="s">
        <v>40</v>
      </c>
    </row>
    <row r="614" spans="1:28" ht="69.95" customHeight="1">
      <c r="A614" s="21">
        <v>2017</v>
      </c>
      <c r="B614" s="21" t="s">
        <v>64</v>
      </c>
      <c r="C614" s="7" t="s">
        <v>2128</v>
      </c>
      <c r="D614" s="24">
        <v>43060</v>
      </c>
      <c r="E614" s="7" t="s">
        <v>2129</v>
      </c>
      <c r="F614" s="7" t="s">
        <v>730</v>
      </c>
      <c r="G614" s="23">
        <v>1350236.78</v>
      </c>
      <c r="H614" s="7" t="s">
        <v>2130</v>
      </c>
      <c r="I614" s="7" t="s">
        <v>1838</v>
      </c>
      <c r="J614" s="7" t="s">
        <v>1839</v>
      </c>
      <c r="K614" s="7" t="s">
        <v>1840</v>
      </c>
      <c r="L614" s="7" t="s">
        <v>1841</v>
      </c>
      <c r="M614" s="7" t="s">
        <v>1842</v>
      </c>
      <c r="N614" s="23">
        <v>1350236.78</v>
      </c>
      <c r="O614" s="21" t="s">
        <v>40</v>
      </c>
      <c r="P614" s="21" t="s">
        <v>2131</v>
      </c>
      <c r="Q614" s="23">
        <v>826.84432333129212</v>
      </c>
      <c r="R614" s="21" t="s">
        <v>42</v>
      </c>
      <c r="S614" s="25">
        <v>3469</v>
      </c>
      <c r="T614" s="7" t="s">
        <v>43</v>
      </c>
      <c r="U614" s="21" t="s">
        <v>584</v>
      </c>
      <c r="V614" s="24">
        <v>43060</v>
      </c>
      <c r="W614" s="24">
        <v>43153</v>
      </c>
      <c r="X614" s="21" t="s">
        <v>1086</v>
      </c>
      <c r="Y614" s="21" t="s">
        <v>687</v>
      </c>
      <c r="Z614" s="21" t="s">
        <v>268</v>
      </c>
      <c r="AA614" s="21" t="s">
        <v>40</v>
      </c>
      <c r="AB614" s="21" t="s">
        <v>40</v>
      </c>
    </row>
    <row r="615" spans="1:28" ht="69.95" customHeight="1">
      <c r="A615" s="21">
        <v>2017</v>
      </c>
      <c r="B615" s="21" t="s">
        <v>64</v>
      </c>
      <c r="C615" s="7" t="s">
        <v>2132</v>
      </c>
      <c r="D615" s="24">
        <v>43060</v>
      </c>
      <c r="E615" s="7" t="s">
        <v>2133</v>
      </c>
      <c r="F615" s="7" t="s">
        <v>730</v>
      </c>
      <c r="G615" s="23">
        <v>1385698.44</v>
      </c>
      <c r="H615" s="7" t="s">
        <v>2134</v>
      </c>
      <c r="I615" s="7" t="s">
        <v>1355</v>
      </c>
      <c r="J615" s="7" t="s">
        <v>1356</v>
      </c>
      <c r="K615" s="7" t="s">
        <v>1357</v>
      </c>
      <c r="L615" s="7" t="s">
        <v>1358</v>
      </c>
      <c r="M615" s="7" t="s">
        <v>1359</v>
      </c>
      <c r="N615" s="23">
        <v>1385698.44</v>
      </c>
      <c r="O615" s="21" t="s">
        <v>40</v>
      </c>
      <c r="P615" s="21" t="s">
        <v>2135</v>
      </c>
      <c r="Q615" s="23">
        <v>840.83643203883491</v>
      </c>
      <c r="R615" s="21" t="s">
        <v>42</v>
      </c>
      <c r="S615" s="25">
        <v>3267</v>
      </c>
      <c r="T615" s="7" t="s">
        <v>43</v>
      </c>
      <c r="U615" s="21" t="s">
        <v>584</v>
      </c>
      <c r="V615" s="24">
        <v>43060</v>
      </c>
      <c r="W615" s="24">
        <v>43153</v>
      </c>
      <c r="X615" s="21" t="s">
        <v>668</v>
      </c>
      <c r="Y615" s="21" t="s">
        <v>476</v>
      </c>
      <c r="Z615" s="21" t="s">
        <v>89</v>
      </c>
      <c r="AA615" s="21" t="s">
        <v>40</v>
      </c>
      <c r="AB615" s="21" t="s">
        <v>40</v>
      </c>
    </row>
    <row r="616" spans="1:28" ht="69.95" customHeight="1">
      <c r="A616" s="21">
        <v>2017</v>
      </c>
      <c r="B616" s="21" t="s">
        <v>64</v>
      </c>
      <c r="C616" s="7" t="s">
        <v>2136</v>
      </c>
      <c r="D616" s="24">
        <v>43040</v>
      </c>
      <c r="E616" s="7" t="s">
        <v>2137</v>
      </c>
      <c r="F616" s="7" t="s">
        <v>730</v>
      </c>
      <c r="G616" s="23">
        <v>253296.41</v>
      </c>
      <c r="H616" s="7" t="s">
        <v>2001</v>
      </c>
      <c r="I616" s="7" t="s">
        <v>1355</v>
      </c>
      <c r="J616" s="7" t="s">
        <v>1391</v>
      </c>
      <c r="K616" s="7" t="s">
        <v>1392</v>
      </c>
      <c r="L616" s="7" t="s">
        <v>1393</v>
      </c>
      <c r="M616" s="7" t="s">
        <v>1394</v>
      </c>
      <c r="N616" s="23">
        <v>253296.41</v>
      </c>
      <c r="O616" s="21" t="s">
        <v>40</v>
      </c>
      <c r="P616" s="21" t="s">
        <v>1224</v>
      </c>
      <c r="Q616" s="23">
        <v>852.84986531986533</v>
      </c>
      <c r="R616" s="21" t="s">
        <v>42</v>
      </c>
      <c r="S616" s="25">
        <v>866</v>
      </c>
      <c r="T616" s="7" t="s">
        <v>43</v>
      </c>
      <c r="U616" s="21" t="s">
        <v>584</v>
      </c>
      <c r="V616" s="24">
        <v>43040</v>
      </c>
      <c r="W616" s="24">
        <v>43100</v>
      </c>
      <c r="X616" s="21" t="s">
        <v>842</v>
      </c>
      <c r="Y616" s="21" t="s">
        <v>519</v>
      </c>
      <c r="Z616" s="21" t="s">
        <v>63</v>
      </c>
      <c r="AA616" s="21" t="s">
        <v>40</v>
      </c>
      <c r="AB616" s="21" t="s">
        <v>40</v>
      </c>
    </row>
    <row r="617" spans="1:28" ht="69.95" customHeight="1">
      <c r="A617" s="21">
        <v>2017</v>
      </c>
      <c r="B617" s="21" t="s">
        <v>64</v>
      </c>
      <c r="C617" s="7" t="s">
        <v>2138</v>
      </c>
      <c r="D617" s="24">
        <v>43080</v>
      </c>
      <c r="E617" s="7" t="s">
        <v>2139</v>
      </c>
      <c r="F617" s="7" t="s">
        <v>730</v>
      </c>
      <c r="G617" s="23">
        <v>1717898.58</v>
      </c>
      <c r="H617" s="7" t="s">
        <v>2140</v>
      </c>
      <c r="I617" s="7" t="s">
        <v>2141</v>
      </c>
      <c r="J617" s="7" t="s">
        <v>1775</v>
      </c>
      <c r="K617" s="7" t="s">
        <v>2142</v>
      </c>
      <c r="L617" s="7" t="s">
        <v>2143</v>
      </c>
      <c r="M617" s="7" t="s">
        <v>2144</v>
      </c>
      <c r="N617" s="23">
        <v>1717898.58</v>
      </c>
      <c r="O617" s="21" t="s">
        <v>40</v>
      </c>
      <c r="P617" s="21" t="s">
        <v>2145</v>
      </c>
      <c r="Q617" s="23">
        <v>2753.0425961538463</v>
      </c>
      <c r="R617" s="21" t="s">
        <v>42</v>
      </c>
      <c r="S617" s="25">
        <v>364</v>
      </c>
      <c r="T617" s="7" t="s">
        <v>43</v>
      </c>
      <c r="U617" s="21" t="s">
        <v>584</v>
      </c>
      <c r="V617" s="24">
        <v>43080</v>
      </c>
      <c r="W617" s="24">
        <v>43159</v>
      </c>
      <c r="X617" s="21" t="s">
        <v>1062</v>
      </c>
      <c r="Y617" s="21" t="s">
        <v>1063</v>
      </c>
      <c r="Z617" s="21" t="s">
        <v>254</v>
      </c>
      <c r="AA617" s="21" t="s">
        <v>40</v>
      </c>
      <c r="AB617" s="21" t="s">
        <v>40</v>
      </c>
    </row>
    <row r="618" spans="1:28" ht="69.95" customHeight="1">
      <c r="A618" s="21">
        <v>2017</v>
      </c>
      <c r="B618" s="21" t="s">
        <v>64</v>
      </c>
      <c r="C618" s="7" t="s">
        <v>2146</v>
      </c>
      <c r="D618" s="24">
        <v>43080</v>
      </c>
      <c r="E618" s="7" t="s">
        <v>2147</v>
      </c>
      <c r="F618" s="7" t="s">
        <v>730</v>
      </c>
      <c r="G618" s="23">
        <v>1656483.25</v>
      </c>
      <c r="H618" s="7" t="s">
        <v>2140</v>
      </c>
      <c r="I618" s="7" t="s">
        <v>2148</v>
      </c>
      <c r="J618" s="7" t="s">
        <v>2149</v>
      </c>
      <c r="K618" s="7" t="s">
        <v>1592</v>
      </c>
      <c r="L618" s="7" t="s">
        <v>2150</v>
      </c>
      <c r="M618" s="7" t="s">
        <v>2151</v>
      </c>
      <c r="N618" s="23">
        <v>1656483.25</v>
      </c>
      <c r="O618" s="21" t="s">
        <v>40</v>
      </c>
      <c r="P618" s="21" t="s">
        <v>2152</v>
      </c>
      <c r="Q618" s="23">
        <v>2693.4686991869917</v>
      </c>
      <c r="R618" s="21" t="s">
        <v>42</v>
      </c>
      <c r="S618" s="25">
        <v>364</v>
      </c>
      <c r="T618" s="7" t="s">
        <v>43</v>
      </c>
      <c r="U618" s="21" t="s">
        <v>584</v>
      </c>
      <c r="V618" s="24">
        <v>43080</v>
      </c>
      <c r="W618" s="24">
        <v>43159</v>
      </c>
      <c r="X618" s="21" t="s">
        <v>1062</v>
      </c>
      <c r="Y618" s="21" t="s">
        <v>1063</v>
      </c>
      <c r="Z618" s="21" t="s">
        <v>254</v>
      </c>
      <c r="AA618" s="21" t="s">
        <v>40</v>
      </c>
      <c r="AB618" s="21" t="s">
        <v>40</v>
      </c>
    </row>
    <row r="619" spans="1:28" ht="69.95" customHeight="1">
      <c r="A619" s="21">
        <v>2017</v>
      </c>
      <c r="B619" s="21" t="s">
        <v>64</v>
      </c>
      <c r="C619" s="7" t="s">
        <v>2153</v>
      </c>
      <c r="D619" s="24">
        <v>43052</v>
      </c>
      <c r="E619" s="7" t="s">
        <v>2154</v>
      </c>
      <c r="F619" s="7" t="s">
        <v>730</v>
      </c>
      <c r="G619" s="23">
        <v>1685254.36</v>
      </c>
      <c r="H619" s="7" t="s">
        <v>2016</v>
      </c>
      <c r="I619" s="7" t="s">
        <v>2077</v>
      </c>
      <c r="J619" s="7" t="s">
        <v>1481</v>
      </c>
      <c r="K619" s="7" t="s">
        <v>1463</v>
      </c>
      <c r="L619" s="7" t="s">
        <v>2078</v>
      </c>
      <c r="M619" s="7" t="s">
        <v>2079</v>
      </c>
      <c r="N619" s="23">
        <v>1685254.36</v>
      </c>
      <c r="O619" s="21" t="s">
        <v>40</v>
      </c>
      <c r="P619" s="21" t="s">
        <v>2155</v>
      </c>
      <c r="Q619" s="23">
        <v>1455.3146459412781</v>
      </c>
      <c r="R619" s="21" t="s">
        <v>42</v>
      </c>
      <c r="S619" s="25">
        <v>12690</v>
      </c>
      <c r="T619" s="7" t="s">
        <v>43</v>
      </c>
      <c r="U619" s="21" t="s">
        <v>584</v>
      </c>
      <c r="V619" s="24">
        <v>43052</v>
      </c>
      <c r="W619" s="24">
        <v>43115</v>
      </c>
      <c r="X619" s="21" t="s">
        <v>605</v>
      </c>
      <c r="Y619" s="21" t="s">
        <v>442</v>
      </c>
      <c r="Z619" s="21" t="s">
        <v>101</v>
      </c>
      <c r="AA619" s="21" t="s">
        <v>40</v>
      </c>
      <c r="AB619" s="21" t="s">
        <v>40</v>
      </c>
    </row>
    <row r="620" spans="1:28" ht="69.95" customHeight="1">
      <c r="A620" s="21">
        <v>2017</v>
      </c>
      <c r="B620" s="21" t="s">
        <v>64</v>
      </c>
      <c r="C620" s="7" t="s">
        <v>2156</v>
      </c>
      <c r="D620" s="24">
        <v>43052</v>
      </c>
      <c r="E620" s="7" t="s">
        <v>2157</v>
      </c>
      <c r="F620" s="7" t="s">
        <v>730</v>
      </c>
      <c r="G620" s="23">
        <v>1710691.99</v>
      </c>
      <c r="H620" s="7" t="s">
        <v>2016</v>
      </c>
      <c r="I620" s="7" t="s">
        <v>2089</v>
      </c>
      <c r="J620" s="7" t="s">
        <v>2090</v>
      </c>
      <c r="K620" s="7" t="s">
        <v>2091</v>
      </c>
      <c r="L620" s="7" t="s">
        <v>2092</v>
      </c>
      <c r="M620" s="7" t="s">
        <v>2093</v>
      </c>
      <c r="N620" s="23">
        <v>1710691.99</v>
      </c>
      <c r="O620" s="21" t="s">
        <v>40</v>
      </c>
      <c r="P620" s="21" t="s">
        <v>2158</v>
      </c>
      <c r="Q620" s="23">
        <v>3959.9351620370371</v>
      </c>
      <c r="R620" s="21" t="s">
        <v>42</v>
      </c>
      <c r="S620" s="25">
        <v>12690</v>
      </c>
      <c r="T620" s="7" t="s">
        <v>43</v>
      </c>
      <c r="U620" s="21" t="s">
        <v>584</v>
      </c>
      <c r="V620" s="24">
        <v>43052</v>
      </c>
      <c r="W620" s="24">
        <v>43115</v>
      </c>
      <c r="X620" s="21" t="s">
        <v>605</v>
      </c>
      <c r="Y620" s="21" t="s">
        <v>442</v>
      </c>
      <c r="Z620" s="21" t="s">
        <v>101</v>
      </c>
      <c r="AA620" s="21" t="s">
        <v>40</v>
      </c>
      <c r="AB620" s="21" t="s">
        <v>40</v>
      </c>
    </row>
    <row r="621" spans="1:28" ht="69.95" customHeight="1">
      <c r="A621" s="21">
        <v>2017</v>
      </c>
      <c r="B621" s="21" t="s">
        <v>64</v>
      </c>
      <c r="C621" s="7" t="s">
        <v>2159</v>
      </c>
      <c r="D621" s="24">
        <v>43080</v>
      </c>
      <c r="E621" s="7" t="s">
        <v>2160</v>
      </c>
      <c r="F621" s="7" t="s">
        <v>730</v>
      </c>
      <c r="G621" s="23">
        <v>650235.78</v>
      </c>
      <c r="H621" s="7" t="s">
        <v>124</v>
      </c>
      <c r="I621" s="7" t="s">
        <v>2161</v>
      </c>
      <c r="J621" s="7" t="s">
        <v>2162</v>
      </c>
      <c r="K621" s="7" t="s">
        <v>2163</v>
      </c>
      <c r="L621" s="7" t="s">
        <v>2164</v>
      </c>
      <c r="M621" s="7" t="s">
        <v>2165</v>
      </c>
      <c r="N621" s="23">
        <v>650235.78</v>
      </c>
      <c r="O621" s="21" t="s">
        <v>40</v>
      </c>
      <c r="P621" s="21" t="s">
        <v>2166</v>
      </c>
      <c r="Q621" s="23">
        <v>5418.6315000000004</v>
      </c>
      <c r="R621" s="21" t="s">
        <v>42</v>
      </c>
      <c r="S621" s="25">
        <v>165</v>
      </c>
      <c r="T621" s="7" t="s">
        <v>43</v>
      </c>
      <c r="U621" s="21" t="s">
        <v>584</v>
      </c>
      <c r="V621" s="24">
        <v>43080</v>
      </c>
      <c r="W621" s="24">
        <v>43174</v>
      </c>
      <c r="X621" s="21" t="s">
        <v>1026</v>
      </c>
      <c r="Y621" s="21" t="s">
        <v>1065</v>
      </c>
      <c r="Z621" s="21" t="s">
        <v>139</v>
      </c>
      <c r="AA621" s="21" t="s">
        <v>40</v>
      </c>
      <c r="AB621" s="21" t="s">
        <v>40</v>
      </c>
    </row>
    <row r="622" spans="1:28" ht="69.95" customHeight="1">
      <c r="A622" s="21">
        <v>2017</v>
      </c>
      <c r="B622" s="21" t="s">
        <v>64</v>
      </c>
      <c r="C622" s="7" t="s">
        <v>2167</v>
      </c>
      <c r="D622" s="24">
        <v>43073</v>
      </c>
      <c r="E622" s="7" t="s">
        <v>2168</v>
      </c>
      <c r="F622" s="7" t="s">
        <v>730</v>
      </c>
      <c r="G622" s="23">
        <v>650126.87</v>
      </c>
      <c r="H622" s="7" t="s">
        <v>2169</v>
      </c>
      <c r="I622" s="7" t="s">
        <v>2170</v>
      </c>
      <c r="J622" s="7" t="s">
        <v>2171</v>
      </c>
      <c r="K622" s="7" t="s">
        <v>2172</v>
      </c>
      <c r="L622" s="7" t="s">
        <v>2173</v>
      </c>
      <c r="M622" s="7" t="s">
        <v>2174</v>
      </c>
      <c r="N622" s="23">
        <v>650126.87</v>
      </c>
      <c r="O622" s="21" t="s">
        <v>40</v>
      </c>
      <c r="P622" s="21" t="s">
        <v>2175</v>
      </c>
      <c r="Q622" s="23">
        <v>1613.2180397022332</v>
      </c>
      <c r="R622" s="21" t="s">
        <v>42</v>
      </c>
      <c r="S622" s="25">
        <v>12588</v>
      </c>
      <c r="T622" s="7" t="s">
        <v>43</v>
      </c>
      <c r="U622" s="21" t="s">
        <v>584</v>
      </c>
      <c r="V622" s="24">
        <v>43073</v>
      </c>
      <c r="W622" s="24">
        <v>43115</v>
      </c>
      <c r="X622" s="21" t="s">
        <v>842</v>
      </c>
      <c r="Y622" s="21" t="s">
        <v>519</v>
      </c>
      <c r="Z622" s="21" t="s">
        <v>63</v>
      </c>
      <c r="AA622" s="21" t="s">
        <v>40</v>
      </c>
      <c r="AB622" s="21" t="s">
        <v>40</v>
      </c>
    </row>
    <row r="623" spans="1:28" ht="69.95" customHeight="1">
      <c r="A623" s="21">
        <v>2017</v>
      </c>
      <c r="B623" s="21" t="s">
        <v>64</v>
      </c>
      <c r="C623" s="7" t="s">
        <v>2176</v>
      </c>
      <c r="D623" s="24">
        <v>43080</v>
      </c>
      <c r="E623" s="7" t="s">
        <v>2177</v>
      </c>
      <c r="F623" s="7" t="s">
        <v>730</v>
      </c>
      <c r="G623" s="23">
        <v>1202354.8700000001</v>
      </c>
      <c r="H623" s="7" t="s">
        <v>919</v>
      </c>
      <c r="I623" s="7" t="s">
        <v>2023</v>
      </c>
      <c r="J623" s="7" t="s">
        <v>2178</v>
      </c>
      <c r="K623" s="7" t="s">
        <v>2118</v>
      </c>
      <c r="L623" s="7" t="s">
        <v>2179</v>
      </c>
      <c r="M623" s="7" t="s">
        <v>2180</v>
      </c>
      <c r="N623" s="23">
        <v>1202354.8700000001</v>
      </c>
      <c r="O623" s="21" t="s">
        <v>40</v>
      </c>
      <c r="P623" s="21" t="s">
        <v>2181</v>
      </c>
      <c r="Q623" s="23">
        <v>1341.9139174107145</v>
      </c>
      <c r="R623" s="21" t="s">
        <v>42</v>
      </c>
      <c r="S623" s="25">
        <v>423</v>
      </c>
      <c r="T623" s="7" t="s">
        <v>43</v>
      </c>
      <c r="U623" s="21" t="s">
        <v>584</v>
      </c>
      <c r="V623" s="24">
        <v>43080</v>
      </c>
      <c r="W623" s="24">
        <v>43146</v>
      </c>
      <c r="X623" s="21" t="s">
        <v>556</v>
      </c>
      <c r="Y623" s="21" t="s">
        <v>557</v>
      </c>
      <c r="Z623" s="21" t="s">
        <v>558</v>
      </c>
      <c r="AA623" s="21" t="s">
        <v>40</v>
      </c>
      <c r="AB623" s="21" t="s">
        <v>40</v>
      </c>
    </row>
    <row r="624" spans="1:28" ht="69.95" customHeight="1">
      <c r="A624" s="21">
        <v>2017</v>
      </c>
      <c r="B624" s="21" t="s">
        <v>64</v>
      </c>
      <c r="C624" s="7" t="s">
        <v>2182</v>
      </c>
      <c r="D624" s="24">
        <v>43031</v>
      </c>
      <c r="E624" s="7" t="s">
        <v>2183</v>
      </c>
      <c r="F624" s="7" t="s">
        <v>730</v>
      </c>
      <c r="G624" s="23">
        <v>1250847.24</v>
      </c>
      <c r="H624" s="7" t="s">
        <v>941</v>
      </c>
      <c r="I624" s="7" t="s">
        <v>2184</v>
      </c>
      <c r="J624" s="7" t="s">
        <v>2185</v>
      </c>
      <c r="K624" s="7" t="s">
        <v>1644</v>
      </c>
      <c r="L624" s="7" t="s">
        <v>2186</v>
      </c>
      <c r="M624" s="7" t="s">
        <v>2187</v>
      </c>
      <c r="N624" s="23">
        <v>1250847.24</v>
      </c>
      <c r="O624" s="21" t="s">
        <v>40</v>
      </c>
      <c r="P624" s="21" t="s">
        <v>2188</v>
      </c>
      <c r="Q624" s="23">
        <v>2001.3555839999999</v>
      </c>
      <c r="R624" s="21" t="s">
        <v>42</v>
      </c>
      <c r="S624" s="25">
        <v>36842</v>
      </c>
      <c r="T624" s="7" t="s">
        <v>43</v>
      </c>
      <c r="U624" s="21" t="s">
        <v>584</v>
      </c>
      <c r="V624" s="24">
        <v>43031</v>
      </c>
      <c r="W624" s="24">
        <v>43084</v>
      </c>
      <c r="X624" s="21" t="s">
        <v>2189</v>
      </c>
      <c r="Y624" s="21" t="s">
        <v>2190</v>
      </c>
      <c r="Z624" s="21" t="s">
        <v>462</v>
      </c>
      <c r="AA624" s="21" t="s">
        <v>40</v>
      </c>
      <c r="AB624" s="21" t="s">
        <v>40</v>
      </c>
    </row>
    <row r="625" spans="1:28" ht="69.95" customHeight="1">
      <c r="A625" s="21">
        <v>2017</v>
      </c>
      <c r="B625" s="21" t="s">
        <v>64</v>
      </c>
      <c r="C625" s="7" t="s">
        <v>2191</v>
      </c>
      <c r="D625" s="24">
        <v>43033</v>
      </c>
      <c r="E625" s="7" t="s">
        <v>2192</v>
      </c>
      <c r="F625" s="7" t="s">
        <v>730</v>
      </c>
      <c r="G625" s="23">
        <v>1002350.44</v>
      </c>
      <c r="H625" s="7" t="s">
        <v>2193</v>
      </c>
      <c r="I625" s="7" t="s">
        <v>1423</v>
      </c>
      <c r="J625" s="7" t="s">
        <v>1424</v>
      </c>
      <c r="K625" s="7" t="s">
        <v>1425</v>
      </c>
      <c r="L625" s="7" t="s">
        <v>1426</v>
      </c>
      <c r="M625" s="7" t="s">
        <v>621</v>
      </c>
      <c r="N625" s="23">
        <v>1002350.44</v>
      </c>
      <c r="O625" s="21" t="s">
        <v>40</v>
      </c>
      <c r="P625" s="21" t="s">
        <v>1120</v>
      </c>
      <c r="Q625" s="23">
        <v>618.73483950617276</v>
      </c>
      <c r="R625" s="21" t="s">
        <v>42</v>
      </c>
      <c r="S625" s="25">
        <v>891</v>
      </c>
      <c r="T625" s="7" t="s">
        <v>43</v>
      </c>
      <c r="U625" s="21" t="s">
        <v>584</v>
      </c>
      <c r="V625" s="24">
        <v>43033</v>
      </c>
      <c r="W625" s="24">
        <v>43089</v>
      </c>
      <c r="X625" s="21" t="s">
        <v>999</v>
      </c>
      <c r="Y625" s="21" t="s">
        <v>1075</v>
      </c>
      <c r="Z625" s="21" t="s">
        <v>1001</v>
      </c>
      <c r="AA625" s="21" t="s">
        <v>40</v>
      </c>
      <c r="AB625" s="21" t="s">
        <v>40</v>
      </c>
    </row>
    <row r="626" spans="1:28" ht="69.95" customHeight="1">
      <c r="A626" s="21">
        <v>2017</v>
      </c>
      <c r="B626" s="21" t="s">
        <v>64</v>
      </c>
      <c r="C626" s="7" t="s">
        <v>2194</v>
      </c>
      <c r="D626" s="24">
        <v>43080</v>
      </c>
      <c r="E626" s="7" t="s">
        <v>2195</v>
      </c>
      <c r="F626" s="7" t="s">
        <v>730</v>
      </c>
      <c r="G626" s="23">
        <v>1603555.44</v>
      </c>
      <c r="H626" s="7" t="s">
        <v>2193</v>
      </c>
      <c r="I626" s="7" t="s">
        <v>2196</v>
      </c>
      <c r="J626" s="7" t="s">
        <v>2197</v>
      </c>
      <c r="K626" s="7" t="s">
        <v>2198</v>
      </c>
      <c r="L626" s="7" t="s">
        <v>2199</v>
      </c>
      <c r="M626" s="7" t="s">
        <v>2200</v>
      </c>
      <c r="N626" s="23">
        <v>1603555.44</v>
      </c>
      <c r="O626" s="21" t="s">
        <v>40</v>
      </c>
      <c r="P626" s="21" t="s">
        <v>2201</v>
      </c>
      <c r="Q626" s="23">
        <v>848.44203174603172</v>
      </c>
      <c r="R626" s="21" t="s">
        <v>42</v>
      </c>
      <c r="S626" s="25">
        <v>891</v>
      </c>
      <c r="T626" s="7" t="s">
        <v>43</v>
      </c>
      <c r="U626" s="21" t="s">
        <v>584</v>
      </c>
      <c r="V626" s="24">
        <v>43080</v>
      </c>
      <c r="W626" s="24">
        <v>43146</v>
      </c>
      <c r="X626" s="21" t="s">
        <v>999</v>
      </c>
      <c r="Y626" s="21" t="s">
        <v>1075</v>
      </c>
      <c r="Z626" s="21" t="s">
        <v>1001</v>
      </c>
      <c r="AA626" s="21" t="s">
        <v>40</v>
      </c>
      <c r="AB626" s="21" t="s">
        <v>40</v>
      </c>
    </row>
    <row r="627" spans="1:28" ht="69.95" customHeight="1">
      <c r="A627" s="21">
        <v>2017</v>
      </c>
      <c r="B627" s="21" t="s">
        <v>64</v>
      </c>
      <c r="C627" s="7" t="s">
        <v>2202</v>
      </c>
      <c r="D627" s="24">
        <v>43021</v>
      </c>
      <c r="E627" s="7" t="s">
        <v>2203</v>
      </c>
      <c r="F627" s="7" t="s">
        <v>730</v>
      </c>
      <c r="G627" s="23">
        <v>355235.68</v>
      </c>
      <c r="H627" s="7" t="s">
        <v>1398</v>
      </c>
      <c r="I627" s="7" t="s">
        <v>1542</v>
      </c>
      <c r="J627" s="7" t="s">
        <v>1592</v>
      </c>
      <c r="K627" s="7" t="s">
        <v>2204</v>
      </c>
      <c r="L627" s="7" t="s">
        <v>2205</v>
      </c>
      <c r="M627" s="7" t="s">
        <v>2206</v>
      </c>
      <c r="N627" s="23">
        <v>355235.68</v>
      </c>
      <c r="O627" s="21" t="s">
        <v>40</v>
      </c>
      <c r="P627" s="21" t="s">
        <v>231</v>
      </c>
      <c r="Q627" s="23" t="s">
        <v>231</v>
      </c>
      <c r="R627" s="21" t="s">
        <v>42</v>
      </c>
      <c r="S627" s="25" t="s">
        <v>232</v>
      </c>
      <c r="T627" s="7" t="s">
        <v>43</v>
      </c>
      <c r="U627" s="21" t="s">
        <v>584</v>
      </c>
      <c r="V627" s="24">
        <v>43024</v>
      </c>
      <c r="W627" s="24">
        <v>43100</v>
      </c>
      <c r="X627" s="21" t="s">
        <v>762</v>
      </c>
      <c r="Y627" s="21" t="s">
        <v>763</v>
      </c>
      <c r="Z627" s="21" t="s">
        <v>764</v>
      </c>
      <c r="AA627" s="21" t="s">
        <v>40</v>
      </c>
      <c r="AB627" s="21" t="s">
        <v>40</v>
      </c>
    </row>
    <row r="628" spans="1:28" ht="69.95" customHeight="1">
      <c r="A628" s="21">
        <v>2017</v>
      </c>
      <c r="B628" s="21" t="s">
        <v>64</v>
      </c>
      <c r="C628" s="7" t="s">
        <v>2207</v>
      </c>
      <c r="D628" s="24">
        <v>43084</v>
      </c>
      <c r="E628" s="7" t="s">
        <v>2208</v>
      </c>
      <c r="F628" s="7" t="s">
        <v>730</v>
      </c>
      <c r="G628" s="23">
        <v>1698556.36</v>
      </c>
      <c r="H628" s="7" t="s">
        <v>2209</v>
      </c>
      <c r="I628" s="7" t="s">
        <v>1523</v>
      </c>
      <c r="J628" s="7" t="s">
        <v>1502</v>
      </c>
      <c r="K628" s="7" t="s">
        <v>1331</v>
      </c>
      <c r="L628" s="7" t="s">
        <v>2210</v>
      </c>
      <c r="M628" s="7" t="s">
        <v>2211</v>
      </c>
      <c r="N628" s="23">
        <v>1698556.36</v>
      </c>
      <c r="O628" s="21" t="s">
        <v>40</v>
      </c>
      <c r="P628" s="21" t="s">
        <v>2212</v>
      </c>
      <c r="Q628" s="23">
        <v>847.16027930174573</v>
      </c>
      <c r="R628" s="21" t="s">
        <v>42</v>
      </c>
      <c r="S628" s="25">
        <v>1256</v>
      </c>
      <c r="T628" s="7" t="s">
        <v>43</v>
      </c>
      <c r="U628" s="21" t="s">
        <v>584</v>
      </c>
      <c r="V628" s="24">
        <v>43084</v>
      </c>
      <c r="W628" s="24">
        <v>43203</v>
      </c>
      <c r="X628" s="21" t="s">
        <v>571</v>
      </c>
      <c r="Y628" s="21" t="s">
        <v>572</v>
      </c>
      <c r="Z628" s="21" t="s">
        <v>573</v>
      </c>
      <c r="AA628" s="21" t="s">
        <v>40</v>
      </c>
      <c r="AB628" s="21" t="s">
        <v>40</v>
      </c>
    </row>
    <row r="629" spans="1:28" ht="69.95" customHeight="1">
      <c r="A629" s="21">
        <v>2017</v>
      </c>
      <c r="B629" s="21" t="s">
        <v>64</v>
      </c>
      <c r="C629" s="7" t="s">
        <v>2213</v>
      </c>
      <c r="D629" s="24">
        <v>43084</v>
      </c>
      <c r="E629" s="7" t="s">
        <v>2214</v>
      </c>
      <c r="F629" s="7" t="s">
        <v>730</v>
      </c>
      <c r="G629" s="23">
        <v>1650236.98</v>
      </c>
      <c r="H629" s="7" t="s">
        <v>2209</v>
      </c>
      <c r="I629" s="7" t="s">
        <v>1854</v>
      </c>
      <c r="J629" s="7" t="s">
        <v>2215</v>
      </c>
      <c r="K629" s="7" t="s">
        <v>2216</v>
      </c>
      <c r="L629" s="7" t="s">
        <v>2217</v>
      </c>
      <c r="M629" s="7" t="s">
        <v>2218</v>
      </c>
      <c r="N629" s="23">
        <v>1650236.98</v>
      </c>
      <c r="O629" s="21" t="s">
        <v>40</v>
      </c>
      <c r="P629" s="21" t="s">
        <v>2219</v>
      </c>
      <c r="Q629" s="23">
        <v>5690.4723448275863</v>
      </c>
      <c r="R629" s="21" t="s">
        <v>42</v>
      </c>
      <c r="S629" s="25">
        <v>224</v>
      </c>
      <c r="T629" s="7" t="s">
        <v>43</v>
      </c>
      <c r="U629" s="21" t="s">
        <v>584</v>
      </c>
      <c r="V629" s="24">
        <v>43084</v>
      </c>
      <c r="W629" s="24">
        <v>43203</v>
      </c>
      <c r="X629" s="21" t="s">
        <v>571</v>
      </c>
      <c r="Y629" s="21" t="s">
        <v>572</v>
      </c>
      <c r="Z629" s="21" t="s">
        <v>573</v>
      </c>
      <c r="AA629" s="21" t="s">
        <v>40</v>
      </c>
      <c r="AB629" s="21" t="s">
        <v>40</v>
      </c>
    </row>
    <row r="630" spans="1:28" ht="69.95" customHeight="1">
      <c r="A630" s="21">
        <v>2017</v>
      </c>
      <c r="B630" s="21" t="s">
        <v>64</v>
      </c>
      <c r="C630" s="7" t="s">
        <v>2220</v>
      </c>
      <c r="D630" s="24">
        <v>43084</v>
      </c>
      <c r="E630" s="7" t="s">
        <v>1533</v>
      </c>
      <c r="F630" s="7" t="s">
        <v>730</v>
      </c>
      <c r="G630" s="23">
        <v>310538.7</v>
      </c>
      <c r="H630" s="7" t="s">
        <v>1398</v>
      </c>
      <c r="I630" s="7" t="s">
        <v>2221</v>
      </c>
      <c r="J630" s="7" t="s">
        <v>2222</v>
      </c>
      <c r="K630" s="7" t="s">
        <v>2223</v>
      </c>
      <c r="L630" s="7" t="s">
        <v>2224</v>
      </c>
      <c r="M630" s="7" t="s">
        <v>2225</v>
      </c>
      <c r="N630" s="23">
        <v>310538.7</v>
      </c>
      <c r="O630" s="21" t="s">
        <v>40</v>
      </c>
      <c r="P630" s="21" t="s">
        <v>231</v>
      </c>
      <c r="Q630" s="23" t="s">
        <v>231</v>
      </c>
      <c r="R630" s="21" t="s">
        <v>42</v>
      </c>
      <c r="S630" s="25" t="s">
        <v>232</v>
      </c>
      <c r="T630" s="7" t="s">
        <v>43</v>
      </c>
      <c r="U630" s="21" t="s">
        <v>584</v>
      </c>
      <c r="V630" s="24">
        <v>43084</v>
      </c>
      <c r="W630" s="24">
        <v>43203</v>
      </c>
      <c r="X630" s="21" t="s">
        <v>762</v>
      </c>
      <c r="Y630" s="21" t="s">
        <v>763</v>
      </c>
      <c r="Z630" s="21" t="s">
        <v>764</v>
      </c>
      <c r="AA630" s="21" t="s">
        <v>40</v>
      </c>
      <c r="AB630" s="21" t="s">
        <v>40</v>
      </c>
    </row>
    <row r="631" spans="1:28" ht="69.95" customHeight="1">
      <c r="A631" s="21">
        <v>2017</v>
      </c>
      <c r="B631" s="21" t="s">
        <v>64</v>
      </c>
      <c r="C631" s="7" t="s">
        <v>2226</v>
      </c>
      <c r="D631" s="24">
        <v>43042</v>
      </c>
      <c r="E631" s="7" t="s">
        <v>2227</v>
      </c>
      <c r="F631" s="7" t="s">
        <v>730</v>
      </c>
      <c r="G631" s="23">
        <v>1495654.87</v>
      </c>
      <c r="H631" s="7" t="s">
        <v>911</v>
      </c>
      <c r="I631" s="7" t="s">
        <v>2228</v>
      </c>
      <c r="J631" s="7" t="s">
        <v>1607</v>
      </c>
      <c r="K631" s="7" t="s">
        <v>1698</v>
      </c>
      <c r="L631" s="7" t="s">
        <v>2229</v>
      </c>
      <c r="M631" s="7" t="s">
        <v>323</v>
      </c>
      <c r="N631" s="23">
        <v>1495654.87</v>
      </c>
      <c r="O631" s="21" t="s">
        <v>40</v>
      </c>
      <c r="P631" s="21" t="s">
        <v>2230</v>
      </c>
      <c r="Q631" s="23">
        <v>8309.1937222222223</v>
      </c>
      <c r="R631" s="21" t="s">
        <v>42</v>
      </c>
      <c r="S631" s="25">
        <v>3566</v>
      </c>
      <c r="T631" s="7" t="s">
        <v>43</v>
      </c>
      <c r="U631" s="21" t="s">
        <v>584</v>
      </c>
      <c r="V631" s="24">
        <v>43045</v>
      </c>
      <c r="W631" s="24">
        <v>43159</v>
      </c>
      <c r="X631" s="21" t="s">
        <v>668</v>
      </c>
      <c r="Y631" s="21" t="s">
        <v>88</v>
      </c>
      <c r="Z631" s="21" t="s">
        <v>798</v>
      </c>
      <c r="AA631" s="21" t="s">
        <v>40</v>
      </c>
      <c r="AB631" s="21" t="s">
        <v>40</v>
      </c>
    </row>
    <row r="632" spans="1:28" ht="69.95" customHeight="1">
      <c r="A632" s="21">
        <v>2017</v>
      </c>
      <c r="B632" s="21" t="s">
        <v>64</v>
      </c>
      <c r="C632" s="7" t="s">
        <v>2231</v>
      </c>
      <c r="D632" s="24">
        <v>43070</v>
      </c>
      <c r="E632" s="7" t="s">
        <v>2232</v>
      </c>
      <c r="F632" s="7" t="s">
        <v>730</v>
      </c>
      <c r="G632" s="23">
        <v>309258.36</v>
      </c>
      <c r="H632" s="7" t="s">
        <v>2233</v>
      </c>
      <c r="I632" s="7" t="s">
        <v>2234</v>
      </c>
      <c r="J632" s="7" t="s">
        <v>2235</v>
      </c>
      <c r="K632" s="7" t="s">
        <v>2236</v>
      </c>
      <c r="L632" s="7" t="s">
        <v>2237</v>
      </c>
      <c r="M632" s="7" t="s">
        <v>2238</v>
      </c>
      <c r="N632" s="23">
        <v>309258.36</v>
      </c>
      <c r="O632" s="21" t="s">
        <v>40</v>
      </c>
      <c r="P632" s="21" t="s">
        <v>2239</v>
      </c>
      <c r="Q632" s="23">
        <v>750.62708737864079</v>
      </c>
      <c r="R632" s="21" t="s">
        <v>42</v>
      </c>
      <c r="S632" s="25" t="s">
        <v>232</v>
      </c>
      <c r="T632" s="7" t="s">
        <v>43</v>
      </c>
      <c r="U632" s="21" t="s">
        <v>584</v>
      </c>
      <c r="V632" s="24">
        <v>43070</v>
      </c>
      <c r="W632" s="24">
        <v>43100</v>
      </c>
      <c r="X632" s="21" t="s">
        <v>605</v>
      </c>
      <c r="Y632" s="21" t="s">
        <v>442</v>
      </c>
      <c r="Z632" s="21" t="s">
        <v>101</v>
      </c>
      <c r="AA632" s="21" t="s">
        <v>40</v>
      </c>
      <c r="AB632" s="21" t="s">
        <v>40</v>
      </c>
    </row>
    <row r="633" spans="1:28" ht="69.95" customHeight="1">
      <c r="A633" s="21">
        <v>2017</v>
      </c>
      <c r="B633" s="21" t="s">
        <v>64</v>
      </c>
      <c r="C633" s="7" t="s">
        <v>2240</v>
      </c>
      <c r="D633" s="24">
        <v>43056</v>
      </c>
      <c r="E633" s="7" t="s">
        <v>2241</v>
      </c>
      <c r="F633" s="7" t="s">
        <v>730</v>
      </c>
      <c r="G633" s="23">
        <v>905532.5</v>
      </c>
      <c r="H633" s="7" t="s">
        <v>2242</v>
      </c>
      <c r="I633" s="7" t="s">
        <v>2243</v>
      </c>
      <c r="J633" s="7" t="s">
        <v>2244</v>
      </c>
      <c r="K633" s="7" t="s">
        <v>2245</v>
      </c>
      <c r="L633" s="7" t="s">
        <v>2246</v>
      </c>
      <c r="M633" s="7" t="s">
        <v>2247</v>
      </c>
      <c r="N633" s="23">
        <v>905532.5</v>
      </c>
      <c r="O633" s="21" t="s">
        <v>40</v>
      </c>
      <c r="P633" s="21" t="s">
        <v>1025</v>
      </c>
      <c r="Q633" s="23">
        <v>363.37580256821832</v>
      </c>
      <c r="R633" s="21" t="s">
        <v>42</v>
      </c>
      <c r="S633" s="25">
        <v>4159</v>
      </c>
      <c r="T633" s="7" t="s">
        <v>43</v>
      </c>
      <c r="U633" s="21" t="s">
        <v>584</v>
      </c>
      <c r="V633" s="24">
        <v>43060</v>
      </c>
      <c r="W633" s="24">
        <v>43115</v>
      </c>
      <c r="X633" s="21" t="s">
        <v>2248</v>
      </c>
      <c r="Y633" s="21" t="s">
        <v>975</v>
      </c>
      <c r="Z633" s="21" t="s">
        <v>976</v>
      </c>
      <c r="AA633" s="21" t="s">
        <v>40</v>
      </c>
      <c r="AB633" s="21" t="s">
        <v>40</v>
      </c>
    </row>
    <row r="634" spans="1:28" ht="69.95" customHeight="1">
      <c r="A634" s="21">
        <v>2017</v>
      </c>
      <c r="B634" s="21" t="s">
        <v>64</v>
      </c>
      <c r="C634" s="7" t="s">
        <v>2249</v>
      </c>
      <c r="D634" s="24">
        <v>43042</v>
      </c>
      <c r="E634" s="7" t="s">
        <v>2250</v>
      </c>
      <c r="F634" s="7" t="s">
        <v>730</v>
      </c>
      <c r="G634" s="23">
        <v>350254.74</v>
      </c>
      <c r="H634" s="7" t="s">
        <v>1930</v>
      </c>
      <c r="I634" s="7" t="s">
        <v>1542</v>
      </c>
      <c r="J634" s="7" t="s">
        <v>1543</v>
      </c>
      <c r="K634" s="7" t="s">
        <v>1544</v>
      </c>
      <c r="L634" s="7" t="s">
        <v>1545</v>
      </c>
      <c r="M634" s="7" t="s">
        <v>1546</v>
      </c>
      <c r="N634" s="23">
        <v>350254.74</v>
      </c>
      <c r="O634" s="21" t="s">
        <v>40</v>
      </c>
      <c r="P634" s="21" t="s">
        <v>946</v>
      </c>
      <c r="Q634" s="23">
        <v>350254.74</v>
      </c>
      <c r="R634" s="21" t="s">
        <v>42</v>
      </c>
      <c r="S634" s="25" t="s">
        <v>232</v>
      </c>
      <c r="T634" s="7" t="s">
        <v>43</v>
      </c>
      <c r="U634" s="21" t="s">
        <v>584</v>
      </c>
      <c r="V634" s="24">
        <v>43045</v>
      </c>
      <c r="W634" s="24">
        <v>43100</v>
      </c>
      <c r="X634" s="21" t="s">
        <v>924</v>
      </c>
      <c r="Y634" s="21" t="s">
        <v>925</v>
      </c>
      <c r="Z634" s="21" t="s">
        <v>263</v>
      </c>
      <c r="AA634" s="21" t="s">
        <v>40</v>
      </c>
      <c r="AB634" s="21" t="s">
        <v>40</v>
      </c>
    </row>
    <row r="635" spans="1:28" ht="69.95" customHeight="1">
      <c r="A635" s="21">
        <v>2017</v>
      </c>
      <c r="B635" s="21" t="s">
        <v>64</v>
      </c>
      <c r="C635" s="7" t="s">
        <v>2251</v>
      </c>
      <c r="D635" s="24">
        <v>43021</v>
      </c>
      <c r="E635" s="7" t="s">
        <v>2252</v>
      </c>
      <c r="F635" s="7" t="s">
        <v>730</v>
      </c>
      <c r="G635" s="23">
        <v>910147.98</v>
      </c>
      <c r="H635" s="7" t="s">
        <v>1398</v>
      </c>
      <c r="I635" s="7" t="s">
        <v>1598</v>
      </c>
      <c r="J635" s="7" t="s">
        <v>1401</v>
      </c>
      <c r="K635" s="7" t="s">
        <v>1599</v>
      </c>
      <c r="L635" s="7" t="s">
        <v>1600</v>
      </c>
      <c r="M635" s="7" t="s">
        <v>1601</v>
      </c>
      <c r="N635" s="23">
        <v>910147.98</v>
      </c>
      <c r="O635" s="21" t="s">
        <v>40</v>
      </c>
      <c r="P635" s="21" t="s">
        <v>2253</v>
      </c>
      <c r="Q635" s="23">
        <v>23951.262631578946</v>
      </c>
      <c r="R635" s="21" t="s">
        <v>42</v>
      </c>
      <c r="S635" s="25" t="s">
        <v>232</v>
      </c>
      <c r="T635" s="7" t="s">
        <v>43</v>
      </c>
      <c r="U635" s="21" t="s">
        <v>584</v>
      </c>
      <c r="V635" s="24">
        <v>43024</v>
      </c>
      <c r="W635" s="24">
        <v>43100</v>
      </c>
      <c r="X635" s="21" t="s">
        <v>924</v>
      </c>
      <c r="Y635" s="21" t="s">
        <v>925</v>
      </c>
      <c r="Z635" s="21" t="s">
        <v>263</v>
      </c>
      <c r="AA635" s="21" t="s">
        <v>40</v>
      </c>
      <c r="AB635" s="21" t="s">
        <v>40</v>
      </c>
    </row>
    <row r="636" spans="1:28" ht="69.95" customHeight="1">
      <c r="A636" s="21">
        <v>2017</v>
      </c>
      <c r="B636" s="21" t="s">
        <v>64</v>
      </c>
      <c r="C636" s="7" t="s">
        <v>2254</v>
      </c>
      <c r="D636" s="24">
        <v>43050</v>
      </c>
      <c r="E636" s="7" t="s">
        <v>2255</v>
      </c>
      <c r="F636" s="7" t="s">
        <v>730</v>
      </c>
      <c r="G636" s="23">
        <v>925364.12</v>
      </c>
      <c r="H636" s="7" t="s">
        <v>1398</v>
      </c>
      <c r="I636" s="7" t="s">
        <v>2256</v>
      </c>
      <c r="J636" s="7" t="s">
        <v>2257</v>
      </c>
      <c r="K636" s="7" t="s">
        <v>2258</v>
      </c>
      <c r="L636" s="7" t="s">
        <v>2259</v>
      </c>
      <c r="M636" s="7" t="s">
        <v>251</v>
      </c>
      <c r="N636" s="23">
        <v>925364.12</v>
      </c>
      <c r="O636" s="21" t="s">
        <v>40</v>
      </c>
      <c r="P636" s="21" t="s">
        <v>2260</v>
      </c>
      <c r="Q636" s="23">
        <v>20116.611304347825</v>
      </c>
      <c r="R636" s="21" t="s">
        <v>42</v>
      </c>
      <c r="S636" s="25" t="s">
        <v>232</v>
      </c>
      <c r="T636" s="7" t="s">
        <v>43</v>
      </c>
      <c r="U636" s="21" t="s">
        <v>584</v>
      </c>
      <c r="V636" s="24">
        <v>43050</v>
      </c>
      <c r="W636" s="24">
        <v>43100</v>
      </c>
      <c r="X636" s="21" t="s">
        <v>924</v>
      </c>
      <c r="Y636" s="21" t="s">
        <v>925</v>
      </c>
      <c r="Z636" s="21" t="s">
        <v>263</v>
      </c>
      <c r="AA636" s="21" t="s">
        <v>40</v>
      </c>
      <c r="AB636" s="21" t="s">
        <v>40</v>
      </c>
    </row>
    <row r="637" spans="1:28" ht="69.95" customHeight="1">
      <c r="A637" s="21">
        <v>2017</v>
      </c>
      <c r="B637" s="21" t="s">
        <v>64</v>
      </c>
      <c r="C637" s="7" t="s">
        <v>2261</v>
      </c>
      <c r="D637" s="24">
        <v>43050</v>
      </c>
      <c r="E637" s="7" t="s">
        <v>2262</v>
      </c>
      <c r="F637" s="7" t="s">
        <v>730</v>
      </c>
      <c r="G637" s="23">
        <v>1203455.22</v>
      </c>
      <c r="H637" s="7" t="s">
        <v>1398</v>
      </c>
      <c r="I637" s="7" t="s">
        <v>2263</v>
      </c>
      <c r="J637" s="7" t="s">
        <v>2264</v>
      </c>
      <c r="K637" s="7" t="s">
        <v>1365</v>
      </c>
      <c r="L637" s="7" t="s">
        <v>2265</v>
      </c>
      <c r="M637" s="7" t="s">
        <v>2266</v>
      </c>
      <c r="N637" s="23">
        <v>1203455.22</v>
      </c>
      <c r="O637" s="21" t="s">
        <v>40</v>
      </c>
      <c r="P637" s="21" t="s">
        <v>2267</v>
      </c>
      <c r="Q637" s="23">
        <v>1739.0971387283237</v>
      </c>
      <c r="R637" s="21" t="s">
        <v>42</v>
      </c>
      <c r="S637" s="25">
        <v>3560</v>
      </c>
      <c r="T637" s="7" t="s">
        <v>43</v>
      </c>
      <c r="U637" s="21" t="s">
        <v>584</v>
      </c>
      <c r="V637" s="24">
        <v>43050</v>
      </c>
      <c r="W637" s="24">
        <v>43131</v>
      </c>
      <c r="X637" s="21" t="s">
        <v>640</v>
      </c>
      <c r="Y637" s="21" t="s">
        <v>496</v>
      </c>
      <c r="Z637" s="21" t="s">
        <v>749</v>
      </c>
      <c r="AA637" s="21" t="s">
        <v>40</v>
      </c>
      <c r="AB637" s="21" t="s">
        <v>40</v>
      </c>
    </row>
    <row r="638" spans="1:28" ht="69.95" customHeight="1">
      <c r="A638" s="21">
        <v>2017</v>
      </c>
      <c r="B638" s="21" t="s">
        <v>64</v>
      </c>
      <c r="C638" s="7" t="s">
        <v>2268</v>
      </c>
      <c r="D638" s="24">
        <v>43042</v>
      </c>
      <c r="E638" s="7" t="s">
        <v>2269</v>
      </c>
      <c r="F638" s="7" t="s">
        <v>730</v>
      </c>
      <c r="G638" s="23">
        <v>1191632.6599999999</v>
      </c>
      <c r="H638" s="7" t="s">
        <v>2270</v>
      </c>
      <c r="I638" s="7" t="s">
        <v>1737</v>
      </c>
      <c r="J638" s="7" t="s">
        <v>1738</v>
      </c>
      <c r="K638" s="7" t="s">
        <v>1644</v>
      </c>
      <c r="L638" s="7" t="s">
        <v>1739</v>
      </c>
      <c r="M638" s="7" t="s">
        <v>1740</v>
      </c>
      <c r="N638" s="23">
        <v>1191632.6599999999</v>
      </c>
      <c r="O638" s="21" t="s">
        <v>40</v>
      </c>
      <c r="P638" s="21" t="s">
        <v>2271</v>
      </c>
      <c r="Q638" s="23">
        <v>2472.2669294605807</v>
      </c>
      <c r="R638" s="21" t="s">
        <v>42</v>
      </c>
      <c r="S638" s="25">
        <v>2399</v>
      </c>
      <c r="T638" s="7" t="s">
        <v>43</v>
      </c>
      <c r="U638" s="21" t="s">
        <v>584</v>
      </c>
      <c r="V638" s="24">
        <v>43045</v>
      </c>
      <c r="W638" s="24">
        <v>43100</v>
      </c>
      <c r="X638" s="21" t="s">
        <v>967</v>
      </c>
      <c r="Y638" s="21" t="s">
        <v>383</v>
      </c>
      <c r="Z638" s="21" t="s">
        <v>300</v>
      </c>
      <c r="AA638" s="21" t="s">
        <v>40</v>
      </c>
      <c r="AB638" s="21" t="s">
        <v>40</v>
      </c>
    </row>
    <row r="639" spans="1:28" ht="69.95" customHeight="1">
      <c r="A639" s="21">
        <v>2017</v>
      </c>
      <c r="B639" s="21" t="s">
        <v>64</v>
      </c>
      <c r="C639" s="7" t="s">
        <v>2272</v>
      </c>
      <c r="D639" s="24">
        <v>43042</v>
      </c>
      <c r="E639" s="7" t="s">
        <v>2273</v>
      </c>
      <c r="F639" s="7" t="s">
        <v>730</v>
      </c>
      <c r="G639" s="23">
        <v>476609.73</v>
      </c>
      <c r="H639" s="7" t="s">
        <v>794</v>
      </c>
      <c r="I639" s="7" t="s">
        <v>1414</v>
      </c>
      <c r="J639" s="7" t="s">
        <v>1415</v>
      </c>
      <c r="K639" s="7" t="s">
        <v>1416</v>
      </c>
      <c r="L639" s="7" t="s">
        <v>1417</v>
      </c>
      <c r="M639" s="7" t="s">
        <v>1418</v>
      </c>
      <c r="N639" s="23">
        <v>476609.73</v>
      </c>
      <c r="O639" s="21" t="s">
        <v>40</v>
      </c>
      <c r="P639" s="21" t="s">
        <v>2274</v>
      </c>
      <c r="Q639" s="23">
        <v>3812.8778399999997</v>
      </c>
      <c r="R639" s="21" t="s">
        <v>42</v>
      </c>
      <c r="S639" s="25">
        <v>232</v>
      </c>
      <c r="T639" s="7" t="s">
        <v>43</v>
      </c>
      <c r="U639" s="21" t="s">
        <v>584</v>
      </c>
      <c r="V639" s="24">
        <v>43045</v>
      </c>
      <c r="W639" s="24">
        <v>43100</v>
      </c>
      <c r="X639" s="21" t="s">
        <v>640</v>
      </c>
      <c r="Y639" s="21" t="s">
        <v>496</v>
      </c>
      <c r="Z639" s="21" t="s">
        <v>749</v>
      </c>
      <c r="AA639" s="21" t="s">
        <v>40</v>
      </c>
      <c r="AB639" s="21" t="s">
        <v>40</v>
      </c>
    </row>
    <row r="640" spans="1:28" ht="69.95" customHeight="1">
      <c r="A640" s="21">
        <v>2017</v>
      </c>
      <c r="B640" s="21" t="s">
        <v>64</v>
      </c>
      <c r="C640" s="7" t="s">
        <v>2275</v>
      </c>
      <c r="D640" s="24">
        <v>43042</v>
      </c>
      <c r="E640" s="7" t="s">
        <v>2276</v>
      </c>
      <c r="F640" s="7" t="s">
        <v>730</v>
      </c>
      <c r="G640" s="23">
        <v>750368.42</v>
      </c>
      <c r="H640" s="7" t="s">
        <v>170</v>
      </c>
      <c r="I640" s="7" t="s">
        <v>1967</v>
      </c>
      <c r="J640" s="7" t="s">
        <v>1968</v>
      </c>
      <c r="K640" s="7" t="s">
        <v>1969</v>
      </c>
      <c r="L640" s="7" t="s">
        <v>1970</v>
      </c>
      <c r="M640" s="7" t="s">
        <v>1971</v>
      </c>
      <c r="N640" s="23">
        <v>750368.42</v>
      </c>
      <c r="O640" s="21" t="s">
        <v>40</v>
      </c>
      <c r="P640" s="21" t="s">
        <v>2277</v>
      </c>
      <c r="Q640" s="23">
        <v>6524.9427826086958</v>
      </c>
      <c r="R640" s="21" t="s">
        <v>42</v>
      </c>
      <c r="S640" s="25">
        <v>102</v>
      </c>
      <c r="T640" s="7" t="s">
        <v>43</v>
      </c>
      <c r="U640" s="21" t="s">
        <v>584</v>
      </c>
      <c r="V640" s="24">
        <v>43045</v>
      </c>
      <c r="W640" s="24">
        <v>43146</v>
      </c>
      <c r="X640" s="21" t="s">
        <v>963</v>
      </c>
      <c r="Y640" s="21" t="s">
        <v>1196</v>
      </c>
      <c r="Z640" s="21" t="s">
        <v>212</v>
      </c>
      <c r="AA640" s="21" t="s">
        <v>40</v>
      </c>
      <c r="AB640" s="21" t="s">
        <v>40</v>
      </c>
    </row>
    <row r="641" spans="1:28" ht="69.95" customHeight="1">
      <c r="A641" s="21">
        <v>2017</v>
      </c>
      <c r="B641" s="21" t="s">
        <v>64</v>
      </c>
      <c r="C641" s="7" t="s">
        <v>2278</v>
      </c>
      <c r="D641" s="24">
        <v>43053</v>
      </c>
      <c r="E641" s="7" t="s">
        <v>2279</v>
      </c>
      <c r="F641" s="7" t="s">
        <v>730</v>
      </c>
      <c r="G641" s="23">
        <v>1655244.55</v>
      </c>
      <c r="H641" s="7" t="s">
        <v>436</v>
      </c>
      <c r="I641" s="7" t="s">
        <v>1766</v>
      </c>
      <c r="J641" s="7" t="s">
        <v>1425</v>
      </c>
      <c r="K641" s="7" t="s">
        <v>1767</v>
      </c>
      <c r="L641" s="7" t="s">
        <v>1768</v>
      </c>
      <c r="M641" s="7" t="s">
        <v>1769</v>
      </c>
      <c r="N641" s="23">
        <v>1655244.55</v>
      </c>
      <c r="O641" s="21" t="s">
        <v>40</v>
      </c>
      <c r="P641" s="21" t="s">
        <v>1835</v>
      </c>
      <c r="Q641" s="23">
        <v>3796.4324541284404</v>
      </c>
      <c r="R641" s="21" t="s">
        <v>42</v>
      </c>
      <c r="S641" s="25">
        <v>15890</v>
      </c>
      <c r="T641" s="7" t="s">
        <v>43</v>
      </c>
      <c r="U641" s="21" t="s">
        <v>584</v>
      </c>
      <c r="V641" s="24">
        <v>43054</v>
      </c>
      <c r="W641" s="24">
        <v>43100</v>
      </c>
      <c r="X641" s="21" t="s">
        <v>967</v>
      </c>
      <c r="Y641" s="21" t="s">
        <v>383</v>
      </c>
      <c r="Z641" s="21" t="s">
        <v>300</v>
      </c>
      <c r="AA641" s="21" t="s">
        <v>40</v>
      </c>
      <c r="AB641" s="21" t="s">
        <v>40</v>
      </c>
    </row>
    <row r="642" spans="1:28" ht="81">
      <c r="A642" s="45">
        <v>2017</v>
      </c>
      <c r="B642" s="45" t="s">
        <v>64</v>
      </c>
      <c r="C642" s="7" t="s">
        <v>2299</v>
      </c>
      <c r="D642" s="50">
        <v>43080</v>
      </c>
      <c r="E642" s="47" t="s">
        <v>2300</v>
      </c>
      <c r="F642" s="7" t="s">
        <v>1211</v>
      </c>
      <c r="G642" s="49">
        <v>1498589.36</v>
      </c>
      <c r="H642" s="46" t="s">
        <v>436</v>
      </c>
      <c r="I642" s="41" t="s">
        <v>2301</v>
      </c>
      <c r="J642" s="41" t="s">
        <v>2302</v>
      </c>
      <c r="K642" s="41" t="s">
        <v>2303</v>
      </c>
      <c r="L642" s="41" t="s">
        <v>2304</v>
      </c>
      <c r="M642" s="41" t="s">
        <v>2305</v>
      </c>
      <c r="N642" s="49">
        <v>1498589.36</v>
      </c>
      <c r="O642" s="40" t="s">
        <v>40</v>
      </c>
      <c r="P642" s="43" t="s">
        <v>2306</v>
      </c>
      <c r="Q642" s="53">
        <v>1242.6114096185738</v>
      </c>
      <c r="R642" s="40" t="s">
        <v>42</v>
      </c>
      <c r="S642" s="52">
        <v>2481</v>
      </c>
      <c r="T642" s="47" t="s">
        <v>43</v>
      </c>
      <c r="U642" s="45" t="s">
        <v>584</v>
      </c>
      <c r="V642" s="50">
        <v>43080</v>
      </c>
      <c r="W642" s="50">
        <v>43177</v>
      </c>
      <c r="X642" s="21" t="s">
        <v>967</v>
      </c>
      <c r="Y642" s="21" t="s">
        <v>383</v>
      </c>
      <c r="Z642" s="21" t="s">
        <v>300</v>
      </c>
      <c r="AA642" s="45" t="s">
        <v>40</v>
      </c>
      <c r="AB642" s="55" t="s">
        <v>40</v>
      </c>
    </row>
    <row r="643" spans="1:28" ht="24.95" customHeight="1">
      <c r="A643" s="42" t="s">
        <v>2307</v>
      </c>
      <c r="B643" s="42"/>
      <c r="C643" s="42"/>
      <c r="D643" s="42"/>
      <c r="E643" s="42"/>
      <c r="F643" s="57"/>
      <c r="G643" s="57"/>
      <c r="H643" s="57"/>
      <c r="I643" s="57"/>
      <c r="J643" s="57"/>
      <c r="K643" s="56"/>
      <c r="L643" s="56"/>
      <c r="M643" s="56"/>
      <c r="N643" s="56"/>
      <c r="O643" s="56"/>
      <c r="P643" s="56"/>
      <c r="Q643" s="56"/>
      <c r="R643" s="56"/>
      <c r="S643" s="56"/>
      <c r="T643" s="56"/>
      <c r="U643" s="56"/>
      <c r="V643" s="56"/>
      <c r="W643" s="56"/>
      <c r="X643" s="57"/>
      <c r="Y643" s="57"/>
      <c r="Z643" s="56"/>
      <c r="AA643" s="56"/>
      <c r="AB643" s="56"/>
    </row>
    <row r="644" spans="1:28" ht="24.95" customHeight="1">
      <c r="A644" s="39" t="s">
        <v>2308</v>
      </c>
      <c r="B644" s="39"/>
      <c r="C644" s="39"/>
      <c r="D644" s="39"/>
      <c r="E644" s="39"/>
      <c r="F644" s="58"/>
      <c r="G644" s="58"/>
      <c r="H644" s="58"/>
      <c r="I644" s="58"/>
      <c r="J644" s="58"/>
      <c r="K644" s="56"/>
      <c r="L644" s="56"/>
      <c r="M644" s="56"/>
      <c r="N644" s="56"/>
      <c r="O644" s="56"/>
      <c r="P644" s="56"/>
      <c r="Q644" s="56"/>
      <c r="R644" s="56"/>
      <c r="S644" s="56"/>
      <c r="T644" s="56"/>
      <c r="U644" s="56"/>
      <c r="V644" s="56"/>
      <c r="W644" s="56"/>
      <c r="X644" s="58"/>
      <c r="Y644" s="58"/>
      <c r="Z644" s="56"/>
      <c r="AA644" s="56"/>
      <c r="AB644" s="56"/>
    </row>
    <row r="645" spans="1:28" ht="24.95" customHeight="1">
      <c r="A645" s="39" t="s">
        <v>2309</v>
      </c>
      <c r="B645" s="39"/>
      <c r="C645" s="39"/>
      <c r="D645" s="39"/>
      <c r="E645" s="39"/>
      <c r="F645" s="57"/>
      <c r="G645" s="57"/>
      <c r="H645" s="57"/>
      <c r="I645" s="57"/>
      <c r="J645" s="57"/>
      <c r="K645" s="56"/>
      <c r="L645" s="56"/>
      <c r="M645" s="56"/>
      <c r="N645" s="56"/>
      <c r="O645" s="56"/>
      <c r="P645" s="56"/>
      <c r="Q645" s="56"/>
      <c r="R645" s="56"/>
      <c r="S645" s="56"/>
      <c r="T645" s="56"/>
      <c r="U645" s="56"/>
      <c r="V645" s="56"/>
      <c r="W645" s="56"/>
      <c r="X645" s="57"/>
      <c r="Y645" s="57"/>
      <c r="Z645" s="56"/>
      <c r="AA645" s="56"/>
      <c r="AB645" s="56"/>
    </row>
    <row r="646" spans="1:28" ht="24.95" customHeight="1">
      <c r="A646" s="39" t="s">
        <v>1240</v>
      </c>
      <c r="B646" s="39"/>
      <c r="C646" s="39"/>
      <c r="D646" s="39"/>
      <c r="E646" s="39"/>
      <c r="F646" s="59"/>
      <c r="G646" s="59"/>
      <c r="H646" s="59"/>
      <c r="I646" s="59"/>
      <c r="J646" s="59"/>
      <c r="K646" s="56"/>
      <c r="L646" s="56"/>
      <c r="M646" s="56"/>
      <c r="N646" s="56"/>
      <c r="O646" s="56"/>
      <c r="P646" s="56"/>
      <c r="Q646" s="56"/>
      <c r="R646" s="56"/>
      <c r="S646" s="56"/>
      <c r="T646" s="56"/>
      <c r="U646" s="56"/>
      <c r="V646" s="56"/>
      <c r="W646" s="56"/>
      <c r="X646" s="59"/>
      <c r="Y646" s="59"/>
      <c r="Z646" s="56"/>
      <c r="AA646" s="56"/>
      <c r="AB646" s="56"/>
    </row>
  </sheetData>
  <mergeCells count="28">
    <mergeCell ref="A646:E646"/>
    <mergeCell ref="A1:AB1"/>
    <mergeCell ref="A2:AB2"/>
    <mergeCell ref="A3:AB3"/>
    <mergeCell ref="A4:A5"/>
    <mergeCell ref="B4:B5"/>
    <mergeCell ref="C4:C5"/>
    <mergeCell ref="D4:D5"/>
    <mergeCell ref="E4:E5"/>
    <mergeCell ref="F4:F5"/>
    <mergeCell ref="G4:G5"/>
    <mergeCell ref="AA4:AA5"/>
    <mergeCell ref="AB4:AB5"/>
    <mergeCell ref="R4:R5"/>
    <mergeCell ref="S4:S5"/>
    <mergeCell ref="T4:T5"/>
    <mergeCell ref="P4:P5"/>
    <mergeCell ref="V4:W4"/>
    <mergeCell ref="X4:Z4"/>
    <mergeCell ref="H4:H5"/>
    <mergeCell ref="I4:M4"/>
    <mergeCell ref="N4:N5"/>
    <mergeCell ref="O4:O5"/>
    <mergeCell ref="Q4:Q5"/>
    <mergeCell ref="U4:U5"/>
    <mergeCell ref="A643:E643"/>
    <mergeCell ref="A644:E644"/>
    <mergeCell ref="A645:E645"/>
  </mergeCells>
  <hyperlinks>
    <hyperlink ref="AA6" r:id="rId1"/>
    <hyperlink ref="AA7" r:id="rId2"/>
    <hyperlink ref="AA8" r:id="rId3"/>
    <hyperlink ref="AA9" r:id="rId4"/>
    <hyperlink ref="AA10" r:id="rId5"/>
    <hyperlink ref="AA12" r:id="rId6"/>
    <hyperlink ref="AA13" r:id="rId7"/>
    <hyperlink ref="AA14" r:id="rId8"/>
    <hyperlink ref="AA16" r:id="rId9"/>
    <hyperlink ref="AA17" r:id="rId10"/>
    <hyperlink ref="AA19" r:id="rId11"/>
    <hyperlink ref="AA21" r:id="rId12"/>
    <hyperlink ref="AA23" r:id="rId13"/>
    <hyperlink ref="AA22" r:id="rId14"/>
    <hyperlink ref="AA29" r:id="rId15"/>
    <hyperlink ref="AA28" r:id="rId16"/>
    <hyperlink ref="AA26" r:id="rId17"/>
    <hyperlink ref="AA27" r:id="rId18"/>
    <hyperlink ref="AA31" r:id="rId19"/>
    <hyperlink ref="AA34" r:id="rId20"/>
    <hyperlink ref="AA35" r:id="rId21"/>
    <hyperlink ref="AA33" r:id="rId22"/>
    <hyperlink ref="AA37" r:id="rId23"/>
    <hyperlink ref="AA36" r:id="rId24"/>
    <hyperlink ref="AA38" r:id="rId25"/>
    <hyperlink ref="AA39" r:id="rId26"/>
    <hyperlink ref="AA45" r:id="rId27"/>
    <hyperlink ref="AA40" r:id="rId28"/>
    <hyperlink ref="AA41" r:id="rId29"/>
    <hyperlink ref="AA42" r:id="rId30"/>
    <hyperlink ref="AA43" r:id="rId31"/>
    <hyperlink ref="AA44" r:id="rId32"/>
    <hyperlink ref="AA49" r:id="rId33"/>
    <hyperlink ref="AA47" r:id="rId34"/>
    <hyperlink ref="AA48" r:id="rId35"/>
    <hyperlink ref="AA57" r:id="rId36"/>
    <hyperlink ref="AA56" r:id="rId37"/>
    <hyperlink ref="AA61" r:id="rId38"/>
    <hyperlink ref="AA62" r:id="rId39"/>
    <hyperlink ref="AA63" r:id="rId40"/>
    <hyperlink ref="AA68" r:id="rId41"/>
    <hyperlink ref="AA69" r:id="rId42" display="http://www.zapopan.gob.mx/wp-content/uploads/2017/09/55_16.pdf"/>
    <hyperlink ref="AA72" r:id="rId43" display="http://www.zapopan.gob.mx/wp-content/uploads/2017/09/58_16.pdf"/>
    <hyperlink ref="AA73" r:id="rId44" display="http://www.zapopan.gob.mx/wp-content/uploads/2017/09/59_16.pdf"/>
    <hyperlink ref="AA74" r:id="rId45" display="http://www.zapopan.gob.mx/wp-content/uploads/2017/09/60_16.pdf"/>
    <hyperlink ref="AA75" r:id="rId46" display="http://www.zapopan.gob.mx/wp-content/uploads/2017/09/061_16.pdf"/>
    <hyperlink ref="AA78" r:id="rId47"/>
    <hyperlink ref="AA81" r:id="rId48" display="http://www.zapopan.gob.mx/wp-content/uploads/2017/09/68_16.pdf"/>
    <hyperlink ref="AA82" r:id="rId49" display="http://www.zapopan.gob.mx/wp-content/uploads/2017/09/69_16-2.pdf"/>
    <hyperlink ref="AA83" r:id="rId50" display="http://www.zapopan.gob.mx/wp-content/uploads/2017/09/70_16.pdf"/>
    <hyperlink ref="AA84" r:id="rId51" display="http://www.zapopan.gob.mx/wp-content/uploads/2017/09/71_16.pdf"/>
    <hyperlink ref="AA88" r:id="rId52"/>
    <hyperlink ref="AA86" r:id="rId53" display="http://www.zapopan.gob.mx/wp-content/uploads/2017/09/073-16.pdf"/>
    <hyperlink ref="AA87" r:id="rId54"/>
    <hyperlink ref="AA85" r:id="rId55" display="http://www.zapopan.gob.mx/wp-content/uploads/2017/09/072_16.pdf"/>
    <hyperlink ref="AA90" r:id="rId56"/>
    <hyperlink ref="AA92" r:id="rId57" display="http://www.zapopan.gob.mx/wp-content/uploads/2017/09/79-16.pdf"/>
    <hyperlink ref="AA91" r:id="rId58" display="http://www.zapopan.gob.mx/wp-content/uploads/2017/09/078-16.pdf"/>
    <hyperlink ref="AA93" r:id="rId59" display="http://www.zapopan.gob.mx/wp-content/uploads/2017/09/080-16.pdf"/>
    <hyperlink ref="AA94" r:id="rId60" display="http://www.zapopan.gob.mx/wp-content/uploads/2017/09/081_16.pdf"/>
    <hyperlink ref="AA95" r:id="rId61" display="http://www.zapopan.gob.mx/wp-content/uploads/2017/09/082-16.pdf"/>
    <hyperlink ref="AA98" r:id="rId62" display="http://www.zapopan.gob.mx/wp-content/uploads/2017/09/085-16.pdf"/>
    <hyperlink ref="AA99" r:id="rId63" display="http://www.zapopan.gob.mx/wp-content/uploads/2017/09/086_16.pdf"/>
    <hyperlink ref="AA100" r:id="rId64" display="http://www.zapopan.gob.mx/wp-content/uploads/2017/09/087_16.pdf"/>
    <hyperlink ref="AA111" r:id="rId65" display="http://www.zapopan.gob.mx/wp-content/uploads/2017/09/98-16.pdf"/>
    <hyperlink ref="AA115" r:id="rId66"/>
    <hyperlink ref="AA118" r:id="rId67"/>
    <hyperlink ref="AA121" r:id="rId68"/>
    <hyperlink ref="AA120" r:id="rId69"/>
    <hyperlink ref="AA123" r:id="rId70" display="http://www.zapopan.gob.mx/wp-content/uploads/2017/09/110_16.pdf"/>
    <hyperlink ref="AA124" r:id="rId71" display="http://www.zapopan.gob.mx/wp-content/uploads/2017/09/111_16.pdf"/>
    <hyperlink ref="AA132" r:id="rId72"/>
    <hyperlink ref="AA144" r:id="rId73" display="http://www.zapopan.gob.mx/wp-content/uploads/2017/09/131_16.pdf"/>
    <hyperlink ref="AA149" r:id="rId74" display="http://www.zapopan.gob.mx/wp-content/uploads/2017/09/136-16.pdf"/>
    <hyperlink ref="AA152" r:id="rId75" display="http://www.zapopan.gob.mx/wp-content/uploads/2017/09/139-16.pdf"/>
    <hyperlink ref="AA164" r:id="rId76" display="http://www.zapopan.gob.mx/wp-content/uploads/2017/09/151_16.pdf"/>
    <hyperlink ref="AA165" r:id="rId77" display="http://www.zapopan.gob.mx/wp-content/uploads/2017/09/152_16.pdf"/>
    <hyperlink ref="AA167" r:id="rId78" display="http://www.zapopan.gob.mx/wp-content/uploads/2017/09/154-16.pdf"/>
    <hyperlink ref="AA171" r:id="rId79" display="http://www.zapopan.gob.mx/wp-content/uploads/2017/09/158-16.pdf"/>
    <hyperlink ref="AA184" r:id="rId80" display="http://www.zapopan.gob.mx/wp-content/uploads/2017/09/171-16.pdf"/>
    <hyperlink ref="AA194" r:id="rId81" display="http://www.zapopan.gob.mx/wp-content/uploads/2017/09/181-16.pdf"/>
    <hyperlink ref="AA195" r:id="rId82" display="http://www.zapopan.gob.mx/wp-content/uploads/2017/09/182-16.pdf"/>
    <hyperlink ref="AA198" r:id="rId83" display="http://www.zapopan.gob.mx/wp-content/uploads/2017/09/185-16.pdf"/>
    <hyperlink ref="AA200" r:id="rId84" display="http://www.zapopan.gob.mx/wp-content/uploads/2017/09/187-16.pdf"/>
    <hyperlink ref="AA222" r:id="rId85" display="http://www.zapopan.gob.mx/wp-content/uploads/2017/09/210-16.pdf"/>
    <hyperlink ref="AA224" r:id="rId86" display="http://www.zapopan.gob.mx/wp-content/uploads/2017/09/212-16.pdf"/>
    <hyperlink ref="AA230" r:id="rId87" display="http://www.zapopan.gob.mx/wp-content/uploads/2017/09/218-16.pdf"/>
    <hyperlink ref="AA232" r:id="rId88" display="http://www.zapopan.gob.mx/wp-content/uploads/2017/09/220-16.pdf"/>
    <hyperlink ref="AA235" r:id="rId89" display="http://www.zapopan.gob.mx/wp-content/uploads/2017/09/223-16.pdf"/>
    <hyperlink ref="AA236" r:id="rId90" display="http://www.zapopan.gob.mx/wp-content/uploads/2017/09/225-16.pdf"/>
    <hyperlink ref="AA248" r:id="rId91" display="http://www.zapopan.gob.mx/wp-content/uploads/2017/09/237-16.pdf"/>
    <hyperlink ref="AA254" r:id="rId92" display="http://www.zapopan.gob.mx/wp-content/uploads/2017/09/243-16.pdf"/>
    <hyperlink ref="AA256" r:id="rId93" display="http://www.zapopan.gob.mx/wp-content/uploads/2017/09/245-16.pdf"/>
    <hyperlink ref="AA258" r:id="rId94" display="http://www.zapopan.gob.mx/wp-content/uploads/2017/09/248-16.pdf"/>
    <hyperlink ref="AA281" r:id="rId95" display="http://www.zapopan.gob.mx/wp-content/uploads/2017/09/272-16.pdf"/>
    <hyperlink ref="AA282" r:id="rId96" display="http://www.zapopan.gob.mx/wp-content/uploads/2017/09/274-16.pdf"/>
    <hyperlink ref="AA301" r:id="rId97"/>
    <hyperlink ref="AA304" r:id="rId98"/>
    <hyperlink ref="AA314" r:id="rId99"/>
    <hyperlink ref="AA363" r:id="rId100"/>
  </hyperlinks>
  <pageMargins left="0.70866141732283472" right="0.70866141732283472" top="0.74803149606299213" bottom="0.74803149606299213" header="0.31496062992125984" footer="0.31496062992125984"/>
  <pageSetup paperSize="5" scale="34" fitToHeight="0" orientation="landscape" r:id="rId101"/>
  <colBreaks count="1" manualBreakCount="1">
    <brk id="13" max="19" man="1"/>
  </colBreaks>
  <drawing r:id="rId1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Obras Públicas</vt:lpstr>
      <vt:lpstr>'Resoluciones de Obras Públicas'!Área_de_impresión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2017-11-22T20:14:29Z</dcterms:created>
  <dcterms:modified xsi:type="dcterms:W3CDTF">2018-02-16T19:37:46Z</dcterms:modified>
</cp:coreProperties>
</file>