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0490" windowHeight="7755"/>
  </bookViews>
  <sheets>
    <sheet name="Obras Pública 2015-2018" sheetId="1" r:id="rId1"/>
  </sheets>
  <externalReferences>
    <externalReference r:id="rId2"/>
    <externalReference r:id="rId3"/>
  </externalReferences>
  <definedNames>
    <definedName name="_xlnm._FilterDatabase" localSheetId="0" hidden="1">'Obras Pública 2015-2018'!$A$5:$AD$807</definedName>
    <definedName name="_xlnm.Print_Area" localSheetId="0">'Obras Pública 2015-2018'!$B$1:$AD$807</definedName>
  </definedNames>
  <calcPr calcId="145621"/>
</workbook>
</file>

<file path=xl/calcChain.xml><?xml version="1.0" encoding="utf-8"?>
<calcChain xmlns="http://schemas.openxmlformats.org/spreadsheetml/2006/main">
  <c r="C704" i="1" l="1"/>
  <c r="D9" i="1"/>
  <c r="E9" i="1"/>
  <c r="F9" i="1"/>
  <c r="D10" i="1"/>
  <c r="E10" i="1"/>
  <c r="F10" i="1"/>
  <c r="D11" i="1"/>
  <c r="E11" i="1"/>
  <c r="F11" i="1"/>
  <c r="D12" i="1"/>
  <c r="E12" i="1"/>
  <c r="F12" i="1"/>
  <c r="D13" i="1"/>
  <c r="E13" i="1"/>
  <c r="F13" i="1"/>
  <c r="D14" i="1"/>
  <c r="E14" i="1"/>
  <c r="F14" i="1"/>
  <c r="D15" i="1"/>
  <c r="E15" i="1"/>
  <c r="F15" i="1"/>
  <c r="D16" i="1"/>
  <c r="E16" i="1"/>
  <c r="F16" i="1"/>
  <c r="D17" i="1"/>
  <c r="E17" i="1"/>
  <c r="F17" i="1"/>
  <c r="D18" i="1"/>
  <c r="E18" i="1"/>
  <c r="F18" i="1"/>
  <c r="D19" i="1"/>
  <c r="E19" i="1"/>
  <c r="F19" i="1"/>
  <c r="D20" i="1"/>
  <c r="E20" i="1"/>
  <c r="F20" i="1"/>
  <c r="D21" i="1"/>
  <c r="E21" i="1"/>
  <c r="F21" i="1"/>
  <c r="D22" i="1"/>
  <c r="E22" i="1"/>
  <c r="F22" i="1"/>
  <c r="D23" i="1"/>
  <c r="E23" i="1"/>
  <c r="F23" i="1"/>
  <c r="D24" i="1"/>
  <c r="E24" i="1"/>
  <c r="F24" i="1"/>
  <c r="D25" i="1"/>
  <c r="E25" i="1"/>
  <c r="F25" i="1"/>
  <c r="D26" i="1"/>
  <c r="E26" i="1"/>
  <c r="F26" i="1"/>
  <c r="D27" i="1"/>
  <c r="E27" i="1"/>
  <c r="F27" i="1"/>
  <c r="D28" i="1"/>
  <c r="E28" i="1"/>
  <c r="F28" i="1"/>
  <c r="D29" i="1"/>
  <c r="E29" i="1"/>
  <c r="F29" i="1"/>
  <c r="D30" i="1"/>
  <c r="E30" i="1"/>
  <c r="F30" i="1"/>
  <c r="D31" i="1"/>
  <c r="E31" i="1"/>
  <c r="F31" i="1"/>
  <c r="D46" i="1"/>
  <c r="E46" i="1"/>
  <c r="F46" i="1"/>
  <c r="D47" i="1"/>
  <c r="E47" i="1"/>
  <c r="F47" i="1"/>
  <c r="D48" i="1"/>
  <c r="E48" i="1"/>
  <c r="F48" i="1"/>
  <c r="D49" i="1"/>
  <c r="E49" i="1"/>
  <c r="F49" i="1"/>
  <c r="D50" i="1"/>
  <c r="E50" i="1"/>
  <c r="F50" i="1"/>
  <c r="D51" i="1"/>
  <c r="E51" i="1"/>
  <c r="F51" i="1"/>
  <c r="D52" i="1"/>
  <c r="E52" i="1"/>
  <c r="F52" i="1"/>
  <c r="D53" i="1"/>
  <c r="E53" i="1"/>
  <c r="F53" i="1"/>
  <c r="D54" i="1"/>
  <c r="E54" i="1"/>
  <c r="F54" i="1"/>
  <c r="D55" i="1"/>
  <c r="E55" i="1"/>
  <c r="F55" i="1"/>
  <c r="D56" i="1"/>
  <c r="E56" i="1"/>
  <c r="F56" i="1"/>
  <c r="D57" i="1"/>
  <c r="E57" i="1"/>
  <c r="F57" i="1"/>
  <c r="F58" i="1"/>
  <c r="F59" i="1"/>
  <c r="F60" i="1"/>
  <c r="F61" i="1"/>
  <c r="F62" i="1"/>
  <c r="F63" i="1"/>
  <c r="D64" i="1"/>
  <c r="E64" i="1"/>
  <c r="F64" i="1"/>
  <c r="D65" i="1"/>
  <c r="E65" i="1"/>
  <c r="F65" i="1"/>
  <c r="D66" i="1"/>
  <c r="E66" i="1"/>
  <c r="F66" i="1"/>
  <c r="D67" i="1"/>
  <c r="E67" i="1"/>
  <c r="F67" i="1"/>
  <c r="D68" i="1"/>
  <c r="E68" i="1"/>
  <c r="F68" i="1"/>
  <c r="D69" i="1"/>
  <c r="E69" i="1"/>
  <c r="F69" i="1"/>
  <c r="D70" i="1"/>
  <c r="E70" i="1"/>
  <c r="F70" i="1"/>
  <c r="D71" i="1"/>
  <c r="E71" i="1"/>
  <c r="F71" i="1"/>
  <c r="D72" i="1"/>
  <c r="E72" i="1"/>
  <c r="F72" i="1"/>
  <c r="D73" i="1"/>
  <c r="E73" i="1"/>
  <c r="F73" i="1"/>
  <c r="D74" i="1"/>
  <c r="E74" i="1"/>
  <c r="F74" i="1"/>
  <c r="D75" i="1"/>
  <c r="E75" i="1"/>
  <c r="F75" i="1"/>
  <c r="D76" i="1"/>
  <c r="E76" i="1"/>
  <c r="F76" i="1"/>
  <c r="D77" i="1"/>
  <c r="E77" i="1"/>
  <c r="F77" i="1"/>
  <c r="D78" i="1"/>
  <c r="E78" i="1"/>
  <c r="F78" i="1"/>
  <c r="D79" i="1"/>
  <c r="E79" i="1"/>
  <c r="F79" i="1"/>
  <c r="D80" i="1"/>
  <c r="E80" i="1"/>
  <c r="F80" i="1"/>
  <c r="D81" i="1"/>
  <c r="E81" i="1"/>
  <c r="F81" i="1"/>
  <c r="D82" i="1"/>
  <c r="E82" i="1"/>
  <c r="F82" i="1"/>
  <c r="D83" i="1"/>
  <c r="E83" i="1"/>
  <c r="F83" i="1"/>
  <c r="D84" i="1"/>
  <c r="E84" i="1"/>
  <c r="F84" i="1"/>
  <c r="D85" i="1"/>
  <c r="E85" i="1"/>
  <c r="F85" i="1"/>
  <c r="D86" i="1"/>
  <c r="E86" i="1"/>
  <c r="F86" i="1"/>
  <c r="D87" i="1"/>
  <c r="E87" i="1"/>
  <c r="F87" i="1"/>
  <c r="D88" i="1"/>
  <c r="E88" i="1"/>
  <c r="F88" i="1"/>
  <c r="D89" i="1"/>
  <c r="E89" i="1"/>
  <c r="F89" i="1"/>
  <c r="D90" i="1"/>
  <c r="E90" i="1"/>
  <c r="F90" i="1"/>
  <c r="D91" i="1"/>
  <c r="E91" i="1"/>
  <c r="F91" i="1"/>
  <c r="D92" i="1"/>
  <c r="E92" i="1"/>
  <c r="F92" i="1"/>
  <c r="D93" i="1"/>
  <c r="E93" i="1"/>
  <c r="F93" i="1"/>
  <c r="D94" i="1"/>
  <c r="E94" i="1"/>
  <c r="F94" i="1"/>
  <c r="D95" i="1"/>
  <c r="E95" i="1"/>
  <c r="F95" i="1"/>
  <c r="D96" i="1"/>
  <c r="E96" i="1"/>
  <c r="F96" i="1"/>
  <c r="D97" i="1"/>
  <c r="E97" i="1"/>
  <c r="F97" i="1"/>
  <c r="D98" i="1"/>
  <c r="E98" i="1"/>
  <c r="F98" i="1"/>
  <c r="D99" i="1"/>
  <c r="E99" i="1"/>
  <c r="F99" i="1"/>
  <c r="D100" i="1"/>
  <c r="E100" i="1"/>
  <c r="F100" i="1"/>
  <c r="D101" i="1"/>
  <c r="E101" i="1"/>
  <c r="F101" i="1"/>
  <c r="D102" i="1"/>
  <c r="E102" i="1"/>
  <c r="F102" i="1"/>
  <c r="D103" i="1"/>
  <c r="E103" i="1"/>
  <c r="F103" i="1"/>
  <c r="D104" i="1"/>
  <c r="E104" i="1"/>
  <c r="F104" i="1"/>
  <c r="D105" i="1"/>
  <c r="E105" i="1"/>
  <c r="F105" i="1"/>
  <c r="D106" i="1"/>
  <c r="E106" i="1"/>
  <c r="F106" i="1"/>
  <c r="D107" i="1"/>
  <c r="E107" i="1"/>
  <c r="F107" i="1"/>
  <c r="D108" i="1"/>
  <c r="E108" i="1"/>
  <c r="F108" i="1"/>
  <c r="D109" i="1"/>
  <c r="E109" i="1"/>
  <c r="F109" i="1"/>
  <c r="D110" i="1"/>
  <c r="E110" i="1"/>
  <c r="F110" i="1"/>
  <c r="D111" i="1"/>
  <c r="E111" i="1"/>
  <c r="F111" i="1"/>
  <c r="D112" i="1"/>
  <c r="E112" i="1"/>
  <c r="F112" i="1"/>
  <c r="D113" i="1"/>
  <c r="E113" i="1"/>
  <c r="F113" i="1"/>
  <c r="D114" i="1"/>
  <c r="E114" i="1"/>
  <c r="F114" i="1"/>
  <c r="D115" i="1"/>
  <c r="E115" i="1"/>
  <c r="F115" i="1"/>
  <c r="D116" i="1"/>
  <c r="E116" i="1"/>
  <c r="F116" i="1"/>
  <c r="D117" i="1"/>
  <c r="E117" i="1"/>
  <c r="F117" i="1"/>
  <c r="D118" i="1"/>
  <c r="E118" i="1"/>
  <c r="F118" i="1"/>
  <c r="D119" i="1"/>
  <c r="E119" i="1"/>
  <c r="F119" i="1"/>
  <c r="D120" i="1"/>
  <c r="E120" i="1"/>
  <c r="F120" i="1"/>
  <c r="D121" i="1"/>
  <c r="E121" i="1"/>
  <c r="F121" i="1"/>
  <c r="D122" i="1"/>
  <c r="E122" i="1"/>
  <c r="F122" i="1"/>
  <c r="D123" i="1"/>
  <c r="E123" i="1"/>
  <c r="F123" i="1"/>
  <c r="D124" i="1"/>
  <c r="E124" i="1"/>
  <c r="F124" i="1"/>
  <c r="D125" i="1"/>
  <c r="E125" i="1"/>
  <c r="F125" i="1"/>
  <c r="D126" i="1"/>
  <c r="E126" i="1"/>
  <c r="F126" i="1"/>
  <c r="D127" i="1"/>
  <c r="E127" i="1"/>
  <c r="F127" i="1"/>
  <c r="D128" i="1"/>
  <c r="E128" i="1"/>
  <c r="F128" i="1"/>
  <c r="D129" i="1"/>
  <c r="E129" i="1"/>
  <c r="F129" i="1"/>
  <c r="D130" i="1"/>
  <c r="E130" i="1"/>
  <c r="F130" i="1"/>
  <c r="D131" i="1"/>
  <c r="E131" i="1"/>
  <c r="F131" i="1"/>
  <c r="D132" i="1"/>
  <c r="E132" i="1"/>
  <c r="F132" i="1"/>
  <c r="D133" i="1"/>
  <c r="E133" i="1"/>
  <c r="F133" i="1"/>
  <c r="D134" i="1"/>
  <c r="E134" i="1"/>
  <c r="F134" i="1"/>
  <c r="D135" i="1"/>
  <c r="E135" i="1"/>
  <c r="F135" i="1"/>
  <c r="D136" i="1"/>
  <c r="E136" i="1"/>
  <c r="F136" i="1"/>
  <c r="D137" i="1"/>
  <c r="E137" i="1"/>
  <c r="F137" i="1"/>
  <c r="D138" i="1"/>
  <c r="E138" i="1"/>
  <c r="F138" i="1"/>
  <c r="D139" i="1"/>
  <c r="E139" i="1"/>
  <c r="F139" i="1"/>
  <c r="D140" i="1"/>
  <c r="E140" i="1"/>
  <c r="F140" i="1"/>
  <c r="D141" i="1"/>
  <c r="E141" i="1"/>
  <c r="F141" i="1"/>
  <c r="D142" i="1"/>
  <c r="E142" i="1"/>
  <c r="F142" i="1"/>
  <c r="D143" i="1"/>
  <c r="E143" i="1"/>
  <c r="F143" i="1"/>
  <c r="D144" i="1"/>
  <c r="E144" i="1"/>
  <c r="F144" i="1"/>
  <c r="D145" i="1"/>
  <c r="E145" i="1"/>
  <c r="F145" i="1"/>
  <c r="D146" i="1"/>
  <c r="E146" i="1"/>
  <c r="F146" i="1"/>
  <c r="D147" i="1"/>
  <c r="E147" i="1"/>
  <c r="F147" i="1"/>
  <c r="D148" i="1"/>
  <c r="E148" i="1"/>
  <c r="F148" i="1"/>
  <c r="D149" i="1"/>
  <c r="E149" i="1"/>
  <c r="F149" i="1"/>
  <c r="D150" i="1"/>
  <c r="E150" i="1"/>
  <c r="F150" i="1"/>
  <c r="D151" i="1"/>
  <c r="E151" i="1"/>
  <c r="F151" i="1"/>
  <c r="D152" i="1"/>
  <c r="E152" i="1"/>
  <c r="F152" i="1"/>
  <c r="D153" i="1"/>
  <c r="E153" i="1"/>
  <c r="F153" i="1"/>
  <c r="C154" i="1"/>
  <c r="D154" i="1"/>
  <c r="E154" i="1"/>
  <c r="F154" i="1"/>
  <c r="C155" i="1"/>
  <c r="D155" i="1"/>
  <c r="E155" i="1"/>
  <c r="F155" i="1"/>
  <c r="C156" i="1"/>
  <c r="D156" i="1"/>
  <c r="E156" i="1"/>
  <c r="F156" i="1"/>
  <c r="C157" i="1"/>
  <c r="D157" i="1"/>
  <c r="E157" i="1"/>
  <c r="F157" i="1"/>
  <c r="C158" i="1"/>
  <c r="D158" i="1"/>
  <c r="E158" i="1"/>
  <c r="F158" i="1"/>
  <c r="C159" i="1"/>
  <c r="D159" i="1"/>
  <c r="E159" i="1"/>
  <c r="F159" i="1"/>
  <c r="C160" i="1"/>
  <c r="D160" i="1"/>
  <c r="E160" i="1"/>
  <c r="F160" i="1"/>
  <c r="C161" i="1"/>
  <c r="D161" i="1"/>
  <c r="E161" i="1"/>
  <c r="F161" i="1"/>
  <c r="C162" i="1"/>
  <c r="D162" i="1"/>
  <c r="E162" i="1"/>
  <c r="F162" i="1"/>
  <c r="C163" i="1"/>
  <c r="D163" i="1"/>
  <c r="E163" i="1"/>
  <c r="F163" i="1"/>
  <c r="C164" i="1"/>
  <c r="D164" i="1"/>
  <c r="E164" i="1"/>
  <c r="F164" i="1"/>
  <c r="C165" i="1"/>
  <c r="D165" i="1"/>
  <c r="E165" i="1"/>
  <c r="F165" i="1"/>
  <c r="C166" i="1"/>
  <c r="D166" i="1"/>
  <c r="E166" i="1"/>
  <c r="F166" i="1"/>
  <c r="C167" i="1"/>
  <c r="D167" i="1"/>
  <c r="E167" i="1"/>
  <c r="F167" i="1"/>
  <c r="C168" i="1"/>
  <c r="D168" i="1"/>
  <c r="E168" i="1"/>
  <c r="F168" i="1"/>
  <c r="C169" i="1"/>
  <c r="D169" i="1"/>
  <c r="E169" i="1"/>
  <c r="F169" i="1"/>
  <c r="C170" i="1"/>
  <c r="D170" i="1"/>
  <c r="E170" i="1"/>
  <c r="F170" i="1"/>
  <c r="C171" i="1"/>
  <c r="D171" i="1"/>
  <c r="E171" i="1"/>
  <c r="F171" i="1"/>
  <c r="D172" i="1"/>
  <c r="E172" i="1"/>
  <c r="F172" i="1"/>
  <c r="D173" i="1"/>
  <c r="E173" i="1"/>
  <c r="F173" i="1"/>
  <c r="D174" i="1"/>
  <c r="E174" i="1"/>
  <c r="F174" i="1"/>
  <c r="D175" i="1"/>
  <c r="E175" i="1"/>
  <c r="F175" i="1"/>
  <c r="D176" i="1"/>
  <c r="E176" i="1"/>
  <c r="F176" i="1"/>
  <c r="D177" i="1"/>
  <c r="E177" i="1"/>
  <c r="F177" i="1"/>
  <c r="D178" i="1"/>
  <c r="E178" i="1"/>
  <c r="F178" i="1"/>
  <c r="D179" i="1"/>
  <c r="E179" i="1"/>
  <c r="F179" i="1"/>
  <c r="D180" i="1"/>
  <c r="E180" i="1"/>
  <c r="F180" i="1"/>
  <c r="D181" i="1"/>
  <c r="E181" i="1"/>
  <c r="F181" i="1"/>
  <c r="D182" i="1"/>
  <c r="E182" i="1"/>
  <c r="F182" i="1"/>
  <c r="D183" i="1"/>
  <c r="E183" i="1"/>
  <c r="F183" i="1"/>
  <c r="D184" i="1"/>
  <c r="E184" i="1"/>
  <c r="F184" i="1"/>
  <c r="D185" i="1"/>
  <c r="E185" i="1"/>
  <c r="F185" i="1"/>
  <c r="C186" i="1"/>
  <c r="D186" i="1"/>
  <c r="E186" i="1"/>
  <c r="F186" i="1"/>
  <c r="C187" i="1"/>
  <c r="D187" i="1"/>
  <c r="E187" i="1"/>
  <c r="F187" i="1"/>
  <c r="C188" i="1"/>
  <c r="D188" i="1"/>
  <c r="E188" i="1"/>
  <c r="F188" i="1"/>
  <c r="C189" i="1"/>
  <c r="D189" i="1"/>
  <c r="E189" i="1"/>
  <c r="F189" i="1"/>
  <c r="C190" i="1"/>
  <c r="D190" i="1"/>
  <c r="E190" i="1"/>
  <c r="F190" i="1"/>
  <c r="C191" i="1"/>
  <c r="D191" i="1"/>
  <c r="E191" i="1"/>
  <c r="F191" i="1"/>
  <c r="C192" i="1"/>
  <c r="D192" i="1"/>
  <c r="E192" i="1"/>
  <c r="F192" i="1"/>
  <c r="C193" i="1"/>
  <c r="D193" i="1"/>
  <c r="E193" i="1"/>
  <c r="F193" i="1"/>
  <c r="D194" i="1"/>
  <c r="E194" i="1"/>
  <c r="F194" i="1"/>
  <c r="D195" i="1"/>
  <c r="E195" i="1"/>
  <c r="F195" i="1"/>
  <c r="D196" i="1"/>
  <c r="E196" i="1"/>
  <c r="F196" i="1"/>
  <c r="D197" i="1"/>
  <c r="E197" i="1"/>
  <c r="F197" i="1"/>
  <c r="D198" i="1"/>
  <c r="E198" i="1"/>
  <c r="F198" i="1"/>
  <c r="D199" i="1"/>
  <c r="E199" i="1"/>
  <c r="F199" i="1"/>
  <c r="D200" i="1"/>
  <c r="E200" i="1"/>
  <c r="F200" i="1"/>
  <c r="D201" i="1"/>
  <c r="E201" i="1"/>
  <c r="F201" i="1"/>
  <c r="D202" i="1"/>
  <c r="E202" i="1"/>
  <c r="F202" i="1"/>
  <c r="D203" i="1"/>
  <c r="E203" i="1"/>
  <c r="F203" i="1"/>
  <c r="D204" i="1"/>
  <c r="E204" i="1"/>
  <c r="F204" i="1"/>
  <c r="D205" i="1"/>
  <c r="E205" i="1"/>
  <c r="F205" i="1"/>
  <c r="D206" i="1"/>
  <c r="E206" i="1"/>
  <c r="F206" i="1"/>
  <c r="D207" i="1"/>
  <c r="E207" i="1"/>
  <c r="F207" i="1"/>
  <c r="D208" i="1"/>
  <c r="E208" i="1"/>
  <c r="F208" i="1"/>
  <c r="D209" i="1"/>
  <c r="E209" i="1"/>
  <c r="F209" i="1"/>
  <c r="D210" i="1"/>
  <c r="E210" i="1"/>
  <c r="F210" i="1"/>
  <c r="D211" i="1"/>
  <c r="E211" i="1"/>
  <c r="F211" i="1"/>
  <c r="D212" i="1"/>
  <c r="E212" i="1"/>
  <c r="F212" i="1"/>
  <c r="D213" i="1"/>
  <c r="E213" i="1"/>
  <c r="F213" i="1"/>
  <c r="D214" i="1"/>
  <c r="E214" i="1"/>
  <c r="F214" i="1"/>
  <c r="D215" i="1"/>
  <c r="E215" i="1"/>
  <c r="F215" i="1"/>
  <c r="D216" i="1"/>
  <c r="E216" i="1"/>
  <c r="F216" i="1"/>
  <c r="D217" i="1"/>
  <c r="E217" i="1"/>
  <c r="F217" i="1"/>
  <c r="D218" i="1"/>
  <c r="E218" i="1"/>
  <c r="F218" i="1"/>
  <c r="D219" i="1"/>
  <c r="E219" i="1"/>
  <c r="F219" i="1"/>
  <c r="D220" i="1"/>
  <c r="E220" i="1"/>
  <c r="F220" i="1"/>
  <c r="D221" i="1"/>
  <c r="E221" i="1"/>
  <c r="F221" i="1"/>
  <c r="D222" i="1"/>
  <c r="E222" i="1"/>
  <c r="F222" i="1"/>
  <c r="D223" i="1"/>
  <c r="E223" i="1"/>
  <c r="F223" i="1"/>
  <c r="D224" i="1"/>
  <c r="E224" i="1"/>
  <c r="F224" i="1"/>
  <c r="D225" i="1"/>
  <c r="E225" i="1"/>
  <c r="F225" i="1"/>
  <c r="D226" i="1"/>
  <c r="E226" i="1"/>
  <c r="F226" i="1"/>
  <c r="D227" i="1"/>
  <c r="E227" i="1"/>
  <c r="F227" i="1"/>
  <c r="D228" i="1"/>
  <c r="E228" i="1"/>
  <c r="F228" i="1"/>
  <c r="D229" i="1"/>
  <c r="E229" i="1"/>
  <c r="F229" i="1"/>
  <c r="D230" i="1"/>
  <c r="E230" i="1"/>
  <c r="F230" i="1"/>
  <c r="D231" i="1"/>
  <c r="E231" i="1"/>
  <c r="F231" i="1"/>
  <c r="D232" i="1"/>
  <c r="E232" i="1"/>
  <c r="F232" i="1"/>
  <c r="D233" i="1"/>
  <c r="E233" i="1"/>
  <c r="F233" i="1"/>
  <c r="D234" i="1"/>
  <c r="E234" i="1"/>
  <c r="F234" i="1"/>
  <c r="D235" i="1"/>
  <c r="E235" i="1"/>
  <c r="F235" i="1"/>
  <c r="D236" i="1"/>
  <c r="E236" i="1"/>
  <c r="F236" i="1"/>
  <c r="D237" i="1"/>
  <c r="E237" i="1"/>
  <c r="F237" i="1"/>
  <c r="D238" i="1"/>
  <c r="E238" i="1"/>
  <c r="F238" i="1"/>
  <c r="C239" i="1"/>
  <c r="D239" i="1"/>
  <c r="E239" i="1"/>
  <c r="F239" i="1"/>
  <c r="C240" i="1"/>
  <c r="D240" i="1"/>
  <c r="E240" i="1"/>
  <c r="F240" i="1"/>
  <c r="C241" i="1"/>
  <c r="D241" i="1"/>
  <c r="E241" i="1"/>
  <c r="F241" i="1"/>
  <c r="C242" i="1"/>
  <c r="D242" i="1"/>
  <c r="E242" i="1"/>
  <c r="F242" i="1"/>
  <c r="C243" i="1"/>
  <c r="D243" i="1"/>
  <c r="E243" i="1"/>
  <c r="F243" i="1"/>
  <c r="C244" i="1"/>
  <c r="D244" i="1"/>
  <c r="E244" i="1"/>
  <c r="F244" i="1"/>
  <c r="D245" i="1"/>
  <c r="E245" i="1"/>
  <c r="F245" i="1"/>
  <c r="D246" i="1"/>
  <c r="E246" i="1"/>
  <c r="F246" i="1"/>
  <c r="D247" i="1"/>
  <c r="E247" i="1"/>
  <c r="F247" i="1"/>
  <c r="D248" i="1"/>
  <c r="E248" i="1"/>
  <c r="F248" i="1"/>
  <c r="C249" i="1"/>
  <c r="D249" i="1"/>
  <c r="E249" i="1"/>
  <c r="F249" i="1"/>
  <c r="D250" i="1"/>
  <c r="E250" i="1"/>
  <c r="F250" i="1"/>
  <c r="D251" i="1"/>
  <c r="E251" i="1"/>
  <c r="F251" i="1"/>
  <c r="D252" i="1"/>
  <c r="E252" i="1"/>
  <c r="F252" i="1"/>
  <c r="D253" i="1"/>
  <c r="E253" i="1"/>
  <c r="F253" i="1"/>
  <c r="D254" i="1"/>
  <c r="E254" i="1"/>
  <c r="F254" i="1"/>
  <c r="D255" i="1"/>
  <c r="E255" i="1"/>
  <c r="F255" i="1"/>
  <c r="D256" i="1"/>
  <c r="E256" i="1"/>
  <c r="F256" i="1"/>
  <c r="D257" i="1"/>
  <c r="E257" i="1"/>
  <c r="F257" i="1"/>
  <c r="D258" i="1"/>
  <c r="E258" i="1"/>
  <c r="F258" i="1"/>
  <c r="D259" i="1"/>
  <c r="E259" i="1"/>
  <c r="F259" i="1"/>
  <c r="D260" i="1"/>
  <c r="E260" i="1"/>
  <c r="F260" i="1"/>
  <c r="D261" i="1"/>
  <c r="E261" i="1"/>
  <c r="F261" i="1"/>
  <c r="D262" i="1"/>
  <c r="E262" i="1"/>
  <c r="F262" i="1"/>
  <c r="D263" i="1"/>
  <c r="E263" i="1"/>
  <c r="F263" i="1"/>
  <c r="D264" i="1"/>
  <c r="E264" i="1"/>
  <c r="F264" i="1"/>
  <c r="D265" i="1"/>
  <c r="E265" i="1"/>
  <c r="F265" i="1"/>
  <c r="D266" i="1"/>
  <c r="E266" i="1"/>
  <c r="F266" i="1"/>
  <c r="D267" i="1"/>
  <c r="E267" i="1"/>
  <c r="F267" i="1"/>
  <c r="D268" i="1"/>
  <c r="E268" i="1"/>
  <c r="F268" i="1"/>
  <c r="D269" i="1"/>
  <c r="E269" i="1"/>
  <c r="F269" i="1"/>
  <c r="D270" i="1"/>
  <c r="E270" i="1"/>
  <c r="F270" i="1"/>
  <c r="D271" i="1"/>
  <c r="E271" i="1"/>
  <c r="F271" i="1"/>
  <c r="D272" i="1"/>
  <c r="E272" i="1"/>
  <c r="F272" i="1"/>
  <c r="D273" i="1"/>
  <c r="E273" i="1"/>
  <c r="F273" i="1"/>
  <c r="D274" i="1"/>
  <c r="E274" i="1"/>
  <c r="F274" i="1"/>
  <c r="D275" i="1"/>
  <c r="E275" i="1"/>
  <c r="F275" i="1"/>
  <c r="D276" i="1"/>
  <c r="E276" i="1"/>
  <c r="F276" i="1"/>
  <c r="D277" i="1"/>
  <c r="E277" i="1"/>
  <c r="F277" i="1"/>
  <c r="D278" i="1"/>
  <c r="E278" i="1"/>
  <c r="F278" i="1"/>
  <c r="D279" i="1"/>
  <c r="E279" i="1"/>
  <c r="F279" i="1"/>
  <c r="D280" i="1"/>
  <c r="E280" i="1"/>
  <c r="F280" i="1"/>
  <c r="D281" i="1"/>
  <c r="E281" i="1"/>
  <c r="F281" i="1"/>
  <c r="D282" i="1"/>
  <c r="E282" i="1"/>
  <c r="F282" i="1"/>
  <c r="D283" i="1"/>
  <c r="E283" i="1"/>
  <c r="F283" i="1"/>
  <c r="D284" i="1"/>
  <c r="E284" i="1"/>
  <c r="F284" i="1"/>
  <c r="D285" i="1"/>
  <c r="E285" i="1"/>
  <c r="F285" i="1"/>
  <c r="D286" i="1"/>
  <c r="E286" i="1"/>
  <c r="F286" i="1"/>
  <c r="D287" i="1"/>
  <c r="E287" i="1"/>
  <c r="F287" i="1"/>
  <c r="D288" i="1"/>
  <c r="E288" i="1"/>
  <c r="F288" i="1"/>
  <c r="D289" i="1"/>
  <c r="E289" i="1"/>
  <c r="F289" i="1"/>
  <c r="D290" i="1"/>
  <c r="E290" i="1"/>
  <c r="F290" i="1"/>
  <c r="D291" i="1"/>
  <c r="E291" i="1"/>
  <c r="F291" i="1"/>
  <c r="D292" i="1"/>
  <c r="E292" i="1"/>
  <c r="F292" i="1"/>
  <c r="D293" i="1"/>
  <c r="E293" i="1"/>
  <c r="F293" i="1"/>
  <c r="D294" i="1"/>
  <c r="E294" i="1"/>
  <c r="F294" i="1"/>
  <c r="D295" i="1"/>
  <c r="E295" i="1"/>
  <c r="F295" i="1"/>
  <c r="D296" i="1"/>
  <c r="E296" i="1"/>
  <c r="F296" i="1"/>
  <c r="D297" i="1"/>
  <c r="E297" i="1"/>
  <c r="F297" i="1"/>
  <c r="D298" i="1"/>
  <c r="E298" i="1"/>
  <c r="F298" i="1"/>
  <c r="D299" i="1"/>
  <c r="E299" i="1"/>
  <c r="F299" i="1"/>
  <c r="D300" i="1"/>
  <c r="E300" i="1"/>
  <c r="F300" i="1"/>
  <c r="D301" i="1"/>
  <c r="E301" i="1"/>
  <c r="F301" i="1"/>
  <c r="D302" i="1"/>
  <c r="E302" i="1"/>
  <c r="F302" i="1"/>
  <c r="D303" i="1"/>
  <c r="E303" i="1"/>
  <c r="F303" i="1"/>
  <c r="D304" i="1"/>
  <c r="E304" i="1"/>
  <c r="F304" i="1"/>
  <c r="D305" i="1"/>
  <c r="E305" i="1"/>
  <c r="F305" i="1"/>
  <c r="D306" i="1"/>
  <c r="E306" i="1"/>
  <c r="F306" i="1"/>
  <c r="D307" i="1"/>
  <c r="E307" i="1"/>
  <c r="F307" i="1"/>
  <c r="D308" i="1"/>
  <c r="E308" i="1"/>
  <c r="F308" i="1"/>
  <c r="D309" i="1"/>
  <c r="E309" i="1"/>
  <c r="F309" i="1"/>
  <c r="D310" i="1"/>
  <c r="E310" i="1"/>
  <c r="F310" i="1"/>
  <c r="D311" i="1"/>
  <c r="E311" i="1"/>
  <c r="F311" i="1"/>
  <c r="D312" i="1"/>
  <c r="E312" i="1"/>
  <c r="F312" i="1"/>
  <c r="D313" i="1"/>
  <c r="E313" i="1"/>
  <c r="F313" i="1"/>
  <c r="D314" i="1"/>
  <c r="E314" i="1"/>
  <c r="F314" i="1"/>
  <c r="D315" i="1"/>
  <c r="E315" i="1"/>
  <c r="D316" i="1"/>
  <c r="E316" i="1"/>
  <c r="F316" i="1"/>
  <c r="D317" i="1"/>
  <c r="E317" i="1"/>
  <c r="F317" i="1"/>
  <c r="D318" i="1"/>
  <c r="E318" i="1"/>
  <c r="F318" i="1"/>
  <c r="D319" i="1"/>
  <c r="E319" i="1"/>
  <c r="F319" i="1"/>
  <c r="D320" i="1"/>
  <c r="E320" i="1"/>
  <c r="F320" i="1"/>
  <c r="D321" i="1"/>
  <c r="E321" i="1"/>
  <c r="F321" i="1"/>
  <c r="D322" i="1"/>
  <c r="E322" i="1"/>
  <c r="F322" i="1"/>
  <c r="D323" i="1"/>
  <c r="E323" i="1"/>
  <c r="F323" i="1"/>
  <c r="D324" i="1"/>
  <c r="E324" i="1"/>
  <c r="F324" i="1"/>
  <c r="D325" i="1"/>
  <c r="E325" i="1"/>
  <c r="F325" i="1"/>
  <c r="D326" i="1"/>
  <c r="E326" i="1"/>
  <c r="F326" i="1"/>
  <c r="D327" i="1"/>
  <c r="E327" i="1"/>
  <c r="F327" i="1"/>
  <c r="D328" i="1"/>
  <c r="E328" i="1"/>
  <c r="F328" i="1"/>
  <c r="D329" i="1"/>
  <c r="E329" i="1"/>
  <c r="F329" i="1"/>
  <c r="D330" i="1"/>
  <c r="E330" i="1"/>
  <c r="F330" i="1"/>
  <c r="D331" i="1"/>
  <c r="E331" i="1"/>
  <c r="F331" i="1"/>
  <c r="D332" i="1"/>
  <c r="E332" i="1"/>
  <c r="F332" i="1"/>
  <c r="D333" i="1"/>
  <c r="E333" i="1"/>
  <c r="F333" i="1"/>
  <c r="D334" i="1"/>
  <c r="E334" i="1"/>
  <c r="F334" i="1"/>
  <c r="D335" i="1"/>
  <c r="E335" i="1"/>
  <c r="F335" i="1"/>
  <c r="D336" i="1"/>
  <c r="E336" i="1"/>
  <c r="F336" i="1"/>
  <c r="D337" i="1"/>
  <c r="E337" i="1"/>
  <c r="F337" i="1"/>
  <c r="D338" i="1"/>
  <c r="E338" i="1"/>
  <c r="F338" i="1"/>
  <c r="D339" i="1"/>
  <c r="E339" i="1"/>
  <c r="F339" i="1"/>
  <c r="D340" i="1"/>
  <c r="E340" i="1"/>
  <c r="F340" i="1"/>
  <c r="D341" i="1"/>
  <c r="E341" i="1"/>
  <c r="F341" i="1"/>
  <c r="D342" i="1"/>
  <c r="E342" i="1"/>
  <c r="F342" i="1"/>
  <c r="D343" i="1"/>
  <c r="E343" i="1"/>
  <c r="F343" i="1"/>
  <c r="D344" i="1"/>
  <c r="E344" i="1"/>
  <c r="F344" i="1"/>
  <c r="D345" i="1"/>
  <c r="E345" i="1"/>
  <c r="F345" i="1"/>
  <c r="D346" i="1"/>
  <c r="E346" i="1"/>
  <c r="F346" i="1"/>
  <c r="D347" i="1"/>
  <c r="E347" i="1"/>
  <c r="F347" i="1"/>
  <c r="D348" i="1"/>
  <c r="E348" i="1"/>
  <c r="F348" i="1"/>
  <c r="D349" i="1"/>
  <c r="E349" i="1"/>
  <c r="F349" i="1"/>
  <c r="D350" i="1"/>
  <c r="E350" i="1"/>
  <c r="F350" i="1"/>
  <c r="D351" i="1"/>
  <c r="E351" i="1"/>
  <c r="F351" i="1"/>
  <c r="D352" i="1"/>
  <c r="E352" i="1"/>
  <c r="F352" i="1"/>
  <c r="D353" i="1"/>
  <c r="E353" i="1"/>
  <c r="F353" i="1"/>
  <c r="D354" i="1"/>
  <c r="E354" i="1"/>
  <c r="F354" i="1"/>
  <c r="D355" i="1"/>
  <c r="E355" i="1"/>
  <c r="F355" i="1"/>
  <c r="D356" i="1"/>
  <c r="E356" i="1"/>
  <c r="F356" i="1"/>
  <c r="D357" i="1"/>
  <c r="E357" i="1"/>
  <c r="F357" i="1"/>
  <c r="D358" i="1"/>
  <c r="E358" i="1"/>
  <c r="F358" i="1"/>
  <c r="D359" i="1"/>
  <c r="E359" i="1"/>
  <c r="F359" i="1"/>
  <c r="D360" i="1"/>
  <c r="E360" i="1"/>
  <c r="F360" i="1"/>
  <c r="D361" i="1"/>
  <c r="E361" i="1"/>
  <c r="F361" i="1"/>
  <c r="D362" i="1"/>
  <c r="E362" i="1"/>
  <c r="F362" i="1"/>
  <c r="D363" i="1"/>
  <c r="E363" i="1"/>
  <c r="F363" i="1"/>
  <c r="D364" i="1"/>
  <c r="E364" i="1"/>
  <c r="F364" i="1"/>
  <c r="D365" i="1"/>
  <c r="E365" i="1"/>
  <c r="F365" i="1"/>
  <c r="D366" i="1"/>
  <c r="E366" i="1"/>
  <c r="F366" i="1"/>
  <c r="D367" i="1"/>
  <c r="E367" i="1"/>
  <c r="F367" i="1"/>
  <c r="D368" i="1"/>
  <c r="E368" i="1"/>
  <c r="F368" i="1"/>
  <c r="D369" i="1"/>
  <c r="E369" i="1"/>
  <c r="F369" i="1"/>
  <c r="D370" i="1"/>
  <c r="E370" i="1"/>
  <c r="F370" i="1"/>
  <c r="D371" i="1"/>
  <c r="E371" i="1"/>
  <c r="F371" i="1"/>
  <c r="D372" i="1"/>
  <c r="E372" i="1"/>
  <c r="F372" i="1"/>
  <c r="D373" i="1"/>
  <c r="E373" i="1"/>
  <c r="F373" i="1"/>
  <c r="D374" i="1"/>
  <c r="E374" i="1"/>
  <c r="F374" i="1"/>
  <c r="D375" i="1"/>
  <c r="E375" i="1"/>
  <c r="F375" i="1"/>
  <c r="D376" i="1"/>
  <c r="E376" i="1"/>
  <c r="F376" i="1"/>
  <c r="D377" i="1"/>
  <c r="E377" i="1"/>
  <c r="F377" i="1"/>
  <c r="D378" i="1"/>
  <c r="E378" i="1"/>
  <c r="F378" i="1"/>
  <c r="D379" i="1"/>
  <c r="E379" i="1"/>
  <c r="F379" i="1"/>
  <c r="D380" i="1"/>
  <c r="E380" i="1"/>
  <c r="F380" i="1"/>
  <c r="D381" i="1"/>
  <c r="E381" i="1"/>
  <c r="F381" i="1"/>
  <c r="D382" i="1"/>
  <c r="E382" i="1"/>
  <c r="F382" i="1"/>
  <c r="D383" i="1"/>
  <c r="E383" i="1"/>
  <c r="F383" i="1"/>
  <c r="D384" i="1"/>
  <c r="E384" i="1"/>
  <c r="F384" i="1"/>
  <c r="D385" i="1"/>
  <c r="E385" i="1"/>
  <c r="F385" i="1"/>
  <c r="D386" i="1"/>
  <c r="E386" i="1"/>
  <c r="F386" i="1"/>
  <c r="D387" i="1"/>
  <c r="E387" i="1"/>
  <c r="F387" i="1"/>
  <c r="D388" i="1"/>
  <c r="E388" i="1"/>
  <c r="F388" i="1"/>
  <c r="D389" i="1"/>
  <c r="E389" i="1"/>
  <c r="F389" i="1"/>
  <c r="D390" i="1"/>
  <c r="E390" i="1"/>
  <c r="F390" i="1"/>
  <c r="D391" i="1"/>
  <c r="E391" i="1"/>
  <c r="F391" i="1"/>
  <c r="D392" i="1"/>
  <c r="E392" i="1"/>
  <c r="F392" i="1"/>
  <c r="D393" i="1"/>
  <c r="E393" i="1"/>
  <c r="F393" i="1"/>
  <c r="D394" i="1"/>
  <c r="E394" i="1"/>
  <c r="F394" i="1"/>
  <c r="D395" i="1"/>
  <c r="E395" i="1"/>
  <c r="D396" i="1"/>
  <c r="E396" i="1"/>
  <c r="D397" i="1"/>
  <c r="E397" i="1"/>
  <c r="F397" i="1"/>
  <c r="D398" i="1"/>
  <c r="E398" i="1"/>
  <c r="F398" i="1"/>
  <c r="D399" i="1"/>
  <c r="E399" i="1"/>
  <c r="F399" i="1"/>
  <c r="D400" i="1"/>
  <c r="E400" i="1"/>
  <c r="D401" i="1"/>
  <c r="E401" i="1"/>
  <c r="D402" i="1"/>
  <c r="E402" i="1"/>
  <c r="F402" i="1"/>
  <c r="D403" i="1"/>
  <c r="E403" i="1"/>
  <c r="F403" i="1"/>
  <c r="D404" i="1"/>
  <c r="E404" i="1"/>
  <c r="F404" i="1"/>
  <c r="D405" i="1"/>
  <c r="E405" i="1"/>
  <c r="F405" i="1"/>
  <c r="D406" i="1"/>
  <c r="E406" i="1"/>
  <c r="F406" i="1"/>
  <c r="D407" i="1"/>
  <c r="E407" i="1"/>
  <c r="F407" i="1"/>
  <c r="D408" i="1"/>
  <c r="E408" i="1"/>
  <c r="F408" i="1"/>
  <c r="D409" i="1"/>
  <c r="E409" i="1"/>
  <c r="F409" i="1"/>
  <c r="D410" i="1"/>
  <c r="E410" i="1"/>
  <c r="F410" i="1"/>
  <c r="D411" i="1"/>
  <c r="E411" i="1"/>
  <c r="F411" i="1"/>
  <c r="D412" i="1"/>
  <c r="E412" i="1"/>
  <c r="F412" i="1"/>
  <c r="D413" i="1"/>
  <c r="E413" i="1"/>
  <c r="F413" i="1"/>
  <c r="D414" i="1"/>
  <c r="E414" i="1"/>
  <c r="F414" i="1"/>
  <c r="D415" i="1"/>
  <c r="E415" i="1"/>
  <c r="F415" i="1"/>
  <c r="D416" i="1"/>
  <c r="E416" i="1"/>
  <c r="F416" i="1"/>
  <c r="D417" i="1"/>
  <c r="E417" i="1"/>
  <c r="F417" i="1"/>
  <c r="D418" i="1"/>
  <c r="E418" i="1"/>
  <c r="F418" i="1"/>
  <c r="D419" i="1"/>
  <c r="E419" i="1"/>
  <c r="F419" i="1"/>
  <c r="D420" i="1"/>
  <c r="E420" i="1"/>
  <c r="F420" i="1"/>
  <c r="D421" i="1"/>
  <c r="E421" i="1"/>
  <c r="F421" i="1"/>
  <c r="D422" i="1"/>
  <c r="E422" i="1"/>
  <c r="F422" i="1"/>
  <c r="D423" i="1"/>
  <c r="E423" i="1"/>
  <c r="F423" i="1"/>
  <c r="D424" i="1"/>
  <c r="E424" i="1"/>
  <c r="F424" i="1"/>
  <c r="D425" i="1"/>
  <c r="E425" i="1"/>
  <c r="F425" i="1"/>
  <c r="D426" i="1"/>
  <c r="E426" i="1"/>
  <c r="F426" i="1"/>
  <c r="D427" i="1"/>
  <c r="E427" i="1"/>
  <c r="F427" i="1"/>
  <c r="C428" i="1"/>
  <c r="D428" i="1"/>
  <c r="E428" i="1"/>
  <c r="F428" i="1"/>
  <c r="C429" i="1"/>
  <c r="D429" i="1"/>
  <c r="E429" i="1"/>
  <c r="F429" i="1"/>
  <c r="C430" i="1"/>
  <c r="D430" i="1"/>
  <c r="E430" i="1"/>
  <c r="F430" i="1"/>
  <c r="C431" i="1"/>
  <c r="D431" i="1"/>
  <c r="E431" i="1"/>
  <c r="F431" i="1"/>
  <c r="C432" i="1"/>
  <c r="D432" i="1"/>
  <c r="E432" i="1"/>
  <c r="F432" i="1"/>
  <c r="C433" i="1"/>
  <c r="D433" i="1"/>
  <c r="E433" i="1"/>
  <c r="F433" i="1"/>
  <c r="C434" i="1"/>
  <c r="D434" i="1"/>
  <c r="E434" i="1"/>
  <c r="F434" i="1"/>
  <c r="C435" i="1"/>
  <c r="D435" i="1"/>
  <c r="E435" i="1"/>
  <c r="F435" i="1"/>
  <c r="C436" i="1"/>
  <c r="D436" i="1"/>
  <c r="E436" i="1"/>
  <c r="F436" i="1"/>
  <c r="C437" i="1"/>
  <c r="D437" i="1"/>
  <c r="E437" i="1"/>
  <c r="F437" i="1"/>
  <c r="C438" i="1"/>
  <c r="D438" i="1"/>
  <c r="E438" i="1"/>
  <c r="F438" i="1"/>
  <c r="C439" i="1"/>
  <c r="D439" i="1"/>
  <c r="E439" i="1"/>
  <c r="F439" i="1"/>
  <c r="C440" i="1"/>
  <c r="D440" i="1"/>
  <c r="E440" i="1"/>
  <c r="F440" i="1"/>
  <c r="C441" i="1"/>
  <c r="D441" i="1"/>
  <c r="E441" i="1"/>
  <c r="F441" i="1"/>
  <c r="C442" i="1"/>
  <c r="D442" i="1"/>
  <c r="E442" i="1"/>
  <c r="F442" i="1"/>
  <c r="C443" i="1"/>
  <c r="D443" i="1"/>
  <c r="E443" i="1"/>
  <c r="F443" i="1"/>
  <c r="C444" i="1"/>
  <c r="D444" i="1"/>
  <c r="E444" i="1"/>
  <c r="F444" i="1"/>
  <c r="D445" i="1"/>
  <c r="E445" i="1"/>
  <c r="F445" i="1"/>
  <c r="C446" i="1"/>
  <c r="D446" i="1"/>
  <c r="E446" i="1"/>
  <c r="F446" i="1"/>
  <c r="C447" i="1"/>
  <c r="D447" i="1"/>
  <c r="E447" i="1"/>
  <c r="F447" i="1"/>
  <c r="C448" i="1"/>
  <c r="D448" i="1"/>
  <c r="E448" i="1"/>
  <c r="F448" i="1"/>
  <c r="C449" i="1"/>
  <c r="D449" i="1"/>
  <c r="E449" i="1"/>
  <c r="F449" i="1"/>
  <c r="C450" i="1"/>
  <c r="D450" i="1"/>
  <c r="E450" i="1"/>
  <c r="F450" i="1"/>
  <c r="C451" i="1"/>
  <c r="D451" i="1"/>
  <c r="E451" i="1"/>
  <c r="F451" i="1"/>
  <c r="C452" i="1"/>
  <c r="D452" i="1"/>
  <c r="E452" i="1"/>
  <c r="F452" i="1"/>
  <c r="C453" i="1"/>
  <c r="D453" i="1"/>
  <c r="E453" i="1"/>
  <c r="F453" i="1"/>
  <c r="C454" i="1"/>
  <c r="D454" i="1"/>
  <c r="E454" i="1"/>
  <c r="F454" i="1"/>
  <c r="C455" i="1"/>
  <c r="D455" i="1"/>
  <c r="E455" i="1"/>
  <c r="F455" i="1"/>
  <c r="C456" i="1"/>
  <c r="D456" i="1"/>
  <c r="E456" i="1"/>
  <c r="F456" i="1"/>
  <c r="C457" i="1"/>
  <c r="D457" i="1"/>
  <c r="E457" i="1"/>
  <c r="F457" i="1"/>
  <c r="C458" i="1"/>
  <c r="D458" i="1"/>
  <c r="E458" i="1"/>
  <c r="F458" i="1"/>
  <c r="C459" i="1"/>
  <c r="D459" i="1"/>
  <c r="E459" i="1"/>
  <c r="F459" i="1"/>
  <c r="C460" i="1"/>
  <c r="D460" i="1"/>
  <c r="E460" i="1"/>
  <c r="F460" i="1"/>
  <c r="D461" i="1"/>
  <c r="E461" i="1"/>
  <c r="F461" i="1"/>
  <c r="D462" i="1"/>
  <c r="E462" i="1"/>
  <c r="F462" i="1"/>
  <c r="D463" i="1"/>
  <c r="E463" i="1"/>
  <c r="F463" i="1"/>
  <c r="D464" i="1"/>
  <c r="E464" i="1"/>
  <c r="F464" i="1"/>
  <c r="D465" i="1"/>
  <c r="E465" i="1"/>
  <c r="F465" i="1"/>
  <c r="C466" i="1"/>
  <c r="D466" i="1"/>
  <c r="E466" i="1"/>
  <c r="F466" i="1"/>
  <c r="C467" i="1"/>
  <c r="D467" i="1"/>
  <c r="E467" i="1"/>
  <c r="F467" i="1"/>
  <c r="C468" i="1"/>
  <c r="D468" i="1"/>
  <c r="E468" i="1"/>
  <c r="F468" i="1"/>
  <c r="C469" i="1"/>
  <c r="D469" i="1"/>
  <c r="E469" i="1"/>
  <c r="F469" i="1"/>
  <c r="C470" i="1"/>
  <c r="D470" i="1"/>
  <c r="E470" i="1"/>
  <c r="F470" i="1"/>
  <c r="C471" i="1"/>
  <c r="D471" i="1"/>
  <c r="E471" i="1"/>
  <c r="F471" i="1"/>
  <c r="C472" i="1"/>
  <c r="D472" i="1"/>
  <c r="E472" i="1"/>
  <c r="F472" i="1"/>
  <c r="C473" i="1"/>
  <c r="D473" i="1"/>
  <c r="E473" i="1"/>
  <c r="F473" i="1"/>
  <c r="C474" i="1"/>
  <c r="D474" i="1"/>
  <c r="E474" i="1"/>
  <c r="F474" i="1"/>
  <c r="C475" i="1"/>
  <c r="D475" i="1"/>
  <c r="E475" i="1"/>
  <c r="F475" i="1"/>
  <c r="C476" i="1"/>
  <c r="D476" i="1"/>
  <c r="E476" i="1"/>
  <c r="F476" i="1"/>
  <c r="C477" i="1"/>
  <c r="D477" i="1"/>
  <c r="E477" i="1"/>
  <c r="F477" i="1"/>
  <c r="C478" i="1"/>
  <c r="D478" i="1"/>
  <c r="E478" i="1"/>
  <c r="F478" i="1"/>
  <c r="C479" i="1"/>
  <c r="D479" i="1"/>
  <c r="E479" i="1"/>
  <c r="F479" i="1"/>
  <c r="C480" i="1"/>
  <c r="D480" i="1"/>
  <c r="E480" i="1"/>
  <c r="F480" i="1"/>
  <c r="C481" i="1"/>
  <c r="D481" i="1"/>
  <c r="E481" i="1"/>
  <c r="F481" i="1"/>
  <c r="C482" i="1"/>
  <c r="D482" i="1"/>
  <c r="E482" i="1"/>
  <c r="F482" i="1"/>
  <c r="C483" i="1"/>
  <c r="D483" i="1"/>
  <c r="E483" i="1"/>
  <c r="F483" i="1"/>
  <c r="D484" i="1"/>
  <c r="E484" i="1"/>
  <c r="F484" i="1"/>
  <c r="D485" i="1"/>
  <c r="E485" i="1"/>
  <c r="F485" i="1"/>
  <c r="D486" i="1"/>
  <c r="E486" i="1"/>
  <c r="F486" i="1"/>
  <c r="D487" i="1"/>
  <c r="E487" i="1"/>
  <c r="F487" i="1"/>
  <c r="D488" i="1"/>
  <c r="E488" i="1"/>
  <c r="F488" i="1"/>
  <c r="D489" i="1"/>
  <c r="E489" i="1"/>
  <c r="F489" i="1"/>
  <c r="D490" i="1"/>
  <c r="E490" i="1"/>
  <c r="F490" i="1"/>
  <c r="D491" i="1"/>
  <c r="E491" i="1"/>
  <c r="F491" i="1"/>
  <c r="D492" i="1"/>
  <c r="E492" i="1"/>
  <c r="F492" i="1"/>
  <c r="D493" i="1"/>
  <c r="E493" i="1"/>
  <c r="F493" i="1"/>
  <c r="D494" i="1"/>
  <c r="E494" i="1"/>
  <c r="F494" i="1"/>
  <c r="D495" i="1"/>
  <c r="E495" i="1"/>
  <c r="F495" i="1"/>
  <c r="C496" i="1"/>
  <c r="D496" i="1"/>
  <c r="E496" i="1"/>
  <c r="F496" i="1"/>
  <c r="C497" i="1"/>
  <c r="D497" i="1"/>
  <c r="E497" i="1"/>
  <c r="F497" i="1"/>
  <c r="C498" i="1"/>
  <c r="D498" i="1"/>
  <c r="E498" i="1"/>
  <c r="F498" i="1"/>
  <c r="C499" i="1"/>
  <c r="D499" i="1"/>
  <c r="E499" i="1"/>
  <c r="F499" i="1"/>
  <c r="C500" i="1"/>
  <c r="D500" i="1"/>
  <c r="E500" i="1"/>
  <c r="F500" i="1"/>
  <c r="C501" i="1"/>
  <c r="D501" i="1"/>
  <c r="E501" i="1"/>
  <c r="F501" i="1"/>
  <c r="C502" i="1"/>
  <c r="D502" i="1"/>
  <c r="E502" i="1"/>
  <c r="F502" i="1"/>
  <c r="C503" i="1"/>
  <c r="D503" i="1"/>
  <c r="E503" i="1"/>
  <c r="F503" i="1"/>
  <c r="C504" i="1"/>
  <c r="D504" i="1"/>
  <c r="E504" i="1"/>
  <c r="F504" i="1"/>
  <c r="C505" i="1"/>
  <c r="D505" i="1"/>
  <c r="E505" i="1"/>
  <c r="F505" i="1"/>
  <c r="C506" i="1"/>
  <c r="D506" i="1"/>
  <c r="E506" i="1"/>
  <c r="F506" i="1"/>
  <c r="C507" i="1"/>
  <c r="D507" i="1"/>
  <c r="E507" i="1"/>
  <c r="F507" i="1"/>
  <c r="D508" i="1"/>
  <c r="E508" i="1"/>
  <c r="F508" i="1"/>
  <c r="D509" i="1"/>
  <c r="E509" i="1"/>
  <c r="F509" i="1"/>
  <c r="D510" i="1"/>
  <c r="E510" i="1"/>
  <c r="F510" i="1"/>
  <c r="D511" i="1"/>
  <c r="E511" i="1"/>
  <c r="F511" i="1"/>
  <c r="D512" i="1"/>
  <c r="E512" i="1"/>
  <c r="F512" i="1"/>
  <c r="D513" i="1"/>
  <c r="E513" i="1"/>
  <c r="F513" i="1"/>
  <c r="C514" i="1"/>
  <c r="D514" i="1"/>
  <c r="E514" i="1"/>
  <c r="F514" i="1"/>
  <c r="C515" i="1"/>
  <c r="D515" i="1"/>
  <c r="E515" i="1"/>
  <c r="F515" i="1"/>
  <c r="C516" i="1"/>
  <c r="D516" i="1"/>
  <c r="E516" i="1"/>
  <c r="F516" i="1"/>
  <c r="C517" i="1"/>
  <c r="D517" i="1"/>
  <c r="E517" i="1"/>
  <c r="F517" i="1"/>
  <c r="C518" i="1"/>
  <c r="D518" i="1"/>
  <c r="E518" i="1"/>
  <c r="F518" i="1"/>
  <c r="D519" i="1"/>
  <c r="E519" i="1"/>
  <c r="F519" i="1"/>
  <c r="D520" i="1"/>
  <c r="E520" i="1"/>
  <c r="F520" i="1"/>
  <c r="D521" i="1"/>
  <c r="E521" i="1"/>
  <c r="F521" i="1"/>
  <c r="D522" i="1"/>
  <c r="E522" i="1"/>
  <c r="F522" i="1"/>
  <c r="D523" i="1"/>
  <c r="E523" i="1"/>
  <c r="F523" i="1"/>
  <c r="D524" i="1"/>
  <c r="E524" i="1"/>
  <c r="F524" i="1"/>
  <c r="D525" i="1"/>
  <c r="E525" i="1"/>
  <c r="F525" i="1"/>
  <c r="D526" i="1"/>
  <c r="E526" i="1"/>
  <c r="F526" i="1"/>
  <c r="D527" i="1"/>
  <c r="E527" i="1"/>
  <c r="F527" i="1"/>
  <c r="D528" i="1"/>
  <c r="E528" i="1"/>
  <c r="F528" i="1"/>
  <c r="D529" i="1"/>
  <c r="E529" i="1"/>
  <c r="F529" i="1"/>
  <c r="C530" i="1"/>
  <c r="D530" i="1"/>
  <c r="E530" i="1"/>
  <c r="F530" i="1"/>
  <c r="C531" i="1"/>
  <c r="D531" i="1"/>
  <c r="E531" i="1"/>
  <c r="F531" i="1"/>
  <c r="C532" i="1"/>
  <c r="D532" i="1"/>
  <c r="E532" i="1"/>
  <c r="F532" i="1"/>
  <c r="C533" i="1"/>
  <c r="D533" i="1"/>
  <c r="E533" i="1"/>
  <c r="F533" i="1"/>
  <c r="C534" i="1"/>
  <c r="D534" i="1"/>
  <c r="E534" i="1"/>
  <c r="F534" i="1"/>
  <c r="C535" i="1"/>
  <c r="D535" i="1"/>
  <c r="E535" i="1"/>
  <c r="F535" i="1"/>
  <c r="C536" i="1"/>
  <c r="D536" i="1"/>
  <c r="E536" i="1"/>
  <c r="F536" i="1"/>
  <c r="C537" i="1"/>
  <c r="D537" i="1"/>
  <c r="E537" i="1"/>
  <c r="F537" i="1"/>
  <c r="C538" i="1"/>
  <c r="D538" i="1"/>
  <c r="E538" i="1"/>
  <c r="F538" i="1"/>
  <c r="C539" i="1"/>
  <c r="D539" i="1"/>
  <c r="E539" i="1"/>
  <c r="F539" i="1"/>
  <c r="C540" i="1"/>
  <c r="D540" i="1"/>
  <c r="E540" i="1"/>
  <c r="F540" i="1"/>
  <c r="C541" i="1"/>
  <c r="D541" i="1"/>
  <c r="E541" i="1"/>
  <c r="F541" i="1"/>
  <c r="C542" i="1"/>
  <c r="D542" i="1"/>
  <c r="E542" i="1"/>
  <c r="F542" i="1"/>
  <c r="C543" i="1"/>
  <c r="D543" i="1"/>
  <c r="E543" i="1"/>
  <c r="F543" i="1"/>
  <c r="C544" i="1"/>
  <c r="D544" i="1"/>
  <c r="E544" i="1"/>
  <c r="F544" i="1"/>
  <c r="D545" i="1"/>
  <c r="E545" i="1"/>
  <c r="F545" i="1"/>
  <c r="D546" i="1"/>
  <c r="E546" i="1"/>
  <c r="F546" i="1"/>
  <c r="D547" i="1"/>
  <c r="E547" i="1"/>
  <c r="F547" i="1"/>
  <c r="D548" i="1"/>
  <c r="E548" i="1"/>
  <c r="F548" i="1"/>
  <c r="D549" i="1"/>
  <c r="E549" i="1"/>
  <c r="F549" i="1"/>
  <c r="D550" i="1"/>
  <c r="E550" i="1"/>
  <c r="F550" i="1"/>
  <c r="D551" i="1"/>
  <c r="E551" i="1"/>
  <c r="F551" i="1"/>
  <c r="D552" i="1"/>
  <c r="E552" i="1"/>
  <c r="F552" i="1"/>
  <c r="D553" i="1"/>
  <c r="E553" i="1"/>
  <c r="F553" i="1"/>
  <c r="C554" i="1"/>
  <c r="D554" i="1"/>
  <c r="E554" i="1"/>
  <c r="F554" i="1"/>
  <c r="C555" i="1"/>
  <c r="D555" i="1"/>
  <c r="E555" i="1"/>
  <c r="F555" i="1"/>
  <c r="C556" i="1"/>
  <c r="D556" i="1"/>
  <c r="E556" i="1"/>
  <c r="F556" i="1"/>
  <c r="C557" i="1"/>
  <c r="D557" i="1"/>
  <c r="E557" i="1"/>
  <c r="F557" i="1"/>
  <c r="C558" i="1"/>
  <c r="D558" i="1"/>
  <c r="E558" i="1"/>
  <c r="F558" i="1"/>
  <c r="C559" i="1"/>
  <c r="D559" i="1"/>
  <c r="E559" i="1"/>
  <c r="F559" i="1"/>
  <c r="C560" i="1"/>
  <c r="D560" i="1"/>
  <c r="E560" i="1"/>
  <c r="F560" i="1"/>
  <c r="C561" i="1"/>
  <c r="D561" i="1"/>
  <c r="E561" i="1"/>
  <c r="F561" i="1"/>
  <c r="C562" i="1"/>
  <c r="D562" i="1"/>
  <c r="E562" i="1"/>
  <c r="F562" i="1"/>
  <c r="C563" i="1"/>
  <c r="D563" i="1"/>
  <c r="E563" i="1"/>
  <c r="F563" i="1"/>
  <c r="C564" i="1"/>
  <c r="D564" i="1"/>
  <c r="E564" i="1"/>
  <c r="F564" i="1"/>
  <c r="C565" i="1"/>
  <c r="D565" i="1"/>
  <c r="E565" i="1"/>
  <c r="F565" i="1"/>
  <c r="C566" i="1"/>
  <c r="D566" i="1"/>
  <c r="E566" i="1"/>
  <c r="F566" i="1"/>
  <c r="C567" i="1"/>
  <c r="D567" i="1"/>
  <c r="E567" i="1"/>
  <c r="F567" i="1"/>
  <c r="C568" i="1"/>
  <c r="D568" i="1"/>
  <c r="E568" i="1"/>
  <c r="F568" i="1"/>
  <c r="C569" i="1"/>
  <c r="D569" i="1"/>
  <c r="E569" i="1"/>
  <c r="F569" i="1"/>
  <c r="C570" i="1"/>
  <c r="D570" i="1"/>
  <c r="E570" i="1"/>
  <c r="F570" i="1"/>
  <c r="C571" i="1"/>
  <c r="D571" i="1"/>
  <c r="E571" i="1"/>
  <c r="F571" i="1"/>
  <c r="C572" i="1"/>
  <c r="D572" i="1"/>
  <c r="E572" i="1"/>
  <c r="F572" i="1"/>
  <c r="C573" i="1"/>
  <c r="D573" i="1"/>
  <c r="E573" i="1"/>
  <c r="F573" i="1"/>
  <c r="C574" i="1"/>
  <c r="D574" i="1"/>
  <c r="E574" i="1"/>
  <c r="F574" i="1"/>
  <c r="C575" i="1"/>
  <c r="D575" i="1"/>
  <c r="E575" i="1"/>
  <c r="F575" i="1"/>
  <c r="C576" i="1"/>
  <c r="D576" i="1"/>
  <c r="E576" i="1"/>
  <c r="F576" i="1"/>
  <c r="C577" i="1"/>
  <c r="D577" i="1"/>
  <c r="E577" i="1"/>
  <c r="F577" i="1"/>
  <c r="C578" i="1"/>
  <c r="D578" i="1"/>
  <c r="E578" i="1"/>
  <c r="F578" i="1"/>
  <c r="C579" i="1"/>
  <c r="D579" i="1"/>
  <c r="E579" i="1"/>
  <c r="F579" i="1"/>
  <c r="C580" i="1"/>
  <c r="D580" i="1"/>
  <c r="E580" i="1"/>
  <c r="F580" i="1"/>
  <c r="C581" i="1"/>
  <c r="D581" i="1"/>
  <c r="E581" i="1"/>
  <c r="F581" i="1"/>
  <c r="C582" i="1"/>
  <c r="D582" i="1"/>
  <c r="E582" i="1"/>
  <c r="F582" i="1"/>
  <c r="C583" i="1"/>
  <c r="D583" i="1"/>
  <c r="E583" i="1"/>
  <c r="F583" i="1"/>
  <c r="C584" i="1"/>
  <c r="D584" i="1"/>
  <c r="E584" i="1"/>
  <c r="F584" i="1"/>
  <c r="C585" i="1"/>
  <c r="D585" i="1"/>
  <c r="E585" i="1"/>
  <c r="F585" i="1"/>
  <c r="C586" i="1"/>
  <c r="D586" i="1"/>
  <c r="E586" i="1"/>
  <c r="F586" i="1"/>
  <c r="C587" i="1"/>
  <c r="D587" i="1"/>
  <c r="E587" i="1"/>
  <c r="F587" i="1"/>
  <c r="C588" i="1"/>
  <c r="D588" i="1"/>
  <c r="E588" i="1"/>
  <c r="F588" i="1"/>
  <c r="D589" i="1"/>
  <c r="E589" i="1"/>
  <c r="F589" i="1"/>
  <c r="D590" i="1"/>
  <c r="E590" i="1"/>
  <c r="F590" i="1"/>
  <c r="D591" i="1"/>
  <c r="E591" i="1"/>
  <c r="F591" i="1"/>
  <c r="D592" i="1"/>
  <c r="E592" i="1"/>
  <c r="F592" i="1"/>
  <c r="D593" i="1"/>
  <c r="E593" i="1"/>
  <c r="F593" i="1"/>
  <c r="D594" i="1"/>
  <c r="E594" i="1"/>
  <c r="F594" i="1"/>
  <c r="D595" i="1"/>
  <c r="E595" i="1"/>
  <c r="F595" i="1"/>
  <c r="D596" i="1"/>
  <c r="E596" i="1"/>
  <c r="F596" i="1"/>
  <c r="D597" i="1"/>
  <c r="E597" i="1"/>
  <c r="F597" i="1"/>
  <c r="D598" i="1"/>
  <c r="E598" i="1"/>
  <c r="F598" i="1"/>
  <c r="D599" i="1"/>
  <c r="E599" i="1"/>
  <c r="F599" i="1"/>
  <c r="D600" i="1"/>
  <c r="E600" i="1"/>
  <c r="F600" i="1"/>
  <c r="D601" i="1"/>
  <c r="E601" i="1"/>
  <c r="F601" i="1"/>
  <c r="D602" i="1"/>
  <c r="E602" i="1"/>
  <c r="F602" i="1"/>
  <c r="D603" i="1"/>
  <c r="E603" i="1"/>
  <c r="F603" i="1"/>
  <c r="D604" i="1"/>
  <c r="E604" i="1"/>
  <c r="F604" i="1"/>
  <c r="D605" i="1"/>
  <c r="E605" i="1"/>
  <c r="F605" i="1"/>
  <c r="D606" i="1"/>
  <c r="E606" i="1"/>
  <c r="F606" i="1"/>
  <c r="D607" i="1"/>
  <c r="E607" i="1"/>
  <c r="F607" i="1"/>
  <c r="D608" i="1"/>
  <c r="E608" i="1"/>
  <c r="F608" i="1"/>
  <c r="D609" i="1"/>
  <c r="E609" i="1"/>
  <c r="F609" i="1"/>
  <c r="D610" i="1"/>
  <c r="E610" i="1"/>
  <c r="F610" i="1"/>
  <c r="D611" i="1"/>
  <c r="E611" i="1"/>
  <c r="F611" i="1"/>
  <c r="D612" i="1"/>
  <c r="E612" i="1"/>
  <c r="F612" i="1"/>
  <c r="D613" i="1"/>
  <c r="E613" i="1"/>
  <c r="F613" i="1"/>
  <c r="D614" i="1"/>
  <c r="E614" i="1"/>
  <c r="F614" i="1"/>
  <c r="D615" i="1"/>
  <c r="E615" i="1"/>
  <c r="F615" i="1"/>
  <c r="D616" i="1"/>
  <c r="E616" i="1"/>
  <c r="F616" i="1"/>
  <c r="D617" i="1"/>
  <c r="E617" i="1"/>
  <c r="F617" i="1"/>
  <c r="D618" i="1"/>
  <c r="E618" i="1"/>
  <c r="F618" i="1"/>
  <c r="D619" i="1"/>
  <c r="E619" i="1"/>
  <c r="F619" i="1"/>
  <c r="D620" i="1"/>
  <c r="E620" i="1"/>
  <c r="F620" i="1"/>
  <c r="D621" i="1"/>
  <c r="E621" i="1"/>
  <c r="F621" i="1"/>
  <c r="D622" i="1"/>
  <c r="E622" i="1"/>
  <c r="F622" i="1"/>
  <c r="D623" i="1"/>
  <c r="E623" i="1"/>
  <c r="F623" i="1"/>
  <c r="D624" i="1"/>
  <c r="E624" i="1"/>
  <c r="F624" i="1"/>
  <c r="D625" i="1"/>
  <c r="E625" i="1"/>
  <c r="F625" i="1"/>
  <c r="D626" i="1"/>
  <c r="E626" i="1"/>
  <c r="F626" i="1"/>
  <c r="D627" i="1"/>
  <c r="E627" i="1"/>
  <c r="F627" i="1"/>
  <c r="D628" i="1"/>
  <c r="E628" i="1"/>
  <c r="F628" i="1"/>
  <c r="D629" i="1"/>
  <c r="E629" i="1"/>
  <c r="F629" i="1"/>
  <c r="D630" i="1"/>
  <c r="E630" i="1"/>
  <c r="F630" i="1"/>
  <c r="D631" i="1"/>
  <c r="E631" i="1"/>
  <c r="F631" i="1"/>
  <c r="D632" i="1"/>
  <c r="E632" i="1"/>
  <c r="F632" i="1"/>
  <c r="D633" i="1"/>
  <c r="E633" i="1"/>
  <c r="F633" i="1"/>
  <c r="D634" i="1"/>
  <c r="E634" i="1"/>
  <c r="F634" i="1"/>
  <c r="D635" i="1"/>
  <c r="E635" i="1"/>
  <c r="F635" i="1"/>
  <c r="D636" i="1"/>
  <c r="E636" i="1"/>
  <c r="F636" i="1"/>
  <c r="D637" i="1"/>
  <c r="E637" i="1"/>
  <c r="F637" i="1"/>
  <c r="D638" i="1"/>
  <c r="E638" i="1"/>
  <c r="F638" i="1"/>
  <c r="D639" i="1"/>
  <c r="E639" i="1"/>
  <c r="F639" i="1"/>
  <c r="D640" i="1"/>
  <c r="E640" i="1"/>
  <c r="F640" i="1"/>
  <c r="D641" i="1"/>
  <c r="E641" i="1"/>
  <c r="F641" i="1"/>
  <c r="D642" i="1"/>
  <c r="E642" i="1"/>
  <c r="F642" i="1"/>
  <c r="D643" i="1"/>
  <c r="E643" i="1"/>
  <c r="F643" i="1"/>
  <c r="D644" i="1"/>
  <c r="E644" i="1"/>
  <c r="F644" i="1"/>
  <c r="D645" i="1"/>
  <c r="E645" i="1"/>
  <c r="F645" i="1"/>
  <c r="D646" i="1"/>
  <c r="E646" i="1"/>
  <c r="F646" i="1"/>
  <c r="D647" i="1"/>
  <c r="E647" i="1"/>
  <c r="F647" i="1"/>
  <c r="D648" i="1"/>
  <c r="E648" i="1"/>
  <c r="F648" i="1"/>
  <c r="D649" i="1"/>
  <c r="E649" i="1"/>
  <c r="F649" i="1"/>
  <c r="D650" i="1"/>
  <c r="E650" i="1"/>
  <c r="F650" i="1"/>
  <c r="D651" i="1"/>
  <c r="E651" i="1"/>
  <c r="F651" i="1"/>
  <c r="D652" i="1"/>
  <c r="E652" i="1"/>
  <c r="F652" i="1"/>
  <c r="D653" i="1"/>
  <c r="E653" i="1"/>
  <c r="F653" i="1"/>
  <c r="D654" i="1"/>
  <c r="E654" i="1"/>
  <c r="F654" i="1"/>
  <c r="D655" i="1"/>
  <c r="E655" i="1"/>
  <c r="F655" i="1"/>
  <c r="D656" i="1"/>
  <c r="E656" i="1"/>
  <c r="F656" i="1"/>
  <c r="D657" i="1"/>
  <c r="E657" i="1"/>
  <c r="F657" i="1"/>
  <c r="D658" i="1"/>
  <c r="E658" i="1"/>
  <c r="F658" i="1"/>
  <c r="D659" i="1"/>
  <c r="E659" i="1"/>
  <c r="F659" i="1"/>
  <c r="D660" i="1"/>
  <c r="E660" i="1"/>
  <c r="F660" i="1"/>
  <c r="D661" i="1"/>
  <c r="E661" i="1"/>
  <c r="F661" i="1"/>
  <c r="D662" i="1"/>
  <c r="E662" i="1"/>
  <c r="F662" i="1"/>
  <c r="D663" i="1"/>
  <c r="E663" i="1"/>
  <c r="F663" i="1"/>
  <c r="C664" i="1"/>
  <c r="D664" i="1"/>
  <c r="E664" i="1"/>
  <c r="F664" i="1"/>
  <c r="C665" i="1"/>
  <c r="D665" i="1"/>
  <c r="E665" i="1"/>
  <c r="F665" i="1"/>
  <c r="C666" i="1"/>
  <c r="D666" i="1"/>
  <c r="E666" i="1"/>
  <c r="F666" i="1"/>
  <c r="C667" i="1"/>
  <c r="D667" i="1"/>
  <c r="E667" i="1"/>
  <c r="F667" i="1"/>
  <c r="C668" i="1"/>
  <c r="D668" i="1"/>
  <c r="E668" i="1"/>
  <c r="F668" i="1"/>
  <c r="C669" i="1"/>
  <c r="D669" i="1"/>
  <c r="E669" i="1"/>
  <c r="F669" i="1"/>
  <c r="C670" i="1"/>
  <c r="D670" i="1"/>
  <c r="E670" i="1"/>
  <c r="F670" i="1"/>
  <c r="C671" i="1"/>
  <c r="D671" i="1"/>
  <c r="E671" i="1"/>
  <c r="F671" i="1"/>
  <c r="C672" i="1"/>
  <c r="D672" i="1"/>
  <c r="E672" i="1"/>
  <c r="F672" i="1"/>
  <c r="C673" i="1"/>
  <c r="D673" i="1"/>
  <c r="E673" i="1"/>
  <c r="F673" i="1"/>
  <c r="C674" i="1"/>
  <c r="D674" i="1"/>
  <c r="E674" i="1"/>
  <c r="F674" i="1"/>
  <c r="C675" i="1"/>
  <c r="D675" i="1"/>
  <c r="E675" i="1"/>
  <c r="F675" i="1"/>
  <c r="C676" i="1"/>
  <c r="D676" i="1"/>
  <c r="E676" i="1"/>
  <c r="F676" i="1"/>
  <c r="C677" i="1"/>
  <c r="D677" i="1"/>
  <c r="E677" i="1"/>
  <c r="F677" i="1"/>
  <c r="C678" i="1"/>
  <c r="D678" i="1"/>
  <c r="E678" i="1"/>
  <c r="F678" i="1"/>
  <c r="C679" i="1"/>
  <c r="D679" i="1"/>
  <c r="E679" i="1"/>
  <c r="F679" i="1"/>
  <c r="C680" i="1"/>
  <c r="D680" i="1"/>
  <c r="E680" i="1"/>
  <c r="F680" i="1"/>
  <c r="C681" i="1"/>
  <c r="D681" i="1"/>
  <c r="E681" i="1"/>
  <c r="F681" i="1"/>
  <c r="C682" i="1"/>
  <c r="D682" i="1"/>
  <c r="E682" i="1"/>
  <c r="F682" i="1"/>
  <c r="C683" i="1"/>
  <c r="D683" i="1"/>
  <c r="E683" i="1"/>
  <c r="F683" i="1"/>
  <c r="C684" i="1"/>
  <c r="D684" i="1"/>
  <c r="E684" i="1"/>
  <c r="F684" i="1"/>
  <c r="C685" i="1"/>
  <c r="D685" i="1"/>
  <c r="E685" i="1"/>
  <c r="F685" i="1"/>
  <c r="C686" i="1"/>
  <c r="D686" i="1"/>
  <c r="E686" i="1"/>
  <c r="F686" i="1"/>
  <c r="C687" i="1"/>
  <c r="D687" i="1"/>
  <c r="E687" i="1"/>
  <c r="F687" i="1"/>
  <c r="C688" i="1"/>
  <c r="D688" i="1"/>
  <c r="E688" i="1"/>
  <c r="F688" i="1"/>
  <c r="C689" i="1"/>
  <c r="D689" i="1"/>
  <c r="E689" i="1"/>
  <c r="F689" i="1"/>
  <c r="C690" i="1"/>
  <c r="D690" i="1"/>
  <c r="E690" i="1"/>
  <c r="F690" i="1"/>
  <c r="C691" i="1"/>
  <c r="D691" i="1"/>
  <c r="E691" i="1"/>
  <c r="F691" i="1"/>
  <c r="C692" i="1"/>
  <c r="D692" i="1"/>
  <c r="E692" i="1"/>
  <c r="F692" i="1"/>
  <c r="C693" i="1"/>
  <c r="D693" i="1"/>
  <c r="E693" i="1"/>
  <c r="F693" i="1"/>
  <c r="C694" i="1"/>
  <c r="D694" i="1"/>
  <c r="E694" i="1"/>
  <c r="F694" i="1"/>
  <c r="C695" i="1"/>
  <c r="D695" i="1"/>
  <c r="E695" i="1"/>
  <c r="F695" i="1"/>
  <c r="C696" i="1"/>
  <c r="D696" i="1"/>
  <c r="E696" i="1"/>
  <c r="F696" i="1"/>
  <c r="C697" i="1"/>
  <c r="D697" i="1"/>
  <c r="E697" i="1"/>
  <c r="F697" i="1"/>
  <c r="C698" i="1"/>
  <c r="D698" i="1"/>
  <c r="E698" i="1"/>
  <c r="F698" i="1"/>
  <c r="C699" i="1"/>
  <c r="D699" i="1"/>
  <c r="E699" i="1"/>
  <c r="F699" i="1"/>
  <c r="C700" i="1"/>
  <c r="D700" i="1"/>
  <c r="E700" i="1"/>
  <c r="F700" i="1"/>
  <c r="C701" i="1"/>
  <c r="D701" i="1"/>
  <c r="E701" i="1"/>
  <c r="F701" i="1"/>
  <c r="C702" i="1"/>
  <c r="D702" i="1"/>
  <c r="E702" i="1"/>
  <c r="F702" i="1"/>
  <c r="C703" i="1"/>
  <c r="D703" i="1"/>
  <c r="E703" i="1"/>
  <c r="F703" i="1"/>
  <c r="C705" i="1"/>
  <c r="D705" i="1"/>
  <c r="E705" i="1"/>
  <c r="F705" i="1"/>
  <c r="C706" i="1"/>
  <c r="D706" i="1"/>
  <c r="E706" i="1"/>
  <c r="F706" i="1"/>
  <c r="C707" i="1"/>
  <c r="D707" i="1"/>
  <c r="E707" i="1"/>
  <c r="F707" i="1"/>
  <c r="C708" i="1"/>
  <c r="D708" i="1"/>
  <c r="E708" i="1"/>
  <c r="F708" i="1"/>
  <c r="C709" i="1"/>
  <c r="D709" i="1"/>
  <c r="E709" i="1"/>
  <c r="F709" i="1"/>
  <c r="C710" i="1"/>
  <c r="D710" i="1"/>
  <c r="E710" i="1"/>
  <c r="F710" i="1"/>
  <c r="C711" i="1"/>
  <c r="D711" i="1"/>
  <c r="E711" i="1"/>
  <c r="F711" i="1"/>
  <c r="C712" i="1"/>
  <c r="D712" i="1"/>
  <c r="E712" i="1"/>
  <c r="F712" i="1"/>
  <c r="C713" i="1"/>
  <c r="D713" i="1"/>
  <c r="E713" i="1"/>
  <c r="F713" i="1"/>
  <c r="C714" i="1"/>
  <c r="D714" i="1"/>
  <c r="E714" i="1"/>
  <c r="F714" i="1"/>
  <c r="C715" i="1"/>
  <c r="D715" i="1"/>
  <c r="E715" i="1"/>
  <c r="F715" i="1"/>
  <c r="C716" i="1"/>
  <c r="D716" i="1"/>
  <c r="E716" i="1"/>
  <c r="F716" i="1"/>
  <c r="C717" i="1"/>
  <c r="D717" i="1"/>
  <c r="E717" i="1"/>
  <c r="F717" i="1"/>
  <c r="C718" i="1"/>
  <c r="D718" i="1"/>
  <c r="E718" i="1"/>
  <c r="F718" i="1"/>
  <c r="C719" i="1"/>
  <c r="D719" i="1"/>
  <c r="E719" i="1"/>
  <c r="F719" i="1"/>
  <c r="C720" i="1"/>
  <c r="D720" i="1"/>
  <c r="E720" i="1"/>
  <c r="F720" i="1"/>
  <c r="C721" i="1"/>
  <c r="D721" i="1"/>
  <c r="E721" i="1"/>
  <c r="F721" i="1"/>
  <c r="C722" i="1"/>
  <c r="D722" i="1"/>
  <c r="E722" i="1"/>
  <c r="F722" i="1"/>
  <c r="C723" i="1"/>
  <c r="D723" i="1"/>
  <c r="E723" i="1"/>
  <c r="F723" i="1"/>
  <c r="C724" i="1"/>
  <c r="D724" i="1"/>
  <c r="E724" i="1"/>
  <c r="F724" i="1"/>
  <c r="C725" i="1"/>
  <c r="D725" i="1"/>
  <c r="E725" i="1"/>
  <c r="F725" i="1"/>
  <c r="C726" i="1"/>
  <c r="D726" i="1"/>
  <c r="E726" i="1"/>
  <c r="F726" i="1"/>
  <c r="C727" i="1"/>
  <c r="D727" i="1"/>
  <c r="E727" i="1"/>
  <c r="F727" i="1"/>
  <c r="C728" i="1"/>
  <c r="D728" i="1"/>
  <c r="E728" i="1"/>
  <c r="F728" i="1"/>
  <c r="C729" i="1"/>
  <c r="D729" i="1"/>
  <c r="E729" i="1"/>
  <c r="F729" i="1"/>
  <c r="C730" i="1"/>
  <c r="D730" i="1"/>
  <c r="E730" i="1"/>
  <c r="F730" i="1"/>
  <c r="C731" i="1"/>
  <c r="D731" i="1"/>
  <c r="E731" i="1"/>
  <c r="F731" i="1"/>
  <c r="C732" i="1"/>
  <c r="D732" i="1"/>
  <c r="E732" i="1"/>
  <c r="F732" i="1"/>
  <c r="C733" i="1"/>
  <c r="D733" i="1"/>
  <c r="E733" i="1"/>
  <c r="F733" i="1"/>
  <c r="C734" i="1"/>
  <c r="D734" i="1"/>
  <c r="E734" i="1"/>
  <c r="F734" i="1"/>
  <c r="C735" i="1"/>
  <c r="D735" i="1"/>
  <c r="E735" i="1"/>
  <c r="F735" i="1"/>
  <c r="C736" i="1"/>
  <c r="D736" i="1"/>
  <c r="E736" i="1"/>
  <c r="F736" i="1"/>
  <c r="C737" i="1"/>
  <c r="D737" i="1"/>
  <c r="E737" i="1"/>
  <c r="F737" i="1"/>
  <c r="C738" i="1"/>
  <c r="D738" i="1"/>
  <c r="E738" i="1"/>
  <c r="F738" i="1"/>
  <c r="C739" i="1"/>
  <c r="D739" i="1"/>
  <c r="E739" i="1"/>
  <c r="F739" i="1"/>
  <c r="C740" i="1"/>
  <c r="D740" i="1"/>
  <c r="E740" i="1"/>
  <c r="F740" i="1"/>
  <c r="C742" i="1"/>
  <c r="D742" i="1"/>
  <c r="E742" i="1"/>
  <c r="F742" i="1"/>
  <c r="D743" i="1"/>
  <c r="E743" i="1"/>
  <c r="F743" i="1"/>
  <c r="C744" i="1"/>
  <c r="D744" i="1"/>
  <c r="E744" i="1"/>
  <c r="F744" i="1"/>
  <c r="C745" i="1"/>
  <c r="D745" i="1"/>
  <c r="E745" i="1"/>
  <c r="F745" i="1"/>
  <c r="D746" i="1"/>
  <c r="E746" i="1"/>
  <c r="F746" i="1"/>
  <c r="D747" i="1"/>
  <c r="E747" i="1"/>
  <c r="F747" i="1"/>
  <c r="D748" i="1"/>
  <c r="E748" i="1"/>
  <c r="F748" i="1"/>
  <c r="D749" i="1"/>
  <c r="E749" i="1"/>
  <c r="F749" i="1"/>
  <c r="D750" i="1"/>
  <c r="E750" i="1"/>
  <c r="F750" i="1"/>
  <c r="D751" i="1"/>
  <c r="E751" i="1"/>
  <c r="F751" i="1"/>
  <c r="D752" i="1"/>
  <c r="E752" i="1"/>
  <c r="F752" i="1"/>
  <c r="D753" i="1"/>
  <c r="E753" i="1"/>
  <c r="F753" i="1"/>
  <c r="D754" i="1"/>
  <c r="E754" i="1"/>
  <c r="F754" i="1"/>
  <c r="D755" i="1"/>
  <c r="E755" i="1"/>
  <c r="F755" i="1"/>
  <c r="D756" i="1"/>
  <c r="E756" i="1"/>
  <c r="F756" i="1"/>
  <c r="D757" i="1"/>
  <c r="E757" i="1"/>
  <c r="F757" i="1"/>
  <c r="D758" i="1"/>
  <c r="E758" i="1"/>
  <c r="F758" i="1"/>
  <c r="D759" i="1"/>
  <c r="E759" i="1"/>
  <c r="F759" i="1"/>
  <c r="D760" i="1"/>
  <c r="E760" i="1"/>
  <c r="F760" i="1"/>
  <c r="D761" i="1"/>
  <c r="E761" i="1"/>
  <c r="F761" i="1"/>
  <c r="D762" i="1"/>
  <c r="E762" i="1"/>
  <c r="F762" i="1"/>
  <c r="D763" i="1"/>
  <c r="E763" i="1"/>
  <c r="F763" i="1"/>
  <c r="D764" i="1"/>
  <c r="E764" i="1"/>
  <c r="F764" i="1"/>
  <c r="D765" i="1"/>
  <c r="E765" i="1"/>
  <c r="F765" i="1"/>
  <c r="D766" i="1"/>
  <c r="E766" i="1"/>
  <c r="F766" i="1"/>
  <c r="D767" i="1"/>
  <c r="E767" i="1"/>
  <c r="F767" i="1"/>
  <c r="D768" i="1"/>
  <c r="E768" i="1"/>
  <c r="F768" i="1"/>
  <c r="D769" i="1"/>
  <c r="E769" i="1"/>
  <c r="F769" i="1"/>
  <c r="D770" i="1"/>
  <c r="E770" i="1"/>
  <c r="F770" i="1"/>
  <c r="D771" i="1"/>
  <c r="E771" i="1"/>
  <c r="F771" i="1"/>
  <c r="D772" i="1"/>
  <c r="E772" i="1"/>
  <c r="F772" i="1"/>
  <c r="D773" i="1"/>
  <c r="E773" i="1"/>
  <c r="F773" i="1"/>
  <c r="D774" i="1"/>
  <c r="E774" i="1"/>
  <c r="F774" i="1"/>
  <c r="D775" i="1"/>
  <c r="E775" i="1"/>
  <c r="F775" i="1"/>
  <c r="D776" i="1"/>
  <c r="E776" i="1"/>
  <c r="F776" i="1"/>
  <c r="D777" i="1"/>
  <c r="E777" i="1"/>
  <c r="F777" i="1"/>
  <c r="D778" i="1"/>
  <c r="E778" i="1"/>
  <c r="F778" i="1"/>
  <c r="D779" i="1"/>
  <c r="E779" i="1"/>
  <c r="F779" i="1"/>
  <c r="D780" i="1"/>
  <c r="E780" i="1"/>
  <c r="F780" i="1"/>
  <c r="D781" i="1"/>
  <c r="E781" i="1"/>
  <c r="F781" i="1"/>
  <c r="C788" i="1"/>
  <c r="D788" i="1"/>
  <c r="E788" i="1"/>
  <c r="F788" i="1"/>
  <c r="C789" i="1"/>
  <c r="D789" i="1"/>
  <c r="E789" i="1"/>
  <c r="F789" i="1"/>
  <c r="C790" i="1"/>
  <c r="D790" i="1"/>
  <c r="E790" i="1"/>
  <c r="F790" i="1"/>
  <c r="D791" i="1"/>
  <c r="E791" i="1"/>
  <c r="F791" i="1"/>
  <c r="D792" i="1"/>
  <c r="E792" i="1"/>
  <c r="F792" i="1"/>
  <c r="D793" i="1"/>
  <c r="E793" i="1"/>
  <c r="F793" i="1"/>
  <c r="D794" i="1"/>
  <c r="E794" i="1"/>
  <c r="F794" i="1"/>
  <c r="D795" i="1"/>
  <c r="E795" i="1"/>
  <c r="F795" i="1"/>
  <c r="D796" i="1"/>
  <c r="E796" i="1"/>
  <c r="F796" i="1"/>
  <c r="D798" i="1"/>
  <c r="E798" i="1"/>
  <c r="F798" i="1"/>
  <c r="D799" i="1"/>
  <c r="E799" i="1"/>
  <c r="F799" i="1"/>
  <c r="D800" i="1"/>
  <c r="E800" i="1"/>
  <c r="F800" i="1"/>
  <c r="D801" i="1"/>
  <c r="E801" i="1"/>
  <c r="F801" i="1"/>
  <c r="D803" i="1"/>
  <c r="E803" i="1"/>
  <c r="F803" i="1"/>
  <c r="D804" i="1"/>
  <c r="E804" i="1"/>
  <c r="F804" i="1"/>
  <c r="D805" i="1"/>
  <c r="E805" i="1"/>
  <c r="F805" i="1"/>
  <c r="D806" i="1"/>
  <c r="E806" i="1"/>
  <c r="F806" i="1"/>
  <c r="D807" i="1"/>
  <c r="E807" i="1"/>
  <c r="F807" i="1"/>
  <c r="R6" i="1"/>
  <c r="K246" i="1"/>
  <c r="X807" i="1"/>
  <c r="W807" i="1"/>
  <c r="N807" i="1"/>
  <c r="M807" i="1"/>
  <c r="L807" i="1"/>
  <c r="K807" i="1"/>
  <c r="J807" i="1"/>
  <c r="H807" i="1"/>
  <c r="O807" i="1" s="1"/>
  <c r="X806" i="1"/>
  <c r="W806" i="1"/>
  <c r="N806" i="1"/>
  <c r="M806" i="1"/>
  <c r="L806" i="1"/>
  <c r="K806" i="1"/>
  <c r="J806" i="1"/>
  <c r="H806" i="1"/>
  <c r="O806" i="1" s="1"/>
  <c r="X805" i="1"/>
  <c r="W805" i="1"/>
  <c r="N805" i="1"/>
  <c r="M805" i="1"/>
  <c r="L805" i="1"/>
  <c r="K805" i="1"/>
  <c r="J805" i="1"/>
  <c r="H805" i="1"/>
  <c r="O805" i="1" s="1"/>
  <c r="X804" i="1"/>
  <c r="W804" i="1"/>
  <c r="N804" i="1"/>
  <c r="M804" i="1"/>
  <c r="L804" i="1"/>
  <c r="K804" i="1"/>
  <c r="J804" i="1"/>
  <c r="H804" i="1"/>
  <c r="O804" i="1" s="1"/>
  <c r="X803" i="1"/>
  <c r="W803" i="1"/>
  <c r="N803" i="1"/>
  <c r="M803" i="1"/>
  <c r="L803" i="1"/>
  <c r="K803" i="1"/>
  <c r="J803" i="1"/>
  <c r="H803" i="1"/>
  <c r="O803" i="1" s="1"/>
  <c r="X801" i="1"/>
  <c r="W801" i="1"/>
  <c r="N801" i="1"/>
  <c r="M801" i="1"/>
  <c r="L801" i="1"/>
  <c r="K801" i="1"/>
  <c r="J801" i="1"/>
  <c r="H801" i="1"/>
  <c r="O801" i="1" s="1"/>
  <c r="X800" i="1"/>
  <c r="W800" i="1"/>
  <c r="N800" i="1"/>
  <c r="M800" i="1"/>
  <c r="L800" i="1"/>
  <c r="K800" i="1"/>
  <c r="J800" i="1"/>
  <c r="H800" i="1"/>
  <c r="O800" i="1" s="1"/>
  <c r="X799" i="1"/>
  <c r="W799" i="1"/>
  <c r="N799" i="1"/>
  <c r="M799" i="1"/>
  <c r="L799" i="1"/>
  <c r="K799" i="1"/>
  <c r="J799" i="1"/>
  <c r="H799" i="1"/>
  <c r="O799" i="1" s="1"/>
  <c r="X798" i="1"/>
  <c r="W798" i="1"/>
  <c r="N798" i="1"/>
  <c r="M798" i="1"/>
  <c r="L798" i="1"/>
  <c r="K798" i="1"/>
  <c r="J798" i="1"/>
  <c r="H798" i="1"/>
  <c r="O798" i="1" s="1"/>
  <c r="X796" i="1"/>
  <c r="W796" i="1"/>
  <c r="N796" i="1"/>
  <c r="M796" i="1"/>
  <c r="L796" i="1"/>
  <c r="K796" i="1"/>
  <c r="J796" i="1"/>
  <c r="H796" i="1"/>
  <c r="O796" i="1" s="1"/>
  <c r="X795" i="1"/>
  <c r="W795" i="1"/>
  <c r="N795" i="1"/>
  <c r="M795" i="1"/>
  <c r="L795" i="1"/>
  <c r="K795" i="1"/>
  <c r="J795" i="1"/>
  <c r="H795" i="1"/>
  <c r="O795" i="1" s="1"/>
  <c r="X794" i="1"/>
  <c r="W794" i="1"/>
  <c r="N794" i="1"/>
  <c r="M794" i="1"/>
  <c r="L794" i="1"/>
  <c r="K794" i="1"/>
  <c r="J794" i="1"/>
  <c r="H794" i="1"/>
  <c r="O794" i="1" s="1"/>
  <c r="X793" i="1"/>
  <c r="W793" i="1"/>
  <c r="N793" i="1"/>
  <c r="M793" i="1"/>
  <c r="L793" i="1"/>
  <c r="K793" i="1"/>
  <c r="J793" i="1"/>
  <c r="H793" i="1"/>
  <c r="O793" i="1" s="1"/>
  <c r="X792" i="1"/>
  <c r="W792" i="1"/>
  <c r="N792" i="1"/>
  <c r="M792" i="1"/>
  <c r="L792" i="1"/>
  <c r="K792" i="1"/>
  <c r="J792" i="1"/>
  <c r="H792" i="1"/>
  <c r="O792" i="1" s="1"/>
  <c r="X791" i="1"/>
  <c r="W791" i="1"/>
  <c r="N791" i="1"/>
  <c r="M791" i="1"/>
  <c r="L791" i="1"/>
  <c r="K791" i="1"/>
  <c r="J791" i="1"/>
  <c r="H791" i="1"/>
  <c r="O791" i="1" s="1"/>
  <c r="X790" i="1"/>
  <c r="W790" i="1"/>
  <c r="N790" i="1"/>
  <c r="M790" i="1"/>
  <c r="L790" i="1"/>
  <c r="K790" i="1"/>
  <c r="J790" i="1"/>
  <c r="I790" i="1"/>
  <c r="H790" i="1"/>
  <c r="O790" i="1" s="1"/>
  <c r="G790" i="1"/>
  <c r="X789" i="1"/>
  <c r="W789" i="1"/>
  <c r="N789" i="1"/>
  <c r="M789" i="1"/>
  <c r="L789" i="1"/>
  <c r="K789" i="1"/>
  <c r="J789" i="1"/>
  <c r="I789" i="1"/>
  <c r="H789" i="1"/>
  <c r="O789" i="1" s="1"/>
  <c r="G789" i="1"/>
  <c r="X788" i="1"/>
  <c r="W788" i="1"/>
  <c r="N788" i="1"/>
  <c r="M788" i="1"/>
  <c r="L788" i="1"/>
  <c r="K788" i="1"/>
  <c r="J788" i="1"/>
  <c r="I788" i="1"/>
  <c r="H788" i="1"/>
  <c r="O788" i="1" s="1"/>
  <c r="G788" i="1"/>
  <c r="X781" i="1"/>
  <c r="W781" i="1"/>
  <c r="N781" i="1"/>
  <c r="M781" i="1"/>
  <c r="L781" i="1"/>
  <c r="K781" i="1"/>
  <c r="J781" i="1"/>
  <c r="H781" i="1"/>
  <c r="O781" i="1" s="1"/>
  <c r="X780" i="1"/>
  <c r="W780" i="1"/>
  <c r="N780" i="1"/>
  <c r="M780" i="1"/>
  <c r="L780" i="1"/>
  <c r="K780" i="1"/>
  <c r="J780" i="1"/>
  <c r="H780" i="1"/>
  <c r="O780" i="1" s="1"/>
  <c r="X779" i="1"/>
  <c r="W779" i="1"/>
  <c r="N779" i="1"/>
  <c r="M779" i="1"/>
  <c r="L779" i="1"/>
  <c r="K779" i="1"/>
  <c r="J779" i="1"/>
  <c r="H779" i="1"/>
  <c r="O779" i="1" s="1"/>
  <c r="X778" i="1"/>
  <c r="W778" i="1"/>
  <c r="N778" i="1"/>
  <c r="M778" i="1"/>
  <c r="L778" i="1"/>
  <c r="K778" i="1"/>
  <c r="J778" i="1"/>
  <c r="H778" i="1"/>
  <c r="O778" i="1" s="1"/>
  <c r="X777" i="1"/>
  <c r="W777" i="1"/>
  <c r="N777" i="1"/>
  <c r="M777" i="1"/>
  <c r="L777" i="1"/>
  <c r="K777" i="1"/>
  <c r="J777" i="1"/>
  <c r="H777" i="1"/>
  <c r="O777" i="1" s="1"/>
  <c r="P777" i="1" s="1"/>
  <c r="X776" i="1"/>
  <c r="W776" i="1"/>
  <c r="N776" i="1"/>
  <c r="M776" i="1"/>
  <c r="L776" i="1"/>
  <c r="K776" i="1"/>
  <c r="J776" i="1"/>
  <c r="H776" i="1"/>
  <c r="O776" i="1" s="1"/>
  <c r="P776" i="1" s="1"/>
  <c r="X775" i="1"/>
  <c r="W775" i="1"/>
  <c r="N775" i="1"/>
  <c r="M775" i="1"/>
  <c r="L775" i="1"/>
  <c r="K775" i="1"/>
  <c r="J775" i="1"/>
  <c r="H775" i="1"/>
  <c r="X774" i="1"/>
  <c r="W774" i="1"/>
  <c r="N774" i="1"/>
  <c r="M774" i="1"/>
  <c r="L774" i="1"/>
  <c r="K774" i="1"/>
  <c r="J774" i="1"/>
  <c r="H774" i="1"/>
  <c r="X773" i="1"/>
  <c r="W773" i="1"/>
  <c r="N773" i="1"/>
  <c r="M773" i="1"/>
  <c r="L773" i="1"/>
  <c r="K773" i="1"/>
  <c r="J773" i="1"/>
  <c r="H773" i="1"/>
  <c r="R773" i="1" s="1"/>
  <c r="X772" i="1"/>
  <c r="W772" i="1"/>
  <c r="N772" i="1"/>
  <c r="M772" i="1"/>
  <c r="L772" i="1"/>
  <c r="K772" i="1"/>
  <c r="J772" i="1"/>
  <c r="H772" i="1"/>
  <c r="O772" i="1" s="1"/>
  <c r="P772" i="1" s="1"/>
  <c r="X771" i="1"/>
  <c r="W771" i="1"/>
  <c r="N771" i="1"/>
  <c r="M771" i="1"/>
  <c r="L771" i="1"/>
  <c r="K771" i="1"/>
  <c r="J771" i="1"/>
  <c r="H771" i="1"/>
  <c r="O771" i="1" s="1"/>
  <c r="X770" i="1"/>
  <c r="W770" i="1"/>
  <c r="N770" i="1"/>
  <c r="M770" i="1"/>
  <c r="L770" i="1"/>
  <c r="K770" i="1"/>
  <c r="J770" i="1"/>
  <c r="H770" i="1"/>
  <c r="R770" i="1" s="1"/>
  <c r="X769" i="1"/>
  <c r="W769" i="1"/>
  <c r="N769" i="1"/>
  <c r="M769" i="1"/>
  <c r="L769" i="1"/>
  <c r="K769" i="1"/>
  <c r="J769" i="1"/>
  <c r="H769" i="1"/>
  <c r="R769" i="1" s="1"/>
  <c r="X768" i="1"/>
  <c r="W768" i="1"/>
  <c r="N768" i="1"/>
  <c r="M768" i="1"/>
  <c r="L768" i="1"/>
  <c r="K768" i="1"/>
  <c r="J768" i="1"/>
  <c r="H768" i="1"/>
  <c r="O768" i="1" s="1"/>
  <c r="P768" i="1" s="1"/>
  <c r="X767" i="1"/>
  <c r="W767" i="1"/>
  <c r="N767" i="1"/>
  <c r="M767" i="1"/>
  <c r="L767" i="1"/>
  <c r="K767" i="1"/>
  <c r="J767" i="1"/>
  <c r="H767" i="1"/>
  <c r="X766" i="1"/>
  <c r="W766" i="1"/>
  <c r="N766" i="1"/>
  <c r="M766" i="1"/>
  <c r="L766" i="1"/>
  <c r="K766" i="1"/>
  <c r="J766" i="1"/>
  <c r="H766" i="1"/>
  <c r="R766" i="1" s="1"/>
  <c r="X765" i="1"/>
  <c r="W765" i="1"/>
  <c r="N765" i="1"/>
  <c r="M765" i="1"/>
  <c r="L765" i="1"/>
  <c r="K765" i="1"/>
  <c r="J765" i="1"/>
  <c r="H765" i="1"/>
  <c r="O765" i="1" s="1"/>
  <c r="P765" i="1" s="1"/>
  <c r="X764" i="1"/>
  <c r="W764" i="1"/>
  <c r="N764" i="1"/>
  <c r="M764" i="1"/>
  <c r="L764" i="1"/>
  <c r="K764" i="1"/>
  <c r="J764" i="1"/>
  <c r="H764" i="1"/>
  <c r="O764" i="1" s="1"/>
  <c r="X763" i="1"/>
  <c r="W763" i="1"/>
  <c r="N763" i="1"/>
  <c r="M763" i="1"/>
  <c r="L763" i="1"/>
  <c r="K763" i="1"/>
  <c r="J763" i="1"/>
  <c r="H763" i="1"/>
  <c r="O763" i="1" s="1"/>
  <c r="X762" i="1"/>
  <c r="W762" i="1"/>
  <c r="N762" i="1"/>
  <c r="M762" i="1"/>
  <c r="L762" i="1"/>
  <c r="K762" i="1"/>
  <c r="J762" i="1"/>
  <c r="H762" i="1"/>
  <c r="O762" i="1" s="1"/>
  <c r="X761" i="1"/>
  <c r="W761" i="1"/>
  <c r="N761" i="1"/>
  <c r="M761" i="1"/>
  <c r="L761" i="1"/>
  <c r="K761" i="1"/>
  <c r="J761" i="1"/>
  <c r="H761" i="1"/>
  <c r="O761" i="1" s="1"/>
  <c r="X760" i="1"/>
  <c r="W760" i="1"/>
  <c r="N760" i="1"/>
  <c r="M760" i="1"/>
  <c r="L760" i="1"/>
  <c r="K760" i="1"/>
  <c r="J760" i="1"/>
  <c r="H760" i="1"/>
  <c r="O760" i="1" s="1"/>
  <c r="X759" i="1"/>
  <c r="W759" i="1"/>
  <c r="N759" i="1"/>
  <c r="M759" i="1"/>
  <c r="L759" i="1"/>
  <c r="K759" i="1"/>
  <c r="J759" i="1"/>
  <c r="H759" i="1"/>
  <c r="O759" i="1" s="1"/>
  <c r="X758" i="1"/>
  <c r="W758" i="1"/>
  <c r="N758" i="1"/>
  <c r="M758" i="1"/>
  <c r="L758" i="1"/>
  <c r="K758" i="1"/>
  <c r="J758" i="1"/>
  <c r="H758" i="1"/>
  <c r="R758" i="1" s="1"/>
  <c r="X757" i="1"/>
  <c r="W757" i="1"/>
  <c r="N757" i="1"/>
  <c r="M757" i="1"/>
  <c r="L757" i="1"/>
  <c r="K757" i="1"/>
  <c r="J757" i="1"/>
  <c r="H757" i="1"/>
  <c r="R757" i="1" s="1"/>
  <c r="X756" i="1"/>
  <c r="W756" i="1"/>
  <c r="N756" i="1"/>
  <c r="M756" i="1"/>
  <c r="L756" i="1"/>
  <c r="K756" i="1"/>
  <c r="J756" i="1"/>
  <c r="H756" i="1"/>
  <c r="O756" i="1" s="1"/>
  <c r="X755" i="1"/>
  <c r="W755" i="1"/>
  <c r="N755" i="1"/>
  <c r="M755" i="1"/>
  <c r="L755" i="1"/>
  <c r="K755" i="1"/>
  <c r="J755" i="1"/>
  <c r="H755" i="1"/>
  <c r="X754" i="1"/>
  <c r="W754" i="1"/>
  <c r="N754" i="1"/>
  <c r="M754" i="1"/>
  <c r="L754" i="1"/>
  <c r="K754" i="1"/>
  <c r="J754" i="1"/>
  <c r="H754" i="1"/>
  <c r="X753" i="1"/>
  <c r="W753" i="1"/>
  <c r="N753" i="1"/>
  <c r="M753" i="1"/>
  <c r="L753" i="1"/>
  <c r="K753" i="1"/>
  <c r="J753" i="1"/>
  <c r="H753" i="1"/>
  <c r="R753" i="1" s="1"/>
  <c r="X752" i="1"/>
  <c r="W752" i="1"/>
  <c r="N752" i="1"/>
  <c r="M752" i="1"/>
  <c r="L752" i="1"/>
  <c r="K752" i="1"/>
  <c r="J752" i="1"/>
  <c r="H752" i="1"/>
  <c r="O752" i="1" s="1"/>
  <c r="P752" i="1" s="1"/>
  <c r="X751" i="1"/>
  <c r="W751" i="1"/>
  <c r="N751" i="1"/>
  <c r="M751" i="1"/>
  <c r="L751" i="1"/>
  <c r="K751" i="1"/>
  <c r="J751" i="1"/>
  <c r="H751" i="1"/>
  <c r="X750" i="1"/>
  <c r="W750" i="1"/>
  <c r="N750" i="1"/>
  <c r="M750" i="1"/>
  <c r="L750" i="1"/>
  <c r="K750" i="1"/>
  <c r="J750" i="1"/>
  <c r="H750" i="1"/>
  <c r="R750" i="1" s="1"/>
  <c r="X749" i="1"/>
  <c r="W749" i="1"/>
  <c r="N749" i="1"/>
  <c r="M749" i="1"/>
  <c r="L749" i="1"/>
  <c r="K749" i="1"/>
  <c r="J749" i="1"/>
  <c r="H749" i="1"/>
  <c r="R749" i="1" s="1"/>
  <c r="X748" i="1"/>
  <c r="W748" i="1"/>
  <c r="N748" i="1"/>
  <c r="M748" i="1"/>
  <c r="L748" i="1"/>
  <c r="K748" i="1"/>
  <c r="J748" i="1"/>
  <c r="H748" i="1"/>
  <c r="O748" i="1" s="1"/>
  <c r="P748" i="1" s="1"/>
  <c r="X747" i="1"/>
  <c r="W747" i="1"/>
  <c r="N747" i="1"/>
  <c r="M747" i="1"/>
  <c r="L747" i="1"/>
  <c r="K747" i="1"/>
  <c r="J747" i="1"/>
  <c r="H747" i="1"/>
  <c r="X746" i="1"/>
  <c r="W746" i="1"/>
  <c r="N746" i="1"/>
  <c r="M746" i="1"/>
  <c r="L746" i="1"/>
  <c r="K746" i="1"/>
  <c r="J746" i="1"/>
  <c r="H746" i="1"/>
  <c r="R746" i="1" s="1"/>
  <c r="X745" i="1"/>
  <c r="W745" i="1"/>
  <c r="N745" i="1"/>
  <c r="M745" i="1"/>
  <c r="L745" i="1"/>
  <c r="K745" i="1"/>
  <c r="J745" i="1"/>
  <c r="H745" i="1"/>
  <c r="O745" i="1" s="1"/>
  <c r="G745" i="1"/>
  <c r="X744" i="1"/>
  <c r="W744" i="1"/>
  <c r="N744" i="1"/>
  <c r="M744" i="1"/>
  <c r="L744" i="1"/>
  <c r="K744" i="1"/>
  <c r="J744" i="1"/>
  <c r="H744" i="1"/>
  <c r="O744" i="1" s="1"/>
  <c r="G744" i="1"/>
  <c r="X743" i="1"/>
  <c r="W743" i="1"/>
  <c r="N743" i="1"/>
  <c r="M743" i="1"/>
  <c r="L743" i="1"/>
  <c r="K743" i="1"/>
  <c r="J743" i="1"/>
  <c r="H743" i="1"/>
  <c r="O743" i="1" s="1"/>
  <c r="P743" i="1" s="1"/>
  <c r="X742" i="1"/>
  <c r="W742" i="1"/>
  <c r="N742" i="1"/>
  <c r="M742" i="1"/>
  <c r="L742" i="1"/>
  <c r="K742" i="1"/>
  <c r="J742" i="1"/>
  <c r="I742" i="1"/>
  <c r="H742" i="1"/>
  <c r="O742" i="1" s="1"/>
  <c r="G742" i="1"/>
  <c r="X740" i="1"/>
  <c r="W740" i="1"/>
  <c r="N740" i="1"/>
  <c r="M740" i="1"/>
  <c r="L740" i="1"/>
  <c r="K740" i="1"/>
  <c r="J740" i="1"/>
  <c r="I740" i="1"/>
  <c r="H740" i="1"/>
  <c r="O740" i="1" s="1"/>
  <c r="G740" i="1"/>
  <c r="X739" i="1"/>
  <c r="W739" i="1"/>
  <c r="N739" i="1"/>
  <c r="M739" i="1"/>
  <c r="L739" i="1"/>
  <c r="K739" i="1"/>
  <c r="J739" i="1"/>
  <c r="I739" i="1"/>
  <c r="H739" i="1"/>
  <c r="O739" i="1" s="1"/>
  <c r="G739" i="1"/>
  <c r="X738" i="1"/>
  <c r="W738" i="1"/>
  <c r="N738" i="1"/>
  <c r="M738" i="1"/>
  <c r="L738" i="1"/>
  <c r="K738" i="1"/>
  <c r="J738" i="1"/>
  <c r="I738" i="1"/>
  <c r="H738" i="1"/>
  <c r="O738" i="1" s="1"/>
  <c r="G738" i="1"/>
  <c r="X737" i="1"/>
  <c r="W737" i="1"/>
  <c r="N737" i="1"/>
  <c r="M737" i="1"/>
  <c r="L737" i="1"/>
  <c r="K737" i="1"/>
  <c r="J737" i="1"/>
  <c r="I737" i="1"/>
  <c r="H737" i="1"/>
  <c r="O737" i="1" s="1"/>
  <c r="G737" i="1"/>
  <c r="X736" i="1"/>
  <c r="W736" i="1"/>
  <c r="N736" i="1"/>
  <c r="M736" i="1"/>
  <c r="L736" i="1"/>
  <c r="K736" i="1"/>
  <c r="J736" i="1"/>
  <c r="I736" i="1"/>
  <c r="H736" i="1"/>
  <c r="O736" i="1" s="1"/>
  <c r="G736" i="1"/>
  <c r="X735" i="1"/>
  <c r="W735" i="1"/>
  <c r="N735" i="1"/>
  <c r="M735" i="1"/>
  <c r="L735" i="1"/>
  <c r="K735" i="1"/>
  <c r="J735" i="1"/>
  <c r="I735" i="1"/>
  <c r="H735" i="1"/>
  <c r="O735" i="1" s="1"/>
  <c r="G735" i="1"/>
  <c r="X734" i="1"/>
  <c r="W734" i="1"/>
  <c r="N734" i="1"/>
  <c r="M734" i="1"/>
  <c r="L734" i="1"/>
  <c r="K734" i="1"/>
  <c r="J734" i="1"/>
  <c r="I734" i="1"/>
  <c r="H734" i="1"/>
  <c r="O734" i="1" s="1"/>
  <c r="G734" i="1"/>
  <c r="X733" i="1"/>
  <c r="W733" i="1"/>
  <c r="N733" i="1"/>
  <c r="M733" i="1"/>
  <c r="L733" i="1"/>
  <c r="K733" i="1"/>
  <c r="J733" i="1"/>
  <c r="I733" i="1"/>
  <c r="H733" i="1"/>
  <c r="O733" i="1" s="1"/>
  <c r="G733" i="1"/>
  <c r="X732" i="1"/>
  <c r="W732" i="1"/>
  <c r="N732" i="1"/>
  <c r="M732" i="1"/>
  <c r="L732" i="1"/>
  <c r="K732" i="1"/>
  <c r="J732" i="1"/>
  <c r="I732" i="1"/>
  <c r="H732" i="1"/>
  <c r="O732" i="1" s="1"/>
  <c r="G732" i="1"/>
  <c r="X731" i="1"/>
  <c r="W731" i="1"/>
  <c r="N731" i="1"/>
  <c r="M731" i="1"/>
  <c r="L731" i="1"/>
  <c r="K731" i="1"/>
  <c r="J731" i="1"/>
  <c r="I731" i="1"/>
  <c r="H731" i="1"/>
  <c r="O731" i="1" s="1"/>
  <c r="G731" i="1"/>
  <c r="X730" i="1"/>
  <c r="W730" i="1"/>
  <c r="N730" i="1"/>
  <c r="M730" i="1"/>
  <c r="L730" i="1"/>
  <c r="K730" i="1"/>
  <c r="J730" i="1"/>
  <c r="I730" i="1"/>
  <c r="H730" i="1"/>
  <c r="O730" i="1" s="1"/>
  <c r="G730" i="1"/>
  <c r="X729" i="1"/>
  <c r="W729" i="1"/>
  <c r="N729" i="1"/>
  <c r="M729" i="1"/>
  <c r="L729" i="1"/>
  <c r="K729" i="1"/>
  <c r="J729" i="1"/>
  <c r="I729" i="1"/>
  <c r="H729" i="1"/>
  <c r="O729" i="1" s="1"/>
  <c r="G729" i="1"/>
  <c r="X728" i="1"/>
  <c r="W728" i="1"/>
  <c r="N728" i="1"/>
  <c r="M728" i="1"/>
  <c r="L728" i="1"/>
  <c r="K728" i="1"/>
  <c r="J728" i="1"/>
  <c r="I728" i="1"/>
  <c r="H728" i="1"/>
  <c r="O728" i="1" s="1"/>
  <c r="G728" i="1"/>
  <c r="X727" i="1"/>
  <c r="W727" i="1"/>
  <c r="N727" i="1"/>
  <c r="M727" i="1"/>
  <c r="L727" i="1"/>
  <c r="K727" i="1"/>
  <c r="J727" i="1"/>
  <c r="I727" i="1"/>
  <c r="H727" i="1"/>
  <c r="O727" i="1" s="1"/>
  <c r="G727" i="1"/>
  <c r="X726" i="1"/>
  <c r="W726" i="1"/>
  <c r="N726" i="1"/>
  <c r="M726" i="1"/>
  <c r="L726" i="1"/>
  <c r="K726" i="1"/>
  <c r="J726" i="1"/>
  <c r="I726" i="1"/>
  <c r="H726" i="1"/>
  <c r="O726" i="1" s="1"/>
  <c r="G726" i="1"/>
  <c r="X725" i="1"/>
  <c r="W725" i="1"/>
  <c r="N725" i="1"/>
  <c r="M725" i="1"/>
  <c r="L725" i="1"/>
  <c r="K725" i="1"/>
  <c r="J725" i="1"/>
  <c r="I725" i="1"/>
  <c r="H725" i="1"/>
  <c r="O725" i="1" s="1"/>
  <c r="G725" i="1"/>
  <c r="X724" i="1"/>
  <c r="W724" i="1"/>
  <c r="N724" i="1"/>
  <c r="M724" i="1"/>
  <c r="L724" i="1"/>
  <c r="K724" i="1"/>
  <c r="J724" i="1"/>
  <c r="I724" i="1"/>
  <c r="H724" i="1"/>
  <c r="O724" i="1" s="1"/>
  <c r="G724" i="1"/>
  <c r="X723" i="1"/>
  <c r="W723" i="1"/>
  <c r="N723" i="1"/>
  <c r="M723" i="1"/>
  <c r="L723" i="1"/>
  <c r="K723" i="1"/>
  <c r="J723" i="1"/>
  <c r="I723" i="1"/>
  <c r="H723" i="1"/>
  <c r="O723" i="1" s="1"/>
  <c r="G723" i="1"/>
  <c r="X722" i="1"/>
  <c r="W722" i="1"/>
  <c r="N722" i="1"/>
  <c r="M722" i="1"/>
  <c r="L722" i="1"/>
  <c r="K722" i="1"/>
  <c r="J722" i="1"/>
  <c r="I722" i="1"/>
  <c r="H722" i="1"/>
  <c r="O722" i="1" s="1"/>
  <c r="G722" i="1"/>
  <c r="X721" i="1"/>
  <c r="W721" i="1"/>
  <c r="N721" i="1"/>
  <c r="M721" i="1"/>
  <c r="L721" i="1"/>
  <c r="K721" i="1"/>
  <c r="J721" i="1"/>
  <c r="I721" i="1"/>
  <c r="H721" i="1"/>
  <c r="O721" i="1" s="1"/>
  <c r="G721" i="1"/>
  <c r="X720" i="1"/>
  <c r="W720" i="1"/>
  <c r="N720" i="1"/>
  <c r="M720" i="1"/>
  <c r="L720" i="1"/>
  <c r="K720" i="1"/>
  <c r="J720" i="1"/>
  <c r="I720" i="1"/>
  <c r="H720" i="1"/>
  <c r="O720" i="1" s="1"/>
  <c r="G720" i="1"/>
  <c r="X719" i="1"/>
  <c r="W719" i="1"/>
  <c r="N719" i="1"/>
  <c r="M719" i="1"/>
  <c r="L719" i="1"/>
  <c r="K719" i="1"/>
  <c r="J719" i="1"/>
  <c r="I719" i="1"/>
  <c r="H719" i="1"/>
  <c r="O719" i="1" s="1"/>
  <c r="G719" i="1"/>
  <c r="X718" i="1"/>
  <c r="W718" i="1"/>
  <c r="N718" i="1"/>
  <c r="M718" i="1"/>
  <c r="L718" i="1"/>
  <c r="K718" i="1"/>
  <c r="J718" i="1"/>
  <c r="I718" i="1"/>
  <c r="H718" i="1"/>
  <c r="O718" i="1" s="1"/>
  <c r="G718" i="1"/>
  <c r="X717" i="1"/>
  <c r="W717" i="1"/>
  <c r="N717" i="1"/>
  <c r="M717" i="1"/>
  <c r="L717" i="1"/>
  <c r="K717" i="1"/>
  <c r="J717" i="1"/>
  <c r="I717" i="1"/>
  <c r="H717" i="1"/>
  <c r="O717" i="1" s="1"/>
  <c r="G717" i="1"/>
  <c r="X716" i="1"/>
  <c r="W716" i="1"/>
  <c r="N716" i="1"/>
  <c r="M716" i="1"/>
  <c r="L716" i="1"/>
  <c r="K716" i="1"/>
  <c r="J716" i="1"/>
  <c r="I716" i="1"/>
  <c r="H716" i="1"/>
  <c r="O716" i="1" s="1"/>
  <c r="G716" i="1"/>
  <c r="X715" i="1"/>
  <c r="W715" i="1"/>
  <c r="N715" i="1"/>
  <c r="M715" i="1"/>
  <c r="L715" i="1"/>
  <c r="K715" i="1"/>
  <c r="J715" i="1"/>
  <c r="I715" i="1"/>
  <c r="H715" i="1"/>
  <c r="O715" i="1" s="1"/>
  <c r="G715" i="1"/>
  <c r="X714" i="1"/>
  <c r="W714" i="1"/>
  <c r="N714" i="1"/>
  <c r="M714" i="1"/>
  <c r="L714" i="1"/>
  <c r="K714" i="1"/>
  <c r="J714" i="1"/>
  <c r="I714" i="1"/>
  <c r="H714" i="1"/>
  <c r="O714" i="1" s="1"/>
  <c r="G714" i="1"/>
  <c r="X713" i="1"/>
  <c r="W713" i="1"/>
  <c r="N713" i="1"/>
  <c r="M713" i="1"/>
  <c r="L713" i="1"/>
  <c r="K713" i="1"/>
  <c r="J713" i="1"/>
  <c r="I713" i="1"/>
  <c r="H713" i="1"/>
  <c r="O713" i="1" s="1"/>
  <c r="G713" i="1"/>
  <c r="X712" i="1"/>
  <c r="W712" i="1"/>
  <c r="N712" i="1"/>
  <c r="M712" i="1"/>
  <c r="L712" i="1"/>
  <c r="K712" i="1"/>
  <c r="J712" i="1"/>
  <c r="I712" i="1"/>
  <c r="H712" i="1"/>
  <c r="O712" i="1" s="1"/>
  <c r="G712" i="1"/>
  <c r="X711" i="1"/>
  <c r="W711" i="1"/>
  <c r="N711" i="1"/>
  <c r="M711" i="1"/>
  <c r="L711" i="1"/>
  <c r="K711" i="1"/>
  <c r="J711" i="1"/>
  <c r="I711" i="1"/>
  <c r="H711" i="1"/>
  <c r="O711" i="1" s="1"/>
  <c r="G711" i="1"/>
  <c r="X710" i="1"/>
  <c r="W710" i="1"/>
  <c r="N710" i="1"/>
  <c r="M710" i="1"/>
  <c r="L710" i="1"/>
  <c r="K710" i="1"/>
  <c r="J710" i="1"/>
  <c r="I710" i="1"/>
  <c r="H710" i="1"/>
  <c r="O710" i="1" s="1"/>
  <c r="G710" i="1"/>
  <c r="X709" i="1"/>
  <c r="W709" i="1"/>
  <c r="N709" i="1"/>
  <c r="M709" i="1"/>
  <c r="L709" i="1"/>
  <c r="K709" i="1"/>
  <c r="J709" i="1"/>
  <c r="I709" i="1"/>
  <c r="H709" i="1"/>
  <c r="O709" i="1" s="1"/>
  <c r="G709" i="1"/>
  <c r="X708" i="1"/>
  <c r="W708" i="1"/>
  <c r="N708" i="1"/>
  <c r="M708" i="1"/>
  <c r="L708" i="1"/>
  <c r="K708" i="1"/>
  <c r="J708" i="1"/>
  <c r="I708" i="1"/>
  <c r="H708" i="1"/>
  <c r="O708" i="1" s="1"/>
  <c r="G708" i="1"/>
  <c r="X707" i="1"/>
  <c r="W707" i="1"/>
  <c r="N707" i="1"/>
  <c r="M707" i="1"/>
  <c r="L707" i="1"/>
  <c r="K707" i="1"/>
  <c r="J707" i="1"/>
  <c r="I707" i="1"/>
  <c r="H707" i="1"/>
  <c r="O707" i="1" s="1"/>
  <c r="G707" i="1"/>
  <c r="X706" i="1"/>
  <c r="W706" i="1"/>
  <c r="N706" i="1"/>
  <c r="M706" i="1"/>
  <c r="L706" i="1"/>
  <c r="K706" i="1"/>
  <c r="J706" i="1"/>
  <c r="I706" i="1"/>
  <c r="H706" i="1"/>
  <c r="O706" i="1" s="1"/>
  <c r="G706" i="1"/>
  <c r="X705" i="1"/>
  <c r="W705" i="1"/>
  <c r="N705" i="1"/>
  <c r="M705" i="1"/>
  <c r="L705" i="1"/>
  <c r="K705" i="1"/>
  <c r="J705" i="1"/>
  <c r="I705" i="1"/>
  <c r="H705" i="1"/>
  <c r="O705" i="1" s="1"/>
  <c r="G705" i="1"/>
  <c r="X703" i="1"/>
  <c r="W703" i="1"/>
  <c r="N703" i="1"/>
  <c r="M703" i="1"/>
  <c r="L703" i="1"/>
  <c r="K703" i="1"/>
  <c r="J703" i="1"/>
  <c r="I703" i="1"/>
  <c r="H703" i="1"/>
  <c r="O703" i="1" s="1"/>
  <c r="G703" i="1"/>
  <c r="X702" i="1"/>
  <c r="W702" i="1"/>
  <c r="N702" i="1"/>
  <c r="M702" i="1"/>
  <c r="L702" i="1"/>
  <c r="K702" i="1"/>
  <c r="J702" i="1"/>
  <c r="I702" i="1"/>
  <c r="H702" i="1"/>
  <c r="O702" i="1" s="1"/>
  <c r="G702" i="1"/>
  <c r="X701" i="1"/>
  <c r="W701" i="1"/>
  <c r="N701" i="1"/>
  <c r="M701" i="1"/>
  <c r="L701" i="1"/>
  <c r="K701" i="1"/>
  <c r="J701" i="1"/>
  <c r="I701" i="1"/>
  <c r="H701" i="1"/>
  <c r="O701" i="1" s="1"/>
  <c r="G701" i="1"/>
  <c r="X700" i="1"/>
  <c r="W700" i="1"/>
  <c r="N700" i="1"/>
  <c r="M700" i="1"/>
  <c r="L700" i="1"/>
  <c r="K700" i="1"/>
  <c r="J700" i="1"/>
  <c r="I700" i="1"/>
  <c r="H700" i="1"/>
  <c r="O700" i="1" s="1"/>
  <c r="G700" i="1"/>
  <c r="X699" i="1"/>
  <c r="W699" i="1"/>
  <c r="N699" i="1"/>
  <c r="M699" i="1"/>
  <c r="L699" i="1"/>
  <c r="K699" i="1"/>
  <c r="J699" i="1"/>
  <c r="I699" i="1"/>
  <c r="H699" i="1"/>
  <c r="O699" i="1" s="1"/>
  <c r="G699" i="1"/>
  <c r="X698" i="1"/>
  <c r="W698" i="1"/>
  <c r="N698" i="1"/>
  <c r="M698" i="1"/>
  <c r="L698" i="1"/>
  <c r="K698" i="1"/>
  <c r="J698" i="1"/>
  <c r="I698" i="1"/>
  <c r="H698" i="1"/>
  <c r="O698" i="1" s="1"/>
  <c r="G698" i="1"/>
  <c r="X697" i="1"/>
  <c r="W697" i="1"/>
  <c r="N697" i="1"/>
  <c r="M697" i="1"/>
  <c r="L697" i="1"/>
  <c r="K697" i="1"/>
  <c r="J697" i="1"/>
  <c r="I697" i="1"/>
  <c r="H697" i="1"/>
  <c r="O697" i="1" s="1"/>
  <c r="G697" i="1"/>
  <c r="X696" i="1"/>
  <c r="W696" i="1"/>
  <c r="N696" i="1"/>
  <c r="M696" i="1"/>
  <c r="L696" i="1"/>
  <c r="K696" i="1"/>
  <c r="J696" i="1"/>
  <c r="I696" i="1"/>
  <c r="H696" i="1"/>
  <c r="O696" i="1" s="1"/>
  <c r="G696" i="1"/>
  <c r="X695" i="1"/>
  <c r="W695" i="1"/>
  <c r="N695" i="1"/>
  <c r="M695" i="1"/>
  <c r="L695" i="1"/>
  <c r="K695" i="1"/>
  <c r="J695" i="1"/>
  <c r="I695" i="1"/>
  <c r="H695" i="1"/>
  <c r="O695" i="1" s="1"/>
  <c r="G695" i="1"/>
  <c r="X694" i="1"/>
  <c r="W694" i="1"/>
  <c r="N694" i="1"/>
  <c r="M694" i="1"/>
  <c r="L694" i="1"/>
  <c r="K694" i="1"/>
  <c r="J694" i="1"/>
  <c r="I694" i="1"/>
  <c r="H694" i="1"/>
  <c r="O694" i="1" s="1"/>
  <c r="G694" i="1"/>
  <c r="X693" i="1"/>
  <c r="W693" i="1"/>
  <c r="N693" i="1"/>
  <c r="M693" i="1"/>
  <c r="L693" i="1"/>
  <c r="K693" i="1"/>
  <c r="J693" i="1"/>
  <c r="I693" i="1"/>
  <c r="H693" i="1"/>
  <c r="O693" i="1" s="1"/>
  <c r="G693" i="1"/>
  <c r="X692" i="1"/>
  <c r="W692" i="1"/>
  <c r="N692" i="1"/>
  <c r="M692" i="1"/>
  <c r="L692" i="1"/>
  <c r="K692" i="1"/>
  <c r="J692" i="1"/>
  <c r="I692" i="1"/>
  <c r="H692" i="1"/>
  <c r="O692" i="1" s="1"/>
  <c r="G692" i="1"/>
  <c r="X691" i="1"/>
  <c r="W691" i="1"/>
  <c r="N691" i="1"/>
  <c r="M691" i="1"/>
  <c r="L691" i="1"/>
  <c r="K691" i="1"/>
  <c r="J691" i="1"/>
  <c r="I691" i="1"/>
  <c r="H691" i="1"/>
  <c r="O691" i="1" s="1"/>
  <c r="G691" i="1"/>
  <c r="X690" i="1"/>
  <c r="W690" i="1"/>
  <c r="N690" i="1"/>
  <c r="M690" i="1"/>
  <c r="L690" i="1"/>
  <c r="K690" i="1"/>
  <c r="J690" i="1"/>
  <c r="I690" i="1"/>
  <c r="H690" i="1"/>
  <c r="O690" i="1" s="1"/>
  <c r="G690" i="1"/>
  <c r="X689" i="1"/>
  <c r="W689" i="1"/>
  <c r="N689" i="1"/>
  <c r="M689" i="1"/>
  <c r="L689" i="1"/>
  <c r="K689" i="1"/>
  <c r="J689" i="1"/>
  <c r="I689" i="1"/>
  <c r="H689" i="1"/>
  <c r="O689" i="1" s="1"/>
  <c r="G689" i="1"/>
  <c r="X688" i="1"/>
  <c r="W688" i="1"/>
  <c r="N688" i="1"/>
  <c r="M688" i="1"/>
  <c r="L688" i="1"/>
  <c r="K688" i="1"/>
  <c r="J688" i="1"/>
  <c r="I688" i="1"/>
  <c r="H688" i="1"/>
  <c r="O688" i="1" s="1"/>
  <c r="G688" i="1"/>
  <c r="X687" i="1"/>
  <c r="W687" i="1"/>
  <c r="N687" i="1"/>
  <c r="M687" i="1"/>
  <c r="L687" i="1"/>
  <c r="K687" i="1"/>
  <c r="J687" i="1"/>
  <c r="I687" i="1"/>
  <c r="H687" i="1"/>
  <c r="O687" i="1" s="1"/>
  <c r="G687" i="1"/>
  <c r="X686" i="1"/>
  <c r="W686" i="1"/>
  <c r="N686" i="1"/>
  <c r="M686" i="1"/>
  <c r="L686" i="1"/>
  <c r="K686" i="1"/>
  <c r="J686" i="1"/>
  <c r="I686" i="1"/>
  <c r="H686" i="1"/>
  <c r="O686" i="1" s="1"/>
  <c r="G686" i="1"/>
  <c r="X685" i="1"/>
  <c r="W685" i="1"/>
  <c r="N685" i="1"/>
  <c r="M685" i="1"/>
  <c r="L685" i="1"/>
  <c r="K685" i="1"/>
  <c r="J685" i="1"/>
  <c r="I685" i="1"/>
  <c r="H685" i="1"/>
  <c r="O685" i="1" s="1"/>
  <c r="G685" i="1"/>
  <c r="X684" i="1"/>
  <c r="W684" i="1"/>
  <c r="N684" i="1"/>
  <c r="M684" i="1"/>
  <c r="L684" i="1"/>
  <c r="K684" i="1"/>
  <c r="J684" i="1"/>
  <c r="I684" i="1"/>
  <c r="H684" i="1"/>
  <c r="O684" i="1" s="1"/>
  <c r="G684" i="1"/>
  <c r="X683" i="1"/>
  <c r="W683" i="1"/>
  <c r="N683" i="1"/>
  <c r="M683" i="1"/>
  <c r="L683" i="1"/>
  <c r="K683" i="1"/>
  <c r="J683" i="1"/>
  <c r="I683" i="1"/>
  <c r="H683" i="1"/>
  <c r="O683" i="1" s="1"/>
  <c r="G683" i="1"/>
  <c r="X682" i="1"/>
  <c r="W682" i="1"/>
  <c r="N682" i="1"/>
  <c r="M682" i="1"/>
  <c r="L682" i="1"/>
  <c r="K682" i="1"/>
  <c r="J682" i="1"/>
  <c r="I682" i="1"/>
  <c r="H682" i="1"/>
  <c r="O682" i="1" s="1"/>
  <c r="G682" i="1"/>
  <c r="X681" i="1"/>
  <c r="W681" i="1"/>
  <c r="N681" i="1"/>
  <c r="M681" i="1"/>
  <c r="L681" i="1"/>
  <c r="K681" i="1"/>
  <c r="J681" i="1"/>
  <c r="I681" i="1"/>
  <c r="H681" i="1"/>
  <c r="O681" i="1" s="1"/>
  <c r="G681" i="1"/>
  <c r="X680" i="1"/>
  <c r="W680" i="1"/>
  <c r="N680" i="1"/>
  <c r="M680" i="1"/>
  <c r="L680" i="1"/>
  <c r="K680" i="1"/>
  <c r="J680" i="1"/>
  <c r="I680" i="1"/>
  <c r="H680" i="1"/>
  <c r="O680" i="1" s="1"/>
  <c r="G680" i="1"/>
  <c r="X679" i="1"/>
  <c r="W679" i="1"/>
  <c r="N679" i="1"/>
  <c r="M679" i="1"/>
  <c r="L679" i="1"/>
  <c r="K679" i="1"/>
  <c r="J679" i="1"/>
  <c r="I679" i="1"/>
  <c r="H679" i="1"/>
  <c r="O679" i="1" s="1"/>
  <c r="G679" i="1"/>
  <c r="X678" i="1"/>
  <c r="W678" i="1"/>
  <c r="N678" i="1"/>
  <c r="M678" i="1"/>
  <c r="L678" i="1"/>
  <c r="K678" i="1"/>
  <c r="J678" i="1"/>
  <c r="I678" i="1"/>
  <c r="H678" i="1"/>
  <c r="O678" i="1" s="1"/>
  <c r="G678" i="1"/>
  <c r="X677" i="1"/>
  <c r="W677" i="1"/>
  <c r="N677" i="1"/>
  <c r="M677" i="1"/>
  <c r="L677" i="1"/>
  <c r="K677" i="1"/>
  <c r="J677" i="1"/>
  <c r="I677" i="1"/>
  <c r="H677" i="1"/>
  <c r="O677" i="1" s="1"/>
  <c r="G677" i="1"/>
  <c r="X676" i="1"/>
  <c r="W676" i="1"/>
  <c r="N676" i="1"/>
  <c r="M676" i="1"/>
  <c r="L676" i="1"/>
  <c r="K676" i="1"/>
  <c r="J676" i="1"/>
  <c r="I676" i="1"/>
  <c r="H676" i="1"/>
  <c r="O676" i="1" s="1"/>
  <c r="G676" i="1"/>
  <c r="X675" i="1"/>
  <c r="W675" i="1"/>
  <c r="N675" i="1"/>
  <c r="M675" i="1"/>
  <c r="L675" i="1"/>
  <c r="K675" i="1"/>
  <c r="J675" i="1"/>
  <c r="I675" i="1"/>
  <c r="H675" i="1"/>
  <c r="O675" i="1" s="1"/>
  <c r="G675" i="1"/>
  <c r="X674" i="1"/>
  <c r="W674" i="1"/>
  <c r="N674" i="1"/>
  <c r="M674" i="1"/>
  <c r="L674" i="1"/>
  <c r="K674" i="1"/>
  <c r="J674" i="1"/>
  <c r="I674" i="1"/>
  <c r="H674" i="1"/>
  <c r="O674" i="1" s="1"/>
  <c r="G674" i="1"/>
  <c r="X673" i="1"/>
  <c r="W673" i="1"/>
  <c r="N673" i="1"/>
  <c r="M673" i="1"/>
  <c r="L673" i="1"/>
  <c r="K673" i="1"/>
  <c r="J673" i="1"/>
  <c r="I673" i="1"/>
  <c r="H673" i="1"/>
  <c r="O673" i="1" s="1"/>
  <c r="G673" i="1"/>
  <c r="X672" i="1"/>
  <c r="W672" i="1"/>
  <c r="N672" i="1"/>
  <c r="M672" i="1"/>
  <c r="L672" i="1"/>
  <c r="K672" i="1"/>
  <c r="J672" i="1"/>
  <c r="I672" i="1"/>
  <c r="H672" i="1"/>
  <c r="O672" i="1" s="1"/>
  <c r="G672" i="1"/>
  <c r="X671" i="1"/>
  <c r="W671" i="1"/>
  <c r="N671" i="1"/>
  <c r="M671" i="1"/>
  <c r="L671" i="1"/>
  <c r="K671" i="1"/>
  <c r="J671" i="1"/>
  <c r="I671" i="1"/>
  <c r="H671" i="1"/>
  <c r="O671" i="1" s="1"/>
  <c r="G671" i="1"/>
  <c r="X670" i="1"/>
  <c r="W670" i="1"/>
  <c r="N670" i="1"/>
  <c r="M670" i="1"/>
  <c r="L670" i="1"/>
  <c r="K670" i="1"/>
  <c r="J670" i="1"/>
  <c r="I670" i="1"/>
  <c r="H670" i="1"/>
  <c r="O670" i="1" s="1"/>
  <c r="G670" i="1"/>
  <c r="X669" i="1"/>
  <c r="W669" i="1"/>
  <c r="N669" i="1"/>
  <c r="M669" i="1"/>
  <c r="L669" i="1"/>
  <c r="K669" i="1"/>
  <c r="J669" i="1"/>
  <c r="I669" i="1"/>
  <c r="H669" i="1"/>
  <c r="O669" i="1" s="1"/>
  <c r="G669" i="1"/>
  <c r="X668" i="1"/>
  <c r="W668" i="1"/>
  <c r="N668" i="1"/>
  <c r="M668" i="1"/>
  <c r="L668" i="1"/>
  <c r="K668" i="1"/>
  <c r="J668" i="1"/>
  <c r="I668" i="1"/>
  <c r="H668" i="1"/>
  <c r="O668" i="1" s="1"/>
  <c r="G668" i="1"/>
  <c r="X667" i="1"/>
  <c r="W667" i="1"/>
  <c r="N667" i="1"/>
  <c r="M667" i="1"/>
  <c r="L667" i="1"/>
  <c r="K667" i="1"/>
  <c r="J667" i="1"/>
  <c r="I667" i="1"/>
  <c r="H667" i="1"/>
  <c r="O667" i="1" s="1"/>
  <c r="G667" i="1"/>
  <c r="X666" i="1"/>
  <c r="W666" i="1"/>
  <c r="N666" i="1"/>
  <c r="M666" i="1"/>
  <c r="L666" i="1"/>
  <c r="K666" i="1"/>
  <c r="J666" i="1"/>
  <c r="I666" i="1"/>
  <c r="H666" i="1"/>
  <c r="O666" i="1" s="1"/>
  <c r="G666" i="1"/>
  <c r="X665" i="1"/>
  <c r="W665" i="1"/>
  <c r="N665" i="1"/>
  <c r="M665" i="1"/>
  <c r="L665" i="1"/>
  <c r="K665" i="1"/>
  <c r="J665" i="1"/>
  <c r="I665" i="1"/>
  <c r="H665" i="1"/>
  <c r="O665" i="1" s="1"/>
  <c r="G665" i="1"/>
  <c r="X664" i="1"/>
  <c r="W664" i="1"/>
  <c r="N664" i="1"/>
  <c r="M664" i="1"/>
  <c r="L664" i="1"/>
  <c r="K664" i="1"/>
  <c r="J664" i="1"/>
  <c r="I664" i="1"/>
  <c r="H664" i="1"/>
  <c r="O664" i="1" s="1"/>
  <c r="G664" i="1"/>
  <c r="X663" i="1"/>
  <c r="W663" i="1"/>
  <c r="N663" i="1"/>
  <c r="M663" i="1"/>
  <c r="L663" i="1"/>
  <c r="K663" i="1"/>
  <c r="J663" i="1"/>
  <c r="H663" i="1"/>
  <c r="O663" i="1" s="1"/>
  <c r="X662" i="1"/>
  <c r="W662" i="1"/>
  <c r="N662" i="1"/>
  <c r="M662" i="1"/>
  <c r="L662" i="1"/>
  <c r="K662" i="1"/>
  <c r="J662" i="1"/>
  <c r="H662" i="1"/>
  <c r="O662" i="1" s="1"/>
  <c r="X661" i="1"/>
  <c r="W661" i="1"/>
  <c r="N661" i="1"/>
  <c r="M661" i="1"/>
  <c r="L661" i="1"/>
  <c r="K661" i="1"/>
  <c r="J661" i="1"/>
  <c r="H661" i="1"/>
  <c r="O661" i="1" s="1"/>
  <c r="X660" i="1"/>
  <c r="W660" i="1"/>
  <c r="N660" i="1"/>
  <c r="M660" i="1"/>
  <c r="L660" i="1"/>
  <c r="K660" i="1"/>
  <c r="J660" i="1"/>
  <c r="H660" i="1"/>
  <c r="O660" i="1" s="1"/>
  <c r="X659" i="1"/>
  <c r="W659" i="1"/>
  <c r="N659" i="1"/>
  <c r="M659" i="1"/>
  <c r="L659" i="1"/>
  <c r="K659" i="1"/>
  <c r="J659" i="1"/>
  <c r="H659" i="1"/>
  <c r="O659" i="1" s="1"/>
  <c r="X658" i="1"/>
  <c r="W658" i="1"/>
  <c r="N658" i="1"/>
  <c r="M658" i="1"/>
  <c r="L658" i="1"/>
  <c r="K658" i="1"/>
  <c r="J658" i="1"/>
  <c r="H658" i="1"/>
  <c r="O658" i="1" s="1"/>
  <c r="X657" i="1"/>
  <c r="W657" i="1"/>
  <c r="N657" i="1"/>
  <c r="M657" i="1"/>
  <c r="L657" i="1"/>
  <c r="K657" i="1"/>
  <c r="J657" i="1"/>
  <c r="H657" i="1"/>
  <c r="O657" i="1" s="1"/>
  <c r="X656" i="1"/>
  <c r="W656" i="1"/>
  <c r="N656" i="1"/>
  <c r="M656" i="1"/>
  <c r="L656" i="1"/>
  <c r="K656" i="1"/>
  <c r="J656" i="1"/>
  <c r="H656" i="1"/>
  <c r="O656" i="1" s="1"/>
  <c r="X655" i="1"/>
  <c r="W655" i="1"/>
  <c r="N655" i="1"/>
  <c r="M655" i="1"/>
  <c r="L655" i="1"/>
  <c r="K655" i="1"/>
  <c r="J655" i="1"/>
  <c r="H655" i="1"/>
  <c r="O655" i="1" s="1"/>
  <c r="X654" i="1"/>
  <c r="W654" i="1"/>
  <c r="N654" i="1"/>
  <c r="M654" i="1"/>
  <c r="L654" i="1"/>
  <c r="K654" i="1"/>
  <c r="J654" i="1"/>
  <c r="H654" i="1"/>
  <c r="O654" i="1" s="1"/>
  <c r="X653" i="1"/>
  <c r="W653" i="1"/>
  <c r="N653" i="1"/>
  <c r="M653" i="1"/>
  <c r="L653" i="1"/>
  <c r="K653" i="1"/>
  <c r="J653" i="1"/>
  <c r="H653" i="1"/>
  <c r="O653" i="1" s="1"/>
  <c r="X652" i="1"/>
  <c r="W652" i="1"/>
  <c r="N652" i="1"/>
  <c r="M652" i="1"/>
  <c r="L652" i="1"/>
  <c r="K652" i="1"/>
  <c r="J652" i="1"/>
  <c r="H652" i="1"/>
  <c r="O652" i="1" s="1"/>
  <c r="X651" i="1"/>
  <c r="W651" i="1"/>
  <c r="Q651" i="1"/>
  <c r="N651" i="1"/>
  <c r="M651" i="1"/>
  <c r="L651" i="1"/>
  <c r="K651" i="1"/>
  <c r="J651" i="1"/>
  <c r="H651" i="1"/>
  <c r="O651" i="1" s="1"/>
  <c r="X650" i="1"/>
  <c r="W650" i="1"/>
  <c r="N650" i="1"/>
  <c r="M650" i="1"/>
  <c r="L650" i="1"/>
  <c r="K650" i="1"/>
  <c r="J650" i="1"/>
  <c r="H650" i="1"/>
  <c r="O650" i="1" s="1"/>
  <c r="X649" i="1"/>
  <c r="W649" i="1"/>
  <c r="N649" i="1"/>
  <c r="M649" i="1"/>
  <c r="L649" i="1"/>
  <c r="K649" i="1"/>
  <c r="J649" i="1"/>
  <c r="H649" i="1"/>
  <c r="O649" i="1" s="1"/>
  <c r="X648" i="1"/>
  <c r="W648" i="1"/>
  <c r="N648" i="1"/>
  <c r="M648" i="1"/>
  <c r="L648" i="1"/>
  <c r="K648" i="1"/>
  <c r="J648" i="1"/>
  <c r="H648" i="1"/>
  <c r="O648" i="1" s="1"/>
  <c r="X647" i="1"/>
  <c r="W647" i="1"/>
  <c r="N647" i="1"/>
  <c r="M647" i="1"/>
  <c r="L647" i="1"/>
  <c r="K647" i="1"/>
  <c r="J647" i="1"/>
  <c r="H647" i="1"/>
  <c r="O647" i="1" s="1"/>
  <c r="X646" i="1"/>
  <c r="W646" i="1"/>
  <c r="N646" i="1"/>
  <c r="M646" i="1"/>
  <c r="L646" i="1"/>
  <c r="K646" i="1"/>
  <c r="J646" i="1"/>
  <c r="H646" i="1"/>
  <c r="O646" i="1" s="1"/>
  <c r="X645" i="1"/>
  <c r="W645" i="1"/>
  <c r="N645" i="1"/>
  <c r="M645" i="1"/>
  <c r="L645" i="1"/>
  <c r="K645" i="1"/>
  <c r="J645" i="1"/>
  <c r="H645" i="1"/>
  <c r="O645" i="1" s="1"/>
  <c r="X644" i="1"/>
  <c r="W644" i="1"/>
  <c r="N644" i="1"/>
  <c r="M644" i="1"/>
  <c r="L644" i="1"/>
  <c r="K644" i="1"/>
  <c r="J644" i="1"/>
  <c r="H644" i="1"/>
  <c r="O644" i="1" s="1"/>
  <c r="X643" i="1"/>
  <c r="W643" i="1"/>
  <c r="N643" i="1"/>
  <c r="M643" i="1"/>
  <c r="L643" i="1"/>
  <c r="K643" i="1"/>
  <c r="J643" i="1"/>
  <c r="H643" i="1"/>
  <c r="O643" i="1" s="1"/>
  <c r="X642" i="1"/>
  <c r="W642" i="1"/>
  <c r="N642" i="1"/>
  <c r="M642" i="1"/>
  <c r="L642" i="1"/>
  <c r="K642" i="1"/>
  <c r="J642" i="1"/>
  <c r="H642" i="1"/>
  <c r="O642" i="1" s="1"/>
  <c r="X641" i="1"/>
  <c r="W641" i="1"/>
  <c r="N641" i="1"/>
  <c r="M641" i="1"/>
  <c r="L641" i="1"/>
  <c r="K641" i="1"/>
  <c r="J641" i="1"/>
  <c r="H641" i="1"/>
  <c r="O641" i="1" s="1"/>
  <c r="P641" i="1" s="1"/>
  <c r="X640" i="1"/>
  <c r="W640" i="1"/>
  <c r="N640" i="1"/>
  <c r="M640" i="1"/>
  <c r="L640" i="1"/>
  <c r="K640" i="1"/>
  <c r="J640" i="1"/>
  <c r="H640" i="1"/>
  <c r="O640" i="1" s="1"/>
  <c r="X639" i="1"/>
  <c r="W639" i="1"/>
  <c r="N639" i="1"/>
  <c r="M639" i="1"/>
  <c r="L639" i="1"/>
  <c r="K639" i="1"/>
  <c r="J639" i="1"/>
  <c r="H639" i="1"/>
  <c r="O639" i="1" s="1"/>
  <c r="P639" i="1" s="1"/>
  <c r="X638" i="1"/>
  <c r="W638" i="1"/>
  <c r="N638" i="1"/>
  <c r="M638" i="1"/>
  <c r="L638" i="1"/>
  <c r="K638" i="1"/>
  <c r="J638" i="1"/>
  <c r="H638" i="1"/>
  <c r="R638" i="1" s="1"/>
  <c r="X637" i="1"/>
  <c r="W637" i="1"/>
  <c r="N637" i="1"/>
  <c r="M637" i="1"/>
  <c r="L637" i="1"/>
  <c r="K637" i="1"/>
  <c r="J637" i="1"/>
  <c r="H637" i="1"/>
  <c r="O637" i="1" s="1"/>
  <c r="P637" i="1" s="1"/>
  <c r="X636" i="1"/>
  <c r="W636" i="1"/>
  <c r="N636" i="1"/>
  <c r="M636" i="1"/>
  <c r="L636" i="1"/>
  <c r="K636" i="1"/>
  <c r="J636" i="1"/>
  <c r="H636" i="1"/>
  <c r="O636" i="1" s="1"/>
  <c r="P636" i="1" s="1"/>
  <c r="X635" i="1"/>
  <c r="W635" i="1"/>
  <c r="N635" i="1"/>
  <c r="M635" i="1"/>
  <c r="L635" i="1"/>
  <c r="K635" i="1"/>
  <c r="J635" i="1"/>
  <c r="H635" i="1"/>
  <c r="R635" i="1" s="1"/>
  <c r="X634" i="1"/>
  <c r="W634" i="1"/>
  <c r="N634" i="1"/>
  <c r="M634" i="1"/>
  <c r="L634" i="1"/>
  <c r="K634" i="1"/>
  <c r="J634" i="1"/>
  <c r="H634" i="1"/>
  <c r="O634" i="1" s="1"/>
  <c r="P634" i="1" s="1"/>
  <c r="X633" i="1"/>
  <c r="W633" i="1"/>
  <c r="N633" i="1"/>
  <c r="M633" i="1"/>
  <c r="L633" i="1"/>
  <c r="K633" i="1"/>
  <c r="J633" i="1"/>
  <c r="H633" i="1"/>
  <c r="O633" i="1" s="1"/>
  <c r="P633" i="1" s="1"/>
  <c r="X632" i="1"/>
  <c r="W632" i="1"/>
  <c r="N632" i="1"/>
  <c r="M632" i="1"/>
  <c r="L632" i="1"/>
  <c r="K632" i="1"/>
  <c r="J632" i="1"/>
  <c r="H632" i="1"/>
  <c r="O632" i="1" s="1"/>
  <c r="X631" i="1"/>
  <c r="W631" i="1"/>
  <c r="N631" i="1"/>
  <c r="M631" i="1"/>
  <c r="L631" i="1"/>
  <c r="K631" i="1"/>
  <c r="J631" i="1"/>
  <c r="H631" i="1"/>
  <c r="O631" i="1" s="1"/>
  <c r="P631" i="1" s="1"/>
  <c r="X630" i="1"/>
  <c r="W630" i="1"/>
  <c r="N630" i="1"/>
  <c r="M630" i="1"/>
  <c r="L630" i="1"/>
  <c r="K630" i="1"/>
  <c r="J630" i="1"/>
  <c r="H630" i="1"/>
  <c r="O630" i="1" s="1"/>
  <c r="P630" i="1" s="1"/>
  <c r="X629" i="1"/>
  <c r="W629" i="1"/>
  <c r="N629" i="1"/>
  <c r="M629" i="1"/>
  <c r="L629" i="1"/>
  <c r="K629" i="1"/>
  <c r="J629" i="1"/>
  <c r="H629" i="1"/>
  <c r="X628" i="1"/>
  <c r="W628" i="1"/>
  <c r="N628" i="1"/>
  <c r="M628" i="1"/>
  <c r="L628" i="1"/>
  <c r="K628" i="1"/>
  <c r="J628" i="1"/>
  <c r="H628" i="1"/>
  <c r="X627" i="1"/>
  <c r="W627" i="1"/>
  <c r="N627" i="1"/>
  <c r="M627" i="1"/>
  <c r="L627" i="1"/>
  <c r="K627" i="1"/>
  <c r="J627" i="1"/>
  <c r="H627" i="1"/>
  <c r="O627" i="1" s="1"/>
  <c r="P627" i="1" s="1"/>
  <c r="X626" i="1"/>
  <c r="W626" i="1"/>
  <c r="N626" i="1"/>
  <c r="M626" i="1"/>
  <c r="L626" i="1"/>
  <c r="K626" i="1"/>
  <c r="J626" i="1"/>
  <c r="H626" i="1"/>
  <c r="O626" i="1" s="1"/>
  <c r="X625" i="1"/>
  <c r="W625" i="1"/>
  <c r="N625" i="1"/>
  <c r="M625" i="1"/>
  <c r="L625" i="1"/>
  <c r="K625" i="1"/>
  <c r="J625" i="1"/>
  <c r="H625" i="1"/>
  <c r="O625" i="1" s="1"/>
  <c r="X624" i="1"/>
  <c r="W624" i="1"/>
  <c r="N624" i="1"/>
  <c r="M624" i="1"/>
  <c r="L624" i="1"/>
  <c r="K624" i="1"/>
  <c r="J624" i="1"/>
  <c r="H624" i="1"/>
  <c r="X623" i="1"/>
  <c r="W623" i="1"/>
  <c r="N623" i="1"/>
  <c r="M623" i="1"/>
  <c r="L623" i="1"/>
  <c r="K623" i="1"/>
  <c r="J623" i="1"/>
  <c r="H623" i="1"/>
  <c r="X622" i="1"/>
  <c r="W622" i="1"/>
  <c r="N622" i="1"/>
  <c r="M622" i="1"/>
  <c r="L622" i="1"/>
  <c r="K622" i="1"/>
  <c r="J622" i="1"/>
  <c r="H622" i="1"/>
  <c r="O622" i="1" s="1"/>
  <c r="P622" i="1" s="1"/>
  <c r="X621" i="1"/>
  <c r="W621" i="1"/>
  <c r="N621" i="1"/>
  <c r="M621" i="1"/>
  <c r="L621" i="1"/>
  <c r="K621" i="1"/>
  <c r="J621" i="1"/>
  <c r="H621" i="1"/>
  <c r="X620" i="1"/>
  <c r="W620" i="1"/>
  <c r="N620" i="1"/>
  <c r="M620" i="1"/>
  <c r="L620" i="1"/>
  <c r="K620" i="1"/>
  <c r="J620" i="1"/>
  <c r="H620" i="1"/>
  <c r="R620" i="1" s="1"/>
  <c r="X619" i="1"/>
  <c r="W619" i="1"/>
  <c r="N619" i="1"/>
  <c r="M619" i="1"/>
  <c r="L619" i="1"/>
  <c r="K619" i="1"/>
  <c r="J619" i="1"/>
  <c r="H619" i="1"/>
  <c r="O619" i="1" s="1"/>
  <c r="X618" i="1"/>
  <c r="W618" i="1"/>
  <c r="N618" i="1"/>
  <c r="M618" i="1"/>
  <c r="L618" i="1"/>
  <c r="K618" i="1"/>
  <c r="J618" i="1"/>
  <c r="H618" i="1"/>
  <c r="O618" i="1" s="1"/>
  <c r="P618" i="1" s="1"/>
  <c r="X617" i="1"/>
  <c r="W617" i="1"/>
  <c r="N617" i="1"/>
  <c r="M617" i="1"/>
  <c r="L617" i="1"/>
  <c r="K617" i="1"/>
  <c r="J617" i="1"/>
  <c r="H617" i="1"/>
  <c r="R617" i="1" s="1"/>
  <c r="X616" i="1"/>
  <c r="W616" i="1"/>
  <c r="N616" i="1"/>
  <c r="M616" i="1"/>
  <c r="L616" i="1"/>
  <c r="K616" i="1"/>
  <c r="J616" i="1"/>
  <c r="H616" i="1"/>
  <c r="O616" i="1" s="1"/>
  <c r="X615" i="1"/>
  <c r="W615" i="1"/>
  <c r="N615" i="1"/>
  <c r="M615" i="1"/>
  <c r="L615" i="1"/>
  <c r="K615" i="1"/>
  <c r="J615" i="1"/>
  <c r="H615" i="1"/>
  <c r="O615" i="1" s="1"/>
  <c r="P615" i="1" s="1"/>
  <c r="X614" i="1"/>
  <c r="W614" i="1"/>
  <c r="N614" i="1"/>
  <c r="M614" i="1"/>
  <c r="L614" i="1"/>
  <c r="K614" i="1"/>
  <c r="J614" i="1"/>
  <c r="H614" i="1"/>
  <c r="O614" i="1" s="1"/>
  <c r="X613" i="1"/>
  <c r="W613" i="1"/>
  <c r="N613" i="1"/>
  <c r="M613" i="1"/>
  <c r="L613" i="1"/>
  <c r="K613" i="1"/>
  <c r="J613" i="1"/>
  <c r="H613" i="1"/>
  <c r="O613" i="1" s="1"/>
  <c r="P613" i="1" s="1"/>
  <c r="X612" i="1"/>
  <c r="W612" i="1"/>
  <c r="N612" i="1"/>
  <c r="M612" i="1"/>
  <c r="L612" i="1"/>
  <c r="K612" i="1"/>
  <c r="J612" i="1"/>
  <c r="H612" i="1"/>
  <c r="O612" i="1" s="1"/>
  <c r="P612" i="1" s="1"/>
  <c r="X611" i="1"/>
  <c r="W611" i="1"/>
  <c r="N611" i="1"/>
  <c r="M611" i="1"/>
  <c r="L611" i="1"/>
  <c r="K611" i="1"/>
  <c r="J611" i="1"/>
  <c r="H611" i="1"/>
  <c r="O611" i="1" s="1"/>
  <c r="P611" i="1" s="1"/>
  <c r="X610" i="1"/>
  <c r="W610" i="1"/>
  <c r="N610" i="1"/>
  <c r="M610" i="1"/>
  <c r="L610" i="1"/>
  <c r="K610" i="1"/>
  <c r="J610" i="1"/>
  <c r="H610" i="1"/>
  <c r="O610" i="1" s="1"/>
  <c r="X609" i="1"/>
  <c r="W609" i="1"/>
  <c r="N609" i="1"/>
  <c r="M609" i="1"/>
  <c r="L609" i="1"/>
  <c r="K609" i="1"/>
  <c r="J609" i="1"/>
  <c r="H609" i="1"/>
  <c r="O609" i="1" s="1"/>
  <c r="X608" i="1"/>
  <c r="W608" i="1"/>
  <c r="N608" i="1"/>
  <c r="M608" i="1"/>
  <c r="L608" i="1"/>
  <c r="K608" i="1"/>
  <c r="J608" i="1"/>
  <c r="H608" i="1"/>
  <c r="X607" i="1"/>
  <c r="W607" i="1"/>
  <c r="N607" i="1"/>
  <c r="M607" i="1"/>
  <c r="L607" i="1"/>
  <c r="K607" i="1"/>
  <c r="J607" i="1"/>
  <c r="H607" i="1"/>
  <c r="X606" i="1"/>
  <c r="W606" i="1"/>
  <c r="N606" i="1"/>
  <c r="M606" i="1"/>
  <c r="L606" i="1"/>
  <c r="K606" i="1"/>
  <c r="J606" i="1"/>
  <c r="H606" i="1"/>
  <c r="X605" i="1"/>
  <c r="W605" i="1"/>
  <c r="N605" i="1"/>
  <c r="M605" i="1"/>
  <c r="L605" i="1"/>
  <c r="K605" i="1"/>
  <c r="J605" i="1"/>
  <c r="H605" i="1"/>
  <c r="X604" i="1"/>
  <c r="W604" i="1"/>
  <c r="N604" i="1"/>
  <c r="M604" i="1"/>
  <c r="L604" i="1"/>
  <c r="K604" i="1"/>
  <c r="J604" i="1"/>
  <c r="H604" i="1"/>
  <c r="R604" i="1" s="1"/>
  <c r="X603" i="1"/>
  <c r="W603" i="1"/>
  <c r="N603" i="1"/>
  <c r="M603" i="1"/>
  <c r="L603" i="1"/>
  <c r="K603" i="1"/>
  <c r="J603" i="1"/>
  <c r="H603" i="1"/>
  <c r="O603" i="1" s="1"/>
  <c r="P603" i="1" s="1"/>
  <c r="X602" i="1"/>
  <c r="W602" i="1"/>
  <c r="N602" i="1"/>
  <c r="M602" i="1"/>
  <c r="L602" i="1"/>
  <c r="K602" i="1"/>
  <c r="J602" i="1"/>
  <c r="H602" i="1"/>
  <c r="X601" i="1"/>
  <c r="W601" i="1"/>
  <c r="N601" i="1"/>
  <c r="M601" i="1"/>
  <c r="L601" i="1"/>
  <c r="K601" i="1"/>
  <c r="J601" i="1"/>
  <c r="H601" i="1"/>
  <c r="R601" i="1" s="1"/>
  <c r="X600" i="1"/>
  <c r="W600" i="1"/>
  <c r="N600" i="1"/>
  <c r="M600" i="1"/>
  <c r="L600" i="1"/>
  <c r="K600" i="1"/>
  <c r="J600" i="1"/>
  <c r="H600" i="1"/>
  <c r="R600" i="1" s="1"/>
  <c r="X599" i="1"/>
  <c r="W599" i="1"/>
  <c r="N599" i="1"/>
  <c r="M599" i="1"/>
  <c r="L599" i="1"/>
  <c r="K599" i="1"/>
  <c r="J599" i="1"/>
  <c r="H599" i="1"/>
  <c r="O599" i="1" s="1"/>
  <c r="X598" i="1"/>
  <c r="W598" i="1"/>
  <c r="N598" i="1"/>
  <c r="M598" i="1"/>
  <c r="L598" i="1"/>
  <c r="K598" i="1"/>
  <c r="J598" i="1"/>
  <c r="H598" i="1"/>
  <c r="X597" i="1"/>
  <c r="W597" i="1"/>
  <c r="N597" i="1"/>
  <c r="M597" i="1"/>
  <c r="L597" i="1"/>
  <c r="K597" i="1"/>
  <c r="J597" i="1"/>
  <c r="H597" i="1"/>
  <c r="O597" i="1" s="1"/>
  <c r="X596" i="1"/>
  <c r="W596" i="1"/>
  <c r="N596" i="1"/>
  <c r="M596" i="1"/>
  <c r="L596" i="1"/>
  <c r="K596" i="1"/>
  <c r="J596" i="1"/>
  <c r="H596" i="1"/>
  <c r="O596" i="1" s="1"/>
  <c r="X595" i="1"/>
  <c r="W595" i="1"/>
  <c r="N595" i="1"/>
  <c r="M595" i="1"/>
  <c r="L595" i="1"/>
  <c r="K595" i="1"/>
  <c r="J595" i="1"/>
  <c r="H595" i="1"/>
  <c r="O595" i="1" s="1"/>
  <c r="P595" i="1" s="1"/>
  <c r="X594" i="1"/>
  <c r="W594" i="1"/>
  <c r="N594" i="1"/>
  <c r="M594" i="1"/>
  <c r="L594" i="1"/>
  <c r="K594" i="1"/>
  <c r="J594" i="1"/>
  <c r="H594" i="1"/>
  <c r="X593" i="1"/>
  <c r="W593" i="1"/>
  <c r="N593" i="1"/>
  <c r="M593" i="1"/>
  <c r="L593" i="1"/>
  <c r="K593" i="1"/>
  <c r="J593" i="1"/>
  <c r="H593" i="1"/>
  <c r="O593" i="1" s="1"/>
  <c r="X592" i="1"/>
  <c r="W592" i="1"/>
  <c r="N592" i="1"/>
  <c r="M592" i="1"/>
  <c r="L592" i="1"/>
  <c r="K592" i="1"/>
  <c r="J592" i="1"/>
  <c r="H592" i="1"/>
  <c r="X591" i="1"/>
  <c r="W591" i="1"/>
  <c r="N591" i="1"/>
  <c r="M591" i="1"/>
  <c r="L591" i="1"/>
  <c r="K591" i="1"/>
  <c r="J591" i="1"/>
  <c r="H591" i="1"/>
  <c r="X590" i="1"/>
  <c r="W590" i="1"/>
  <c r="N590" i="1"/>
  <c r="M590" i="1"/>
  <c r="L590" i="1"/>
  <c r="K590" i="1"/>
  <c r="J590" i="1"/>
  <c r="H590" i="1"/>
  <c r="X589" i="1"/>
  <c r="W589" i="1"/>
  <c r="N589" i="1"/>
  <c r="M589" i="1"/>
  <c r="L589" i="1"/>
  <c r="K589" i="1"/>
  <c r="J589" i="1"/>
  <c r="H589" i="1"/>
  <c r="X588" i="1"/>
  <c r="W588" i="1"/>
  <c r="N588" i="1"/>
  <c r="M588" i="1"/>
  <c r="L588" i="1"/>
  <c r="K588" i="1"/>
  <c r="J588" i="1"/>
  <c r="I588" i="1"/>
  <c r="H588" i="1"/>
  <c r="O588" i="1" s="1"/>
  <c r="G588" i="1"/>
  <c r="X587" i="1"/>
  <c r="W587" i="1"/>
  <c r="N587" i="1"/>
  <c r="M587" i="1"/>
  <c r="L587" i="1"/>
  <c r="K587" i="1"/>
  <c r="J587" i="1"/>
  <c r="I587" i="1"/>
  <c r="H587" i="1"/>
  <c r="G587" i="1"/>
  <c r="X586" i="1"/>
  <c r="W586" i="1"/>
  <c r="N586" i="1"/>
  <c r="M586" i="1"/>
  <c r="L586" i="1"/>
  <c r="K586" i="1"/>
  <c r="J586" i="1"/>
  <c r="I586" i="1"/>
  <c r="H586" i="1"/>
  <c r="R586" i="1" s="1"/>
  <c r="G586" i="1"/>
  <c r="X585" i="1"/>
  <c r="W585" i="1"/>
  <c r="N585" i="1"/>
  <c r="M585" i="1"/>
  <c r="L585" i="1"/>
  <c r="K585" i="1"/>
  <c r="J585" i="1"/>
  <c r="I585" i="1"/>
  <c r="H585" i="1"/>
  <c r="R585" i="1" s="1"/>
  <c r="G585" i="1"/>
  <c r="X584" i="1"/>
  <c r="W584" i="1"/>
  <c r="N584" i="1"/>
  <c r="M584" i="1"/>
  <c r="L584" i="1"/>
  <c r="K584" i="1"/>
  <c r="J584" i="1"/>
  <c r="I584" i="1"/>
  <c r="H584" i="1"/>
  <c r="R584" i="1" s="1"/>
  <c r="G584" i="1"/>
  <c r="X583" i="1"/>
  <c r="W583" i="1"/>
  <c r="N583" i="1"/>
  <c r="M583" i="1"/>
  <c r="L583" i="1"/>
  <c r="K583" i="1"/>
  <c r="J583" i="1"/>
  <c r="I583" i="1"/>
  <c r="H583" i="1"/>
  <c r="G583" i="1"/>
  <c r="X582" i="1"/>
  <c r="W582" i="1"/>
  <c r="N582" i="1"/>
  <c r="M582" i="1"/>
  <c r="L582" i="1"/>
  <c r="K582" i="1"/>
  <c r="J582" i="1"/>
  <c r="I582" i="1"/>
  <c r="H582" i="1"/>
  <c r="R582" i="1" s="1"/>
  <c r="G582" i="1"/>
  <c r="X581" i="1"/>
  <c r="W581" i="1"/>
  <c r="N581" i="1"/>
  <c r="M581" i="1"/>
  <c r="L581" i="1"/>
  <c r="K581" i="1"/>
  <c r="J581" i="1"/>
  <c r="I581" i="1"/>
  <c r="H581" i="1"/>
  <c r="R581" i="1" s="1"/>
  <c r="G581" i="1"/>
  <c r="X580" i="1"/>
  <c r="W580" i="1"/>
  <c r="N580" i="1"/>
  <c r="M580" i="1"/>
  <c r="L580" i="1"/>
  <c r="K580" i="1"/>
  <c r="J580" i="1"/>
  <c r="I580" i="1"/>
  <c r="H580" i="1"/>
  <c r="R580" i="1" s="1"/>
  <c r="G580" i="1"/>
  <c r="X579" i="1"/>
  <c r="W579" i="1"/>
  <c r="N579" i="1"/>
  <c r="M579" i="1"/>
  <c r="L579" i="1"/>
  <c r="K579" i="1"/>
  <c r="J579" i="1"/>
  <c r="I579" i="1"/>
  <c r="H579" i="1"/>
  <c r="G579" i="1"/>
  <c r="X578" i="1"/>
  <c r="W578" i="1"/>
  <c r="N578" i="1"/>
  <c r="M578" i="1"/>
  <c r="L578" i="1"/>
  <c r="K578" i="1"/>
  <c r="J578" i="1"/>
  <c r="I578" i="1"/>
  <c r="H578" i="1"/>
  <c r="R578" i="1" s="1"/>
  <c r="G578" i="1"/>
  <c r="X577" i="1"/>
  <c r="W577" i="1"/>
  <c r="N577" i="1"/>
  <c r="M577" i="1"/>
  <c r="L577" i="1"/>
  <c r="K577" i="1"/>
  <c r="J577" i="1"/>
  <c r="I577" i="1"/>
  <c r="H577" i="1"/>
  <c r="R577" i="1" s="1"/>
  <c r="G577" i="1"/>
  <c r="X576" i="1"/>
  <c r="W576" i="1"/>
  <c r="N576" i="1"/>
  <c r="M576" i="1"/>
  <c r="L576" i="1"/>
  <c r="K576" i="1"/>
  <c r="J576" i="1"/>
  <c r="I576" i="1"/>
  <c r="H576" i="1"/>
  <c r="R576" i="1" s="1"/>
  <c r="G576" i="1"/>
  <c r="X575" i="1"/>
  <c r="W575" i="1"/>
  <c r="N575" i="1"/>
  <c r="M575" i="1"/>
  <c r="L575" i="1"/>
  <c r="K575" i="1"/>
  <c r="J575" i="1"/>
  <c r="I575" i="1"/>
  <c r="H575" i="1"/>
  <c r="G575" i="1"/>
  <c r="X574" i="1"/>
  <c r="W574" i="1"/>
  <c r="N574" i="1"/>
  <c r="M574" i="1"/>
  <c r="L574" i="1"/>
  <c r="K574" i="1"/>
  <c r="J574" i="1"/>
  <c r="I574" i="1"/>
  <c r="H574" i="1"/>
  <c r="R574" i="1" s="1"/>
  <c r="G574" i="1"/>
  <c r="X573" i="1"/>
  <c r="W573" i="1"/>
  <c r="N573" i="1"/>
  <c r="M573" i="1"/>
  <c r="L573" i="1"/>
  <c r="K573" i="1"/>
  <c r="J573" i="1"/>
  <c r="I573" i="1"/>
  <c r="H573" i="1"/>
  <c r="O573" i="1" s="1"/>
  <c r="G573" i="1"/>
  <c r="X572" i="1"/>
  <c r="W572" i="1"/>
  <c r="N572" i="1"/>
  <c r="M572" i="1"/>
  <c r="L572" i="1"/>
  <c r="K572" i="1"/>
  <c r="J572" i="1"/>
  <c r="I572" i="1"/>
  <c r="H572" i="1"/>
  <c r="R572" i="1" s="1"/>
  <c r="G572" i="1"/>
  <c r="X571" i="1"/>
  <c r="W571" i="1"/>
  <c r="N571" i="1"/>
  <c r="M571" i="1"/>
  <c r="L571" i="1"/>
  <c r="K571" i="1"/>
  <c r="J571" i="1"/>
  <c r="I571" i="1"/>
  <c r="H571" i="1"/>
  <c r="G571" i="1"/>
  <c r="X570" i="1"/>
  <c r="W570" i="1"/>
  <c r="N570" i="1"/>
  <c r="M570" i="1"/>
  <c r="L570" i="1"/>
  <c r="K570" i="1"/>
  <c r="J570" i="1"/>
  <c r="I570" i="1"/>
  <c r="H570" i="1"/>
  <c r="R570" i="1" s="1"/>
  <c r="G570" i="1"/>
  <c r="X569" i="1"/>
  <c r="W569" i="1"/>
  <c r="N569" i="1"/>
  <c r="M569" i="1"/>
  <c r="L569" i="1"/>
  <c r="K569" i="1"/>
  <c r="J569" i="1"/>
  <c r="I569" i="1"/>
  <c r="H569" i="1"/>
  <c r="R569" i="1" s="1"/>
  <c r="G569" i="1"/>
  <c r="X568" i="1"/>
  <c r="W568" i="1"/>
  <c r="N568" i="1"/>
  <c r="M568" i="1"/>
  <c r="L568" i="1"/>
  <c r="K568" i="1"/>
  <c r="J568" i="1"/>
  <c r="I568" i="1"/>
  <c r="H568" i="1"/>
  <c r="R568" i="1" s="1"/>
  <c r="G568" i="1"/>
  <c r="X567" i="1"/>
  <c r="W567" i="1"/>
  <c r="N567" i="1"/>
  <c r="M567" i="1"/>
  <c r="L567" i="1"/>
  <c r="K567" i="1"/>
  <c r="J567" i="1"/>
  <c r="I567" i="1"/>
  <c r="H567" i="1"/>
  <c r="G567" i="1"/>
  <c r="X566" i="1"/>
  <c r="W566" i="1"/>
  <c r="N566" i="1"/>
  <c r="M566" i="1"/>
  <c r="L566" i="1"/>
  <c r="K566" i="1"/>
  <c r="J566" i="1"/>
  <c r="I566" i="1"/>
  <c r="H566" i="1"/>
  <c r="R566" i="1" s="1"/>
  <c r="G566" i="1"/>
  <c r="X565" i="1"/>
  <c r="W565" i="1"/>
  <c r="N565" i="1"/>
  <c r="M565" i="1"/>
  <c r="L565" i="1"/>
  <c r="K565" i="1"/>
  <c r="J565" i="1"/>
  <c r="H565" i="1"/>
  <c r="R565" i="1" s="1"/>
  <c r="G565" i="1"/>
  <c r="X564" i="1"/>
  <c r="W564" i="1"/>
  <c r="N564" i="1"/>
  <c r="M564" i="1"/>
  <c r="L564" i="1"/>
  <c r="K564" i="1"/>
  <c r="J564" i="1"/>
  <c r="I564" i="1"/>
  <c r="H564" i="1"/>
  <c r="G564" i="1"/>
  <c r="X563" i="1"/>
  <c r="W563" i="1"/>
  <c r="N563" i="1"/>
  <c r="M563" i="1"/>
  <c r="L563" i="1"/>
  <c r="K563" i="1"/>
  <c r="J563" i="1"/>
  <c r="I563" i="1"/>
  <c r="H563" i="1"/>
  <c r="R563" i="1" s="1"/>
  <c r="G563" i="1"/>
  <c r="X562" i="1"/>
  <c r="W562" i="1"/>
  <c r="N562" i="1"/>
  <c r="M562" i="1"/>
  <c r="L562" i="1"/>
  <c r="K562" i="1"/>
  <c r="J562" i="1"/>
  <c r="I562" i="1"/>
  <c r="H562" i="1"/>
  <c r="R562" i="1" s="1"/>
  <c r="G562" i="1"/>
  <c r="X561" i="1"/>
  <c r="W561" i="1"/>
  <c r="N561" i="1"/>
  <c r="M561" i="1"/>
  <c r="L561" i="1"/>
  <c r="K561" i="1"/>
  <c r="J561" i="1"/>
  <c r="I561" i="1"/>
  <c r="H561" i="1"/>
  <c r="O561" i="1" s="1"/>
  <c r="G561" i="1"/>
  <c r="X560" i="1"/>
  <c r="W560" i="1"/>
  <c r="N560" i="1"/>
  <c r="M560" i="1"/>
  <c r="L560" i="1"/>
  <c r="K560" i="1"/>
  <c r="J560" i="1"/>
  <c r="I560" i="1"/>
  <c r="H560" i="1"/>
  <c r="G560" i="1"/>
  <c r="X559" i="1"/>
  <c r="W559" i="1"/>
  <c r="N559" i="1"/>
  <c r="M559" i="1"/>
  <c r="L559" i="1"/>
  <c r="K559" i="1"/>
  <c r="J559" i="1"/>
  <c r="I559" i="1"/>
  <c r="H559" i="1"/>
  <c r="R559" i="1" s="1"/>
  <c r="G559" i="1"/>
  <c r="X558" i="1"/>
  <c r="W558" i="1"/>
  <c r="N558" i="1"/>
  <c r="M558" i="1"/>
  <c r="L558" i="1"/>
  <c r="K558" i="1"/>
  <c r="J558" i="1"/>
  <c r="I558" i="1"/>
  <c r="H558" i="1"/>
  <c r="R558" i="1" s="1"/>
  <c r="G558" i="1"/>
  <c r="X557" i="1"/>
  <c r="W557" i="1"/>
  <c r="N557" i="1"/>
  <c r="M557" i="1"/>
  <c r="L557" i="1"/>
  <c r="K557" i="1"/>
  <c r="J557" i="1"/>
  <c r="I557" i="1"/>
  <c r="H557" i="1"/>
  <c r="R557" i="1" s="1"/>
  <c r="G557" i="1"/>
  <c r="X556" i="1"/>
  <c r="W556" i="1"/>
  <c r="N556" i="1"/>
  <c r="M556" i="1"/>
  <c r="L556" i="1"/>
  <c r="K556" i="1"/>
  <c r="J556" i="1"/>
  <c r="I556" i="1"/>
  <c r="H556" i="1"/>
  <c r="G556" i="1"/>
  <c r="X555" i="1"/>
  <c r="W555" i="1"/>
  <c r="N555" i="1"/>
  <c r="M555" i="1"/>
  <c r="L555" i="1"/>
  <c r="K555" i="1"/>
  <c r="J555" i="1"/>
  <c r="I555" i="1"/>
  <c r="H555" i="1"/>
  <c r="R555" i="1" s="1"/>
  <c r="G555" i="1"/>
  <c r="X554" i="1"/>
  <c r="W554" i="1"/>
  <c r="N554" i="1"/>
  <c r="M554" i="1"/>
  <c r="L554" i="1"/>
  <c r="K554" i="1"/>
  <c r="J554" i="1"/>
  <c r="I554" i="1"/>
  <c r="H554" i="1"/>
  <c r="R554" i="1" s="1"/>
  <c r="G554" i="1"/>
  <c r="X553" i="1"/>
  <c r="W553" i="1"/>
  <c r="N553" i="1"/>
  <c r="M553" i="1"/>
  <c r="L553" i="1"/>
  <c r="K553" i="1"/>
  <c r="J553" i="1"/>
  <c r="H553" i="1"/>
  <c r="O553" i="1" s="1"/>
  <c r="P553" i="1" s="1"/>
  <c r="X552" i="1"/>
  <c r="W552" i="1"/>
  <c r="N552" i="1"/>
  <c r="M552" i="1"/>
  <c r="L552" i="1"/>
  <c r="K552" i="1"/>
  <c r="J552" i="1"/>
  <c r="H552" i="1"/>
  <c r="R552" i="1" s="1"/>
  <c r="X551" i="1"/>
  <c r="W551" i="1"/>
  <c r="N551" i="1"/>
  <c r="M551" i="1"/>
  <c r="L551" i="1"/>
  <c r="K551" i="1"/>
  <c r="J551" i="1"/>
  <c r="H551" i="1"/>
  <c r="O551" i="1" s="1"/>
  <c r="P551" i="1" s="1"/>
  <c r="X550" i="1"/>
  <c r="W550" i="1"/>
  <c r="N550" i="1"/>
  <c r="M550" i="1"/>
  <c r="L550" i="1"/>
  <c r="K550" i="1"/>
  <c r="J550" i="1"/>
  <c r="H550" i="1"/>
  <c r="X549" i="1"/>
  <c r="W549" i="1"/>
  <c r="N549" i="1"/>
  <c r="M549" i="1"/>
  <c r="L549" i="1"/>
  <c r="K549" i="1"/>
  <c r="J549" i="1"/>
  <c r="H549" i="1"/>
  <c r="O549" i="1" s="1"/>
  <c r="P549" i="1" s="1"/>
  <c r="X548" i="1"/>
  <c r="W548" i="1"/>
  <c r="N548" i="1"/>
  <c r="M548" i="1"/>
  <c r="L548" i="1"/>
  <c r="K548" i="1"/>
  <c r="J548" i="1"/>
  <c r="H548" i="1"/>
  <c r="R548" i="1" s="1"/>
  <c r="X547" i="1"/>
  <c r="W547" i="1"/>
  <c r="N547" i="1"/>
  <c r="M547" i="1"/>
  <c r="L547" i="1"/>
  <c r="K547" i="1"/>
  <c r="J547" i="1"/>
  <c r="H547" i="1"/>
  <c r="O547" i="1" s="1"/>
  <c r="X546" i="1"/>
  <c r="W546" i="1"/>
  <c r="N546" i="1"/>
  <c r="M546" i="1"/>
  <c r="L546" i="1"/>
  <c r="K546" i="1"/>
  <c r="J546" i="1"/>
  <c r="H546" i="1"/>
  <c r="O546" i="1" s="1"/>
  <c r="X545" i="1"/>
  <c r="W545" i="1"/>
  <c r="N545" i="1"/>
  <c r="M545" i="1"/>
  <c r="L545" i="1"/>
  <c r="K545" i="1"/>
  <c r="J545" i="1"/>
  <c r="H545" i="1"/>
  <c r="O545" i="1" s="1"/>
  <c r="X544" i="1"/>
  <c r="W544" i="1"/>
  <c r="N544" i="1"/>
  <c r="M544" i="1"/>
  <c r="L544" i="1"/>
  <c r="K544" i="1"/>
  <c r="J544" i="1"/>
  <c r="I544" i="1"/>
  <c r="H544" i="1"/>
  <c r="R544" i="1" s="1"/>
  <c r="G544" i="1"/>
  <c r="X543" i="1"/>
  <c r="W543" i="1"/>
  <c r="N543" i="1"/>
  <c r="M543" i="1"/>
  <c r="L543" i="1"/>
  <c r="K543" i="1"/>
  <c r="J543" i="1"/>
  <c r="I543" i="1"/>
  <c r="H543" i="1"/>
  <c r="R543" i="1" s="1"/>
  <c r="G543" i="1"/>
  <c r="X542" i="1"/>
  <c r="W542" i="1"/>
  <c r="N542" i="1"/>
  <c r="M542" i="1"/>
  <c r="L542" i="1"/>
  <c r="K542" i="1"/>
  <c r="J542" i="1"/>
  <c r="I542" i="1"/>
  <c r="H542" i="1"/>
  <c r="G542" i="1"/>
  <c r="X541" i="1"/>
  <c r="W541" i="1"/>
  <c r="N541" i="1"/>
  <c r="M541" i="1"/>
  <c r="L541" i="1"/>
  <c r="K541" i="1"/>
  <c r="J541" i="1"/>
  <c r="I541" i="1"/>
  <c r="H541" i="1"/>
  <c r="R541" i="1" s="1"/>
  <c r="G541" i="1"/>
  <c r="X540" i="1"/>
  <c r="W540" i="1"/>
  <c r="N540" i="1"/>
  <c r="M540" i="1"/>
  <c r="L540" i="1"/>
  <c r="K540" i="1"/>
  <c r="J540" i="1"/>
  <c r="I540" i="1"/>
  <c r="H540" i="1"/>
  <c r="R540" i="1" s="1"/>
  <c r="G540" i="1"/>
  <c r="X539" i="1"/>
  <c r="W539" i="1"/>
  <c r="N539" i="1"/>
  <c r="M539" i="1"/>
  <c r="L539" i="1"/>
  <c r="K539" i="1"/>
  <c r="J539" i="1"/>
  <c r="I539" i="1"/>
  <c r="H539" i="1"/>
  <c r="R539" i="1" s="1"/>
  <c r="G539" i="1"/>
  <c r="X538" i="1"/>
  <c r="W538" i="1"/>
  <c r="N538" i="1"/>
  <c r="M538" i="1"/>
  <c r="L538" i="1"/>
  <c r="K538" i="1"/>
  <c r="J538" i="1"/>
  <c r="I538" i="1"/>
  <c r="H538" i="1"/>
  <c r="G538" i="1"/>
  <c r="X537" i="1"/>
  <c r="W537" i="1"/>
  <c r="N537" i="1"/>
  <c r="M537" i="1"/>
  <c r="L537" i="1"/>
  <c r="K537" i="1"/>
  <c r="J537" i="1"/>
  <c r="I537" i="1"/>
  <c r="H537" i="1"/>
  <c r="R537" i="1" s="1"/>
  <c r="G537" i="1"/>
  <c r="X536" i="1"/>
  <c r="W536" i="1"/>
  <c r="N536" i="1"/>
  <c r="M536" i="1"/>
  <c r="L536" i="1"/>
  <c r="K536" i="1"/>
  <c r="J536" i="1"/>
  <c r="I536" i="1"/>
  <c r="H536" i="1"/>
  <c r="R536" i="1" s="1"/>
  <c r="G536" i="1"/>
  <c r="X535" i="1"/>
  <c r="W535" i="1"/>
  <c r="N535" i="1"/>
  <c r="M535" i="1"/>
  <c r="L535" i="1"/>
  <c r="K535" i="1"/>
  <c r="J535" i="1"/>
  <c r="I535" i="1"/>
  <c r="H535" i="1"/>
  <c r="R535" i="1" s="1"/>
  <c r="G535" i="1"/>
  <c r="X534" i="1"/>
  <c r="W534" i="1"/>
  <c r="N534" i="1"/>
  <c r="M534" i="1"/>
  <c r="L534" i="1"/>
  <c r="K534" i="1"/>
  <c r="J534" i="1"/>
  <c r="I534" i="1"/>
  <c r="H534" i="1"/>
  <c r="G534" i="1"/>
  <c r="X533" i="1"/>
  <c r="W533" i="1"/>
  <c r="N533" i="1"/>
  <c r="M533" i="1"/>
  <c r="L533" i="1"/>
  <c r="K533" i="1"/>
  <c r="J533" i="1"/>
  <c r="I533" i="1"/>
  <c r="H533" i="1"/>
  <c r="R533" i="1" s="1"/>
  <c r="G533" i="1"/>
  <c r="X532" i="1"/>
  <c r="W532" i="1"/>
  <c r="N532" i="1"/>
  <c r="M532" i="1"/>
  <c r="L532" i="1"/>
  <c r="K532" i="1"/>
  <c r="J532" i="1"/>
  <c r="I532" i="1"/>
  <c r="H532" i="1"/>
  <c r="R532" i="1" s="1"/>
  <c r="G532" i="1"/>
  <c r="X531" i="1"/>
  <c r="W531" i="1"/>
  <c r="N531" i="1"/>
  <c r="M531" i="1"/>
  <c r="L531" i="1"/>
  <c r="K531" i="1"/>
  <c r="J531" i="1"/>
  <c r="I531" i="1"/>
  <c r="H531" i="1"/>
  <c r="R531" i="1" s="1"/>
  <c r="G531" i="1"/>
  <c r="X530" i="1"/>
  <c r="W530" i="1"/>
  <c r="N530" i="1"/>
  <c r="M530" i="1"/>
  <c r="L530" i="1"/>
  <c r="K530" i="1"/>
  <c r="J530" i="1"/>
  <c r="I530" i="1"/>
  <c r="H530" i="1"/>
  <c r="G530" i="1"/>
  <c r="X529" i="1"/>
  <c r="W529" i="1"/>
  <c r="N529" i="1"/>
  <c r="M529" i="1"/>
  <c r="L529" i="1"/>
  <c r="K529" i="1"/>
  <c r="J529" i="1"/>
  <c r="H529" i="1"/>
  <c r="O529" i="1" s="1"/>
  <c r="X528" i="1"/>
  <c r="W528" i="1"/>
  <c r="N528" i="1"/>
  <c r="M528" i="1"/>
  <c r="L528" i="1"/>
  <c r="K528" i="1"/>
  <c r="J528" i="1"/>
  <c r="H528" i="1"/>
  <c r="X527" i="1"/>
  <c r="W527" i="1"/>
  <c r="N527" i="1"/>
  <c r="M527" i="1"/>
  <c r="L527" i="1"/>
  <c r="K527" i="1"/>
  <c r="J527" i="1"/>
  <c r="H527" i="1"/>
  <c r="X526" i="1"/>
  <c r="W526" i="1"/>
  <c r="N526" i="1"/>
  <c r="M526" i="1"/>
  <c r="L526" i="1"/>
  <c r="K526" i="1"/>
  <c r="J526" i="1"/>
  <c r="H526" i="1"/>
  <c r="R526" i="1" s="1"/>
  <c r="X525" i="1"/>
  <c r="W525" i="1"/>
  <c r="N525" i="1"/>
  <c r="M525" i="1"/>
  <c r="L525" i="1"/>
  <c r="K525" i="1"/>
  <c r="J525" i="1"/>
  <c r="H525" i="1"/>
  <c r="O525" i="1" s="1"/>
  <c r="X524" i="1"/>
  <c r="W524" i="1"/>
  <c r="N524" i="1"/>
  <c r="M524" i="1"/>
  <c r="L524" i="1"/>
  <c r="K524" i="1"/>
  <c r="J524" i="1"/>
  <c r="H524" i="1"/>
  <c r="X523" i="1"/>
  <c r="W523" i="1"/>
  <c r="N523" i="1"/>
  <c r="M523" i="1"/>
  <c r="L523" i="1"/>
  <c r="K523" i="1"/>
  <c r="J523" i="1"/>
  <c r="H523" i="1"/>
  <c r="X522" i="1"/>
  <c r="W522" i="1"/>
  <c r="N522" i="1"/>
  <c r="M522" i="1"/>
  <c r="L522" i="1"/>
  <c r="K522" i="1"/>
  <c r="J522" i="1"/>
  <c r="H522" i="1"/>
  <c r="R522" i="1" s="1"/>
  <c r="X521" i="1"/>
  <c r="W521" i="1"/>
  <c r="N521" i="1"/>
  <c r="M521" i="1"/>
  <c r="L521" i="1"/>
  <c r="K521" i="1"/>
  <c r="J521" i="1"/>
  <c r="H521" i="1"/>
  <c r="O521" i="1" s="1"/>
  <c r="X520" i="1"/>
  <c r="W520" i="1"/>
  <c r="N520" i="1"/>
  <c r="M520" i="1"/>
  <c r="L520" i="1"/>
  <c r="K520" i="1"/>
  <c r="J520" i="1"/>
  <c r="H520" i="1"/>
  <c r="X519" i="1"/>
  <c r="W519" i="1"/>
  <c r="N519" i="1"/>
  <c r="M519" i="1"/>
  <c r="L519" i="1"/>
  <c r="K519" i="1"/>
  <c r="J519" i="1"/>
  <c r="H519" i="1"/>
  <c r="O519" i="1" s="1"/>
  <c r="X518" i="1"/>
  <c r="W518" i="1"/>
  <c r="N518" i="1"/>
  <c r="M518" i="1"/>
  <c r="L518" i="1"/>
  <c r="K518" i="1"/>
  <c r="J518" i="1"/>
  <c r="I518" i="1"/>
  <c r="H518" i="1"/>
  <c r="R518" i="1" s="1"/>
  <c r="G518" i="1"/>
  <c r="X517" i="1"/>
  <c r="W517" i="1"/>
  <c r="N517" i="1"/>
  <c r="M517" i="1"/>
  <c r="L517" i="1"/>
  <c r="K517" i="1"/>
  <c r="J517" i="1"/>
  <c r="I517" i="1"/>
  <c r="H517" i="1"/>
  <c r="R517" i="1" s="1"/>
  <c r="G517" i="1"/>
  <c r="X516" i="1"/>
  <c r="W516" i="1"/>
  <c r="N516" i="1"/>
  <c r="M516" i="1"/>
  <c r="L516" i="1"/>
  <c r="K516" i="1"/>
  <c r="J516" i="1"/>
  <c r="I516" i="1"/>
  <c r="H516" i="1"/>
  <c r="R516" i="1" s="1"/>
  <c r="G516" i="1"/>
  <c r="X515" i="1"/>
  <c r="W515" i="1"/>
  <c r="N515" i="1"/>
  <c r="M515" i="1"/>
  <c r="L515" i="1"/>
  <c r="K515" i="1"/>
  <c r="J515" i="1"/>
  <c r="I515" i="1"/>
  <c r="H515" i="1"/>
  <c r="G515" i="1"/>
  <c r="X514" i="1"/>
  <c r="W514" i="1"/>
  <c r="N514" i="1"/>
  <c r="M514" i="1"/>
  <c r="L514" i="1"/>
  <c r="K514" i="1"/>
  <c r="J514" i="1"/>
  <c r="I514" i="1"/>
  <c r="H514" i="1"/>
  <c r="R514" i="1" s="1"/>
  <c r="G514" i="1"/>
  <c r="X513" i="1"/>
  <c r="W513" i="1"/>
  <c r="N513" i="1"/>
  <c r="M513" i="1"/>
  <c r="L513" i="1"/>
  <c r="K513" i="1"/>
  <c r="J513" i="1"/>
  <c r="H513" i="1"/>
  <c r="O513" i="1" s="1"/>
  <c r="R513" i="1" s="1"/>
  <c r="X512" i="1"/>
  <c r="W512" i="1"/>
  <c r="N512" i="1"/>
  <c r="M512" i="1"/>
  <c r="L512" i="1"/>
  <c r="K512" i="1"/>
  <c r="J512" i="1"/>
  <c r="H512" i="1"/>
  <c r="R512" i="1" s="1"/>
  <c r="X511" i="1"/>
  <c r="W511" i="1"/>
  <c r="N511" i="1"/>
  <c r="M511" i="1"/>
  <c r="L511" i="1"/>
  <c r="K511" i="1"/>
  <c r="J511" i="1"/>
  <c r="H511" i="1"/>
  <c r="O511" i="1" s="1"/>
  <c r="X510" i="1"/>
  <c r="W510" i="1"/>
  <c r="N510" i="1"/>
  <c r="M510" i="1"/>
  <c r="L510" i="1"/>
  <c r="K510" i="1"/>
  <c r="J510" i="1"/>
  <c r="H510" i="1"/>
  <c r="O510" i="1" s="1"/>
  <c r="R510" i="1" s="1"/>
  <c r="X509" i="1"/>
  <c r="W509" i="1"/>
  <c r="N509" i="1"/>
  <c r="M509" i="1"/>
  <c r="L509" i="1"/>
  <c r="K509" i="1"/>
  <c r="J509" i="1"/>
  <c r="H509" i="1"/>
  <c r="O509" i="1" s="1"/>
  <c r="R509" i="1" s="1"/>
  <c r="X508" i="1"/>
  <c r="W508" i="1"/>
  <c r="N508" i="1"/>
  <c r="M508" i="1"/>
  <c r="L508" i="1"/>
  <c r="K508" i="1"/>
  <c r="J508" i="1"/>
  <c r="H508" i="1"/>
  <c r="O508" i="1" s="1"/>
  <c r="R508" i="1" s="1"/>
  <c r="X507" i="1"/>
  <c r="W507" i="1"/>
  <c r="N507" i="1"/>
  <c r="M507" i="1"/>
  <c r="L507" i="1"/>
  <c r="K507" i="1"/>
  <c r="J507" i="1"/>
  <c r="I507" i="1"/>
  <c r="H507" i="1"/>
  <c r="O507" i="1" s="1"/>
  <c r="P507" i="1" s="1"/>
  <c r="G507" i="1"/>
  <c r="X506" i="1"/>
  <c r="W506" i="1"/>
  <c r="N506" i="1"/>
  <c r="M506" i="1"/>
  <c r="L506" i="1"/>
  <c r="K506" i="1"/>
  <c r="J506" i="1"/>
  <c r="I506" i="1"/>
  <c r="H506" i="1"/>
  <c r="O506" i="1" s="1"/>
  <c r="P506" i="1" s="1"/>
  <c r="G506" i="1"/>
  <c r="X505" i="1"/>
  <c r="W505" i="1"/>
  <c r="N505" i="1"/>
  <c r="M505" i="1"/>
  <c r="L505" i="1"/>
  <c r="K505" i="1"/>
  <c r="J505" i="1"/>
  <c r="I505" i="1"/>
  <c r="H505" i="1"/>
  <c r="O505" i="1" s="1"/>
  <c r="G505" i="1"/>
  <c r="X504" i="1"/>
  <c r="W504" i="1"/>
  <c r="N504" i="1"/>
  <c r="M504" i="1"/>
  <c r="L504" i="1"/>
  <c r="K504" i="1"/>
  <c r="J504" i="1"/>
  <c r="I504" i="1"/>
  <c r="H504" i="1"/>
  <c r="O504" i="1" s="1"/>
  <c r="P504" i="1" s="1"/>
  <c r="G504" i="1"/>
  <c r="X503" i="1"/>
  <c r="W503" i="1"/>
  <c r="N503" i="1"/>
  <c r="M503" i="1"/>
  <c r="L503" i="1"/>
  <c r="K503" i="1"/>
  <c r="J503" i="1"/>
  <c r="I503" i="1"/>
  <c r="H503" i="1"/>
  <c r="O503" i="1" s="1"/>
  <c r="P503" i="1" s="1"/>
  <c r="G503" i="1"/>
  <c r="X502" i="1"/>
  <c r="W502" i="1"/>
  <c r="N502" i="1"/>
  <c r="M502" i="1"/>
  <c r="L502" i="1"/>
  <c r="K502" i="1"/>
  <c r="J502" i="1"/>
  <c r="H502" i="1"/>
  <c r="G502" i="1"/>
  <c r="X501" i="1"/>
  <c r="W501" i="1"/>
  <c r="N501" i="1"/>
  <c r="M501" i="1"/>
  <c r="L501" i="1"/>
  <c r="K501" i="1"/>
  <c r="J501" i="1"/>
  <c r="H501" i="1"/>
  <c r="O501" i="1" s="1"/>
  <c r="P501" i="1" s="1"/>
  <c r="G501" i="1"/>
  <c r="X500" i="1"/>
  <c r="W500" i="1"/>
  <c r="N500" i="1"/>
  <c r="M500" i="1"/>
  <c r="L500" i="1"/>
  <c r="K500" i="1"/>
  <c r="J500" i="1"/>
  <c r="H500" i="1"/>
  <c r="O500" i="1" s="1"/>
  <c r="P500" i="1" s="1"/>
  <c r="G500" i="1"/>
  <c r="X499" i="1"/>
  <c r="W499" i="1"/>
  <c r="N499" i="1"/>
  <c r="M499" i="1"/>
  <c r="L499" i="1"/>
  <c r="K499" i="1"/>
  <c r="J499" i="1"/>
  <c r="I499" i="1"/>
  <c r="H499" i="1"/>
  <c r="O499" i="1" s="1"/>
  <c r="G499" i="1"/>
  <c r="X498" i="1"/>
  <c r="W498" i="1"/>
  <c r="N498" i="1"/>
  <c r="M498" i="1"/>
  <c r="L498" i="1"/>
  <c r="K498" i="1"/>
  <c r="J498" i="1"/>
  <c r="I498" i="1"/>
  <c r="H498" i="1"/>
  <c r="G498" i="1"/>
  <c r="X497" i="1"/>
  <c r="W497" i="1"/>
  <c r="N497" i="1"/>
  <c r="M497" i="1"/>
  <c r="L497" i="1"/>
  <c r="K497" i="1"/>
  <c r="J497" i="1"/>
  <c r="I497" i="1"/>
  <c r="H497" i="1"/>
  <c r="O497" i="1" s="1"/>
  <c r="G497" i="1"/>
  <c r="X496" i="1"/>
  <c r="W496" i="1"/>
  <c r="N496" i="1"/>
  <c r="M496" i="1"/>
  <c r="L496" i="1"/>
  <c r="K496" i="1"/>
  <c r="J496" i="1"/>
  <c r="I496" i="1"/>
  <c r="H496" i="1"/>
  <c r="O496" i="1" s="1"/>
  <c r="P496" i="1" s="1"/>
  <c r="G496" i="1"/>
  <c r="X495" i="1"/>
  <c r="W495" i="1"/>
  <c r="N495" i="1"/>
  <c r="M495" i="1"/>
  <c r="L495" i="1"/>
  <c r="K495" i="1"/>
  <c r="J495" i="1"/>
  <c r="H495" i="1"/>
  <c r="O495" i="1" s="1"/>
  <c r="R495" i="1" s="1"/>
  <c r="X494" i="1"/>
  <c r="W494" i="1"/>
  <c r="N494" i="1"/>
  <c r="M494" i="1"/>
  <c r="L494" i="1"/>
  <c r="K494" i="1"/>
  <c r="J494" i="1"/>
  <c r="H494" i="1"/>
  <c r="O494" i="1" s="1"/>
  <c r="X493" i="1"/>
  <c r="W493" i="1"/>
  <c r="N493" i="1"/>
  <c r="M493" i="1"/>
  <c r="L493" i="1"/>
  <c r="K493" i="1"/>
  <c r="J493" i="1"/>
  <c r="H493" i="1"/>
  <c r="O493" i="1" s="1"/>
  <c r="X492" i="1"/>
  <c r="W492" i="1"/>
  <c r="N492" i="1"/>
  <c r="M492" i="1"/>
  <c r="L492" i="1"/>
  <c r="K492" i="1"/>
  <c r="J492" i="1"/>
  <c r="H492" i="1"/>
  <c r="O492" i="1" s="1"/>
  <c r="R492" i="1" s="1"/>
  <c r="X491" i="1"/>
  <c r="W491" i="1"/>
  <c r="N491" i="1"/>
  <c r="M491" i="1"/>
  <c r="L491" i="1"/>
  <c r="K491" i="1"/>
  <c r="J491" i="1"/>
  <c r="H491" i="1"/>
  <c r="O491" i="1" s="1"/>
  <c r="R491" i="1" s="1"/>
  <c r="X490" i="1"/>
  <c r="W490" i="1"/>
  <c r="N490" i="1"/>
  <c r="M490" i="1"/>
  <c r="L490" i="1"/>
  <c r="K490" i="1"/>
  <c r="J490" i="1"/>
  <c r="H490" i="1"/>
  <c r="O490" i="1" s="1"/>
  <c r="R490" i="1" s="1"/>
  <c r="X489" i="1"/>
  <c r="W489" i="1"/>
  <c r="N489" i="1"/>
  <c r="M489" i="1"/>
  <c r="L489" i="1"/>
  <c r="K489" i="1"/>
  <c r="J489" i="1"/>
  <c r="H489" i="1"/>
  <c r="O489" i="1" s="1"/>
  <c r="X488" i="1"/>
  <c r="W488" i="1"/>
  <c r="N488" i="1"/>
  <c r="M488" i="1"/>
  <c r="L488" i="1"/>
  <c r="K488" i="1"/>
  <c r="J488" i="1"/>
  <c r="H488" i="1"/>
  <c r="O488" i="1" s="1"/>
  <c r="R488" i="1" s="1"/>
  <c r="X487" i="1"/>
  <c r="W487" i="1"/>
  <c r="N487" i="1"/>
  <c r="M487" i="1"/>
  <c r="L487" i="1"/>
  <c r="K487" i="1"/>
  <c r="J487" i="1"/>
  <c r="H487" i="1"/>
  <c r="O487" i="1" s="1"/>
  <c r="R487" i="1" s="1"/>
  <c r="X486" i="1"/>
  <c r="W486" i="1"/>
  <c r="N486" i="1"/>
  <c r="M486" i="1"/>
  <c r="L486" i="1"/>
  <c r="K486" i="1"/>
  <c r="J486" i="1"/>
  <c r="H486" i="1"/>
  <c r="O486" i="1" s="1"/>
  <c r="R486" i="1" s="1"/>
  <c r="X485" i="1"/>
  <c r="W485" i="1"/>
  <c r="N485" i="1"/>
  <c r="M485" i="1"/>
  <c r="L485" i="1"/>
  <c r="K485" i="1"/>
  <c r="J485" i="1"/>
  <c r="H485" i="1"/>
  <c r="O485" i="1" s="1"/>
  <c r="R485" i="1" s="1"/>
  <c r="X484" i="1"/>
  <c r="W484" i="1"/>
  <c r="N484" i="1"/>
  <c r="M484" i="1"/>
  <c r="L484" i="1"/>
  <c r="K484" i="1"/>
  <c r="J484" i="1"/>
  <c r="H484" i="1"/>
  <c r="O484" i="1" s="1"/>
  <c r="R484" i="1" s="1"/>
  <c r="X483" i="1"/>
  <c r="W483" i="1"/>
  <c r="N483" i="1"/>
  <c r="M483" i="1"/>
  <c r="L483" i="1"/>
  <c r="K483" i="1"/>
  <c r="J483" i="1"/>
  <c r="I483" i="1"/>
  <c r="H483" i="1"/>
  <c r="O483" i="1" s="1"/>
  <c r="P483" i="1" s="1"/>
  <c r="G483" i="1"/>
  <c r="X482" i="1"/>
  <c r="W482" i="1"/>
  <c r="N482" i="1"/>
  <c r="M482" i="1"/>
  <c r="L482" i="1"/>
  <c r="K482" i="1"/>
  <c r="J482" i="1"/>
  <c r="I482" i="1"/>
  <c r="H482" i="1"/>
  <c r="O482" i="1" s="1"/>
  <c r="R482" i="1" s="1"/>
  <c r="G482" i="1"/>
  <c r="X481" i="1"/>
  <c r="W481" i="1"/>
  <c r="N481" i="1"/>
  <c r="M481" i="1"/>
  <c r="L481" i="1"/>
  <c r="K481" i="1"/>
  <c r="J481" i="1"/>
  <c r="I481" i="1"/>
  <c r="H481" i="1"/>
  <c r="O481" i="1" s="1"/>
  <c r="R481" i="1" s="1"/>
  <c r="G481" i="1"/>
  <c r="X480" i="1"/>
  <c r="W480" i="1"/>
  <c r="N480" i="1"/>
  <c r="M480" i="1"/>
  <c r="L480" i="1"/>
  <c r="K480" i="1"/>
  <c r="J480" i="1"/>
  <c r="I480" i="1"/>
  <c r="H480" i="1"/>
  <c r="O480" i="1" s="1"/>
  <c r="R480" i="1" s="1"/>
  <c r="G480" i="1"/>
  <c r="X479" i="1"/>
  <c r="W479" i="1"/>
  <c r="N479" i="1"/>
  <c r="M479" i="1"/>
  <c r="L479" i="1"/>
  <c r="K479" i="1"/>
  <c r="J479" i="1"/>
  <c r="I479" i="1"/>
  <c r="H479" i="1"/>
  <c r="O479" i="1" s="1"/>
  <c r="R479" i="1" s="1"/>
  <c r="G479" i="1"/>
  <c r="X478" i="1"/>
  <c r="W478" i="1"/>
  <c r="N478" i="1"/>
  <c r="M478" i="1"/>
  <c r="L478" i="1"/>
  <c r="K478" i="1"/>
  <c r="J478" i="1"/>
  <c r="I478" i="1"/>
  <c r="H478" i="1"/>
  <c r="O478" i="1" s="1"/>
  <c r="R478" i="1" s="1"/>
  <c r="G478" i="1"/>
  <c r="X477" i="1"/>
  <c r="W477" i="1"/>
  <c r="N477" i="1"/>
  <c r="M477" i="1"/>
  <c r="L477" i="1"/>
  <c r="K477" i="1"/>
  <c r="J477" i="1"/>
  <c r="I477" i="1"/>
  <c r="H477" i="1"/>
  <c r="O477" i="1" s="1"/>
  <c r="P477" i="1" s="1"/>
  <c r="G477" i="1"/>
  <c r="X476" i="1"/>
  <c r="W476" i="1"/>
  <c r="N476" i="1"/>
  <c r="M476" i="1"/>
  <c r="L476" i="1"/>
  <c r="K476" i="1"/>
  <c r="J476" i="1"/>
  <c r="I476" i="1"/>
  <c r="H476" i="1"/>
  <c r="O476" i="1" s="1"/>
  <c r="G476" i="1"/>
  <c r="X475" i="1"/>
  <c r="W475" i="1"/>
  <c r="N475" i="1"/>
  <c r="M475" i="1"/>
  <c r="L475" i="1"/>
  <c r="K475" i="1"/>
  <c r="J475" i="1"/>
  <c r="I475" i="1"/>
  <c r="H475" i="1"/>
  <c r="G475" i="1"/>
  <c r="X474" i="1"/>
  <c r="W474" i="1"/>
  <c r="N474" i="1"/>
  <c r="M474" i="1"/>
  <c r="L474" i="1"/>
  <c r="K474" i="1"/>
  <c r="J474" i="1"/>
  <c r="I474" i="1"/>
  <c r="H474" i="1"/>
  <c r="O474" i="1" s="1"/>
  <c r="P474" i="1" s="1"/>
  <c r="G474" i="1"/>
  <c r="X473" i="1"/>
  <c r="W473" i="1"/>
  <c r="N473" i="1"/>
  <c r="M473" i="1"/>
  <c r="L473" i="1"/>
  <c r="K473" i="1"/>
  <c r="J473" i="1"/>
  <c r="I473" i="1"/>
  <c r="H473" i="1"/>
  <c r="O473" i="1" s="1"/>
  <c r="R473" i="1" s="1"/>
  <c r="G473" i="1"/>
  <c r="X472" i="1"/>
  <c r="W472" i="1"/>
  <c r="N472" i="1"/>
  <c r="M472" i="1"/>
  <c r="L472" i="1"/>
  <c r="K472" i="1"/>
  <c r="J472" i="1"/>
  <c r="I472" i="1"/>
  <c r="H472" i="1"/>
  <c r="O472" i="1" s="1"/>
  <c r="R472" i="1" s="1"/>
  <c r="G472" i="1"/>
  <c r="X471" i="1"/>
  <c r="W471" i="1"/>
  <c r="N471" i="1"/>
  <c r="M471" i="1"/>
  <c r="L471" i="1"/>
  <c r="K471" i="1"/>
  <c r="J471" i="1"/>
  <c r="I471" i="1"/>
  <c r="H471" i="1"/>
  <c r="O471" i="1" s="1"/>
  <c r="R471" i="1" s="1"/>
  <c r="G471" i="1"/>
  <c r="X470" i="1"/>
  <c r="W470" i="1"/>
  <c r="N470" i="1"/>
  <c r="M470" i="1"/>
  <c r="L470" i="1"/>
  <c r="K470" i="1"/>
  <c r="J470" i="1"/>
  <c r="I470" i="1"/>
  <c r="H470" i="1"/>
  <c r="O470" i="1" s="1"/>
  <c r="R470" i="1" s="1"/>
  <c r="G470" i="1"/>
  <c r="X469" i="1"/>
  <c r="W469" i="1"/>
  <c r="N469" i="1"/>
  <c r="M469" i="1"/>
  <c r="L469" i="1"/>
  <c r="K469" i="1"/>
  <c r="J469" i="1"/>
  <c r="I469" i="1"/>
  <c r="H469" i="1"/>
  <c r="O469" i="1" s="1"/>
  <c r="G469" i="1"/>
  <c r="X468" i="1"/>
  <c r="W468" i="1"/>
  <c r="N468" i="1"/>
  <c r="M468" i="1"/>
  <c r="L468" i="1"/>
  <c r="K468" i="1"/>
  <c r="J468" i="1"/>
  <c r="I468" i="1"/>
  <c r="H468" i="1"/>
  <c r="O468" i="1" s="1"/>
  <c r="G468" i="1"/>
  <c r="X467" i="1"/>
  <c r="W467" i="1"/>
  <c r="N467" i="1"/>
  <c r="M467" i="1"/>
  <c r="L467" i="1"/>
  <c r="K467" i="1"/>
  <c r="J467" i="1"/>
  <c r="I467" i="1"/>
  <c r="H467" i="1"/>
  <c r="O467" i="1" s="1"/>
  <c r="R467" i="1" s="1"/>
  <c r="G467" i="1"/>
  <c r="X466" i="1"/>
  <c r="W466" i="1"/>
  <c r="N466" i="1"/>
  <c r="M466" i="1"/>
  <c r="L466" i="1"/>
  <c r="K466" i="1"/>
  <c r="J466" i="1"/>
  <c r="I466" i="1"/>
  <c r="H466" i="1"/>
  <c r="O466" i="1" s="1"/>
  <c r="G466" i="1"/>
  <c r="X465" i="1"/>
  <c r="W465" i="1"/>
  <c r="N465" i="1"/>
  <c r="M465" i="1"/>
  <c r="L465" i="1"/>
  <c r="K465" i="1"/>
  <c r="J465" i="1"/>
  <c r="H465" i="1"/>
  <c r="O465" i="1" s="1"/>
  <c r="R465" i="1" s="1"/>
  <c r="X464" i="1"/>
  <c r="W464" i="1"/>
  <c r="N464" i="1"/>
  <c r="M464" i="1"/>
  <c r="L464" i="1"/>
  <c r="K464" i="1"/>
  <c r="J464" i="1"/>
  <c r="H464" i="1"/>
  <c r="O464" i="1" s="1"/>
  <c r="R464" i="1" s="1"/>
  <c r="X463" i="1"/>
  <c r="W463" i="1"/>
  <c r="N463" i="1"/>
  <c r="M463" i="1"/>
  <c r="L463" i="1"/>
  <c r="K463" i="1"/>
  <c r="J463" i="1"/>
  <c r="H463" i="1"/>
  <c r="O463" i="1" s="1"/>
  <c r="R463" i="1" s="1"/>
  <c r="X462" i="1"/>
  <c r="W462" i="1"/>
  <c r="N462" i="1"/>
  <c r="M462" i="1"/>
  <c r="L462" i="1"/>
  <c r="K462" i="1"/>
  <c r="J462" i="1"/>
  <c r="H462" i="1"/>
  <c r="O462" i="1" s="1"/>
  <c r="R462" i="1" s="1"/>
  <c r="X461" i="1"/>
  <c r="W461" i="1"/>
  <c r="N461" i="1"/>
  <c r="M461" i="1"/>
  <c r="L461" i="1"/>
  <c r="K461" i="1"/>
  <c r="J461" i="1"/>
  <c r="H461" i="1"/>
  <c r="O461" i="1" s="1"/>
  <c r="R461" i="1" s="1"/>
  <c r="X460" i="1"/>
  <c r="W460" i="1"/>
  <c r="N460" i="1"/>
  <c r="M460" i="1"/>
  <c r="L460" i="1"/>
  <c r="K460" i="1"/>
  <c r="J460" i="1"/>
  <c r="I460" i="1"/>
  <c r="H460" i="1"/>
  <c r="O460" i="1" s="1"/>
  <c r="R460" i="1" s="1"/>
  <c r="G460" i="1"/>
  <c r="X459" i="1"/>
  <c r="W459" i="1"/>
  <c r="N459" i="1"/>
  <c r="M459" i="1"/>
  <c r="L459" i="1"/>
  <c r="K459" i="1"/>
  <c r="J459" i="1"/>
  <c r="I459" i="1"/>
  <c r="H459" i="1"/>
  <c r="O459" i="1" s="1"/>
  <c r="R459" i="1" s="1"/>
  <c r="G459" i="1"/>
  <c r="X458" i="1"/>
  <c r="W458" i="1"/>
  <c r="N458" i="1"/>
  <c r="M458" i="1"/>
  <c r="L458" i="1"/>
  <c r="K458" i="1"/>
  <c r="J458" i="1"/>
  <c r="I458" i="1"/>
  <c r="H458" i="1"/>
  <c r="O458" i="1" s="1"/>
  <c r="R458" i="1" s="1"/>
  <c r="G458" i="1"/>
  <c r="X457" i="1"/>
  <c r="W457" i="1"/>
  <c r="N457" i="1"/>
  <c r="M457" i="1"/>
  <c r="L457" i="1"/>
  <c r="K457" i="1"/>
  <c r="J457" i="1"/>
  <c r="I457" i="1"/>
  <c r="H457" i="1"/>
  <c r="O457" i="1" s="1"/>
  <c r="R457" i="1" s="1"/>
  <c r="G457" i="1"/>
  <c r="X456" i="1"/>
  <c r="W456" i="1"/>
  <c r="N456" i="1"/>
  <c r="M456" i="1"/>
  <c r="L456" i="1"/>
  <c r="K456" i="1"/>
  <c r="J456" i="1"/>
  <c r="I456" i="1"/>
  <c r="H456" i="1"/>
  <c r="O456" i="1" s="1"/>
  <c r="G456" i="1"/>
  <c r="X455" i="1"/>
  <c r="W455" i="1"/>
  <c r="N455" i="1"/>
  <c r="M455" i="1"/>
  <c r="L455" i="1"/>
  <c r="K455" i="1"/>
  <c r="J455" i="1"/>
  <c r="I455" i="1"/>
  <c r="H455" i="1"/>
  <c r="O455" i="1" s="1"/>
  <c r="R455" i="1" s="1"/>
  <c r="G455" i="1"/>
  <c r="X454" i="1"/>
  <c r="W454" i="1"/>
  <c r="N454" i="1"/>
  <c r="M454" i="1"/>
  <c r="L454" i="1"/>
  <c r="K454" i="1"/>
  <c r="J454" i="1"/>
  <c r="I454" i="1"/>
  <c r="H454" i="1"/>
  <c r="O454" i="1" s="1"/>
  <c r="R454" i="1" s="1"/>
  <c r="G454" i="1"/>
  <c r="X453" i="1"/>
  <c r="W453" i="1"/>
  <c r="N453" i="1"/>
  <c r="M453" i="1"/>
  <c r="L453" i="1"/>
  <c r="K453" i="1"/>
  <c r="J453" i="1"/>
  <c r="I453" i="1"/>
  <c r="H453" i="1"/>
  <c r="O453" i="1" s="1"/>
  <c r="R453" i="1" s="1"/>
  <c r="G453" i="1"/>
  <c r="X452" i="1"/>
  <c r="W452" i="1"/>
  <c r="N452" i="1"/>
  <c r="M452" i="1"/>
  <c r="L452" i="1"/>
  <c r="K452" i="1"/>
  <c r="J452" i="1"/>
  <c r="I452" i="1"/>
  <c r="H452" i="1"/>
  <c r="O452" i="1" s="1"/>
  <c r="G452" i="1"/>
  <c r="X451" i="1"/>
  <c r="W451" i="1"/>
  <c r="N451" i="1"/>
  <c r="M451" i="1"/>
  <c r="L451" i="1"/>
  <c r="K451" i="1"/>
  <c r="J451" i="1"/>
  <c r="I451" i="1"/>
  <c r="H451" i="1"/>
  <c r="O451" i="1" s="1"/>
  <c r="R451" i="1" s="1"/>
  <c r="G451" i="1"/>
  <c r="X450" i="1"/>
  <c r="W450" i="1"/>
  <c r="N450" i="1"/>
  <c r="M450" i="1"/>
  <c r="L450" i="1"/>
  <c r="K450" i="1"/>
  <c r="J450" i="1"/>
  <c r="I450" i="1"/>
  <c r="H450" i="1"/>
  <c r="O450" i="1" s="1"/>
  <c r="G450" i="1"/>
  <c r="X449" i="1"/>
  <c r="W449" i="1"/>
  <c r="N449" i="1"/>
  <c r="M449" i="1"/>
  <c r="L449" i="1"/>
  <c r="K449" i="1"/>
  <c r="J449" i="1"/>
  <c r="I449" i="1"/>
  <c r="H449" i="1"/>
  <c r="O449" i="1" s="1"/>
  <c r="G449" i="1"/>
  <c r="X448" i="1"/>
  <c r="W448" i="1"/>
  <c r="N448" i="1"/>
  <c r="M448" i="1"/>
  <c r="L448" i="1"/>
  <c r="K448" i="1"/>
  <c r="J448" i="1"/>
  <c r="I448" i="1"/>
  <c r="H448" i="1"/>
  <c r="O448" i="1" s="1"/>
  <c r="R448" i="1" s="1"/>
  <c r="G448" i="1"/>
  <c r="X447" i="1"/>
  <c r="W447" i="1"/>
  <c r="N447" i="1"/>
  <c r="M447" i="1"/>
  <c r="L447" i="1"/>
  <c r="K447" i="1"/>
  <c r="J447" i="1"/>
  <c r="I447" i="1"/>
  <c r="H447" i="1"/>
  <c r="O447" i="1" s="1"/>
  <c r="R447" i="1" s="1"/>
  <c r="G447" i="1"/>
  <c r="X446" i="1"/>
  <c r="W446" i="1"/>
  <c r="N446" i="1"/>
  <c r="M446" i="1"/>
  <c r="L446" i="1"/>
  <c r="K446" i="1"/>
  <c r="J446" i="1"/>
  <c r="I446" i="1"/>
  <c r="H446" i="1"/>
  <c r="O446" i="1" s="1"/>
  <c r="R446" i="1" s="1"/>
  <c r="G446" i="1"/>
  <c r="X445" i="1"/>
  <c r="W445" i="1"/>
  <c r="N445" i="1"/>
  <c r="M445" i="1"/>
  <c r="L445" i="1"/>
  <c r="K445" i="1"/>
  <c r="J445" i="1"/>
  <c r="H445" i="1"/>
  <c r="O445" i="1" s="1"/>
  <c r="R445" i="1" s="1"/>
  <c r="X444" i="1"/>
  <c r="W444" i="1"/>
  <c r="N444" i="1"/>
  <c r="M444" i="1"/>
  <c r="L444" i="1"/>
  <c r="K444" i="1"/>
  <c r="J444" i="1"/>
  <c r="I444" i="1"/>
  <c r="H444" i="1"/>
  <c r="O444" i="1" s="1"/>
  <c r="G444" i="1"/>
  <c r="X443" i="1"/>
  <c r="W443" i="1"/>
  <c r="N443" i="1"/>
  <c r="M443" i="1"/>
  <c r="L443" i="1"/>
  <c r="K443" i="1"/>
  <c r="J443" i="1"/>
  <c r="I443" i="1"/>
  <c r="H443" i="1"/>
  <c r="O443" i="1" s="1"/>
  <c r="R443" i="1" s="1"/>
  <c r="G443" i="1"/>
  <c r="X442" i="1"/>
  <c r="W442" i="1"/>
  <c r="N442" i="1"/>
  <c r="M442" i="1"/>
  <c r="L442" i="1"/>
  <c r="K442" i="1"/>
  <c r="J442" i="1"/>
  <c r="I442" i="1"/>
  <c r="H442" i="1"/>
  <c r="O442" i="1" s="1"/>
  <c r="R442" i="1" s="1"/>
  <c r="G442" i="1"/>
  <c r="X441" i="1"/>
  <c r="W441" i="1"/>
  <c r="N441" i="1"/>
  <c r="M441" i="1"/>
  <c r="L441" i="1"/>
  <c r="K441" i="1"/>
  <c r="J441" i="1"/>
  <c r="I441" i="1"/>
  <c r="H441" i="1"/>
  <c r="O441" i="1" s="1"/>
  <c r="G441" i="1"/>
  <c r="X440" i="1"/>
  <c r="W440" i="1"/>
  <c r="N440" i="1"/>
  <c r="M440" i="1"/>
  <c r="L440" i="1"/>
  <c r="K440" i="1"/>
  <c r="J440" i="1"/>
  <c r="I440" i="1"/>
  <c r="H440" i="1"/>
  <c r="O440" i="1" s="1"/>
  <c r="R440" i="1" s="1"/>
  <c r="G440" i="1"/>
  <c r="X439" i="1"/>
  <c r="W439" i="1"/>
  <c r="N439" i="1"/>
  <c r="M439" i="1"/>
  <c r="L439" i="1"/>
  <c r="K439" i="1"/>
  <c r="J439" i="1"/>
  <c r="I439" i="1"/>
  <c r="H439" i="1"/>
  <c r="O439" i="1" s="1"/>
  <c r="R439" i="1" s="1"/>
  <c r="G439" i="1"/>
  <c r="X438" i="1"/>
  <c r="W438" i="1"/>
  <c r="N438" i="1"/>
  <c r="M438" i="1"/>
  <c r="L438" i="1"/>
  <c r="K438" i="1"/>
  <c r="J438" i="1"/>
  <c r="I438" i="1"/>
  <c r="H438" i="1"/>
  <c r="O438" i="1" s="1"/>
  <c r="R438" i="1" s="1"/>
  <c r="G438" i="1"/>
  <c r="X437" i="1"/>
  <c r="W437" i="1"/>
  <c r="N437" i="1"/>
  <c r="M437" i="1"/>
  <c r="L437" i="1"/>
  <c r="K437" i="1"/>
  <c r="J437" i="1"/>
  <c r="I437" i="1"/>
  <c r="H437" i="1"/>
  <c r="O437" i="1" s="1"/>
  <c r="G437" i="1"/>
  <c r="X436" i="1"/>
  <c r="W436" i="1"/>
  <c r="N436" i="1"/>
  <c r="M436" i="1"/>
  <c r="L436" i="1"/>
  <c r="K436" i="1"/>
  <c r="J436" i="1"/>
  <c r="I436" i="1"/>
  <c r="H436" i="1"/>
  <c r="O436" i="1" s="1"/>
  <c r="R436" i="1" s="1"/>
  <c r="G436" i="1"/>
  <c r="X435" i="1"/>
  <c r="W435" i="1"/>
  <c r="N435" i="1"/>
  <c r="M435" i="1"/>
  <c r="L435" i="1"/>
  <c r="K435" i="1"/>
  <c r="J435" i="1"/>
  <c r="I435" i="1"/>
  <c r="H435" i="1"/>
  <c r="O435" i="1" s="1"/>
  <c r="R435" i="1" s="1"/>
  <c r="G435" i="1"/>
  <c r="X434" i="1"/>
  <c r="W434" i="1"/>
  <c r="N434" i="1"/>
  <c r="M434" i="1"/>
  <c r="L434" i="1"/>
  <c r="K434" i="1"/>
  <c r="J434" i="1"/>
  <c r="I434" i="1"/>
  <c r="H434" i="1"/>
  <c r="O434" i="1" s="1"/>
  <c r="G434" i="1"/>
  <c r="X433" i="1"/>
  <c r="W433" i="1"/>
  <c r="N433" i="1"/>
  <c r="M433" i="1"/>
  <c r="L433" i="1"/>
  <c r="K433" i="1"/>
  <c r="J433" i="1"/>
  <c r="I433" i="1"/>
  <c r="H433" i="1"/>
  <c r="O433" i="1" s="1"/>
  <c r="R433" i="1" s="1"/>
  <c r="G433" i="1"/>
  <c r="X432" i="1"/>
  <c r="W432" i="1"/>
  <c r="N432" i="1"/>
  <c r="M432" i="1"/>
  <c r="L432" i="1"/>
  <c r="K432" i="1"/>
  <c r="J432" i="1"/>
  <c r="I432" i="1"/>
  <c r="H432" i="1"/>
  <c r="O432" i="1" s="1"/>
  <c r="R432" i="1" s="1"/>
  <c r="G432" i="1"/>
  <c r="X431" i="1"/>
  <c r="W431" i="1"/>
  <c r="N431" i="1"/>
  <c r="M431" i="1"/>
  <c r="L431" i="1"/>
  <c r="K431" i="1"/>
  <c r="J431" i="1"/>
  <c r="I431" i="1"/>
  <c r="H431" i="1"/>
  <c r="O431" i="1" s="1"/>
  <c r="R431" i="1" s="1"/>
  <c r="X430" i="1"/>
  <c r="W430" i="1"/>
  <c r="N430" i="1"/>
  <c r="M430" i="1"/>
  <c r="L430" i="1"/>
  <c r="K430" i="1"/>
  <c r="J430" i="1"/>
  <c r="I430" i="1"/>
  <c r="H430" i="1"/>
  <c r="O430" i="1" s="1"/>
  <c r="R430" i="1" s="1"/>
  <c r="X429" i="1"/>
  <c r="W429" i="1"/>
  <c r="N429" i="1"/>
  <c r="M429" i="1"/>
  <c r="L429" i="1"/>
  <c r="K429" i="1"/>
  <c r="J429" i="1"/>
  <c r="I429" i="1"/>
  <c r="H429" i="1"/>
  <c r="O429" i="1" s="1"/>
  <c r="R429" i="1" s="1"/>
  <c r="X428" i="1"/>
  <c r="W428" i="1"/>
  <c r="N428" i="1"/>
  <c r="M428" i="1"/>
  <c r="L428" i="1"/>
  <c r="K428" i="1"/>
  <c r="J428" i="1"/>
  <c r="I428" i="1"/>
  <c r="H428" i="1"/>
  <c r="O428" i="1" s="1"/>
  <c r="R428" i="1" s="1"/>
  <c r="X427" i="1"/>
  <c r="W427" i="1"/>
  <c r="N427" i="1"/>
  <c r="M427" i="1"/>
  <c r="L427" i="1"/>
  <c r="K427" i="1"/>
  <c r="J427" i="1"/>
  <c r="H427" i="1"/>
  <c r="O427" i="1" s="1"/>
  <c r="R427" i="1" s="1"/>
  <c r="X426" i="1"/>
  <c r="W426" i="1"/>
  <c r="N426" i="1"/>
  <c r="M426" i="1"/>
  <c r="L426" i="1"/>
  <c r="K426" i="1"/>
  <c r="J426" i="1"/>
  <c r="H426" i="1"/>
  <c r="O426" i="1" s="1"/>
  <c r="R426" i="1" s="1"/>
  <c r="X425" i="1"/>
  <c r="W425" i="1"/>
  <c r="N425" i="1"/>
  <c r="M425" i="1"/>
  <c r="L425" i="1"/>
  <c r="K425" i="1"/>
  <c r="J425" i="1"/>
  <c r="H425" i="1"/>
  <c r="O425" i="1" s="1"/>
  <c r="R425" i="1" s="1"/>
  <c r="X424" i="1"/>
  <c r="W424" i="1"/>
  <c r="N424" i="1"/>
  <c r="M424" i="1"/>
  <c r="L424" i="1"/>
  <c r="K424" i="1"/>
  <c r="J424" i="1"/>
  <c r="H424" i="1"/>
  <c r="O424" i="1" s="1"/>
  <c r="R424" i="1" s="1"/>
  <c r="X423" i="1"/>
  <c r="W423" i="1"/>
  <c r="N423" i="1"/>
  <c r="M423" i="1"/>
  <c r="L423" i="1"/>
  <c r="K423" i="1"/>
  <c r="J423" i="1"/>
  <c r="H423" i="1"/>
  <c r="O423" i="1" s="1"/>
  <c r="R423" i="1" s="1"/>
  <c r="X422" i="1"/>
  <c r="W422" i="1"/>
  <c r="N422" i="1"/>
  <c r="M422" i="1"/>
  <c r="L422" i="1"/>
  <c r="K422" i="1"/>
  <c r="J422" i="1"/>
  <c r="H422" i="1"/>
  <c r="O422" i="1" s="1"/>
  <c r="R422" i="1" s="1"/>
  <c r="X421" i="1"/>
  <c r="W421" i="1"/>
  <c r="N421" i="1"/>
  <c r="M421" i="1"/>
  <c r="L421" i="1"/>
  <c r="K421" i="1"/>
  <c r="J421" i="1"/>
  <c r="H421" i="1"/>
  <c r="O421" i="1" s="1"/>
  <c r="R421" i="1" s="1"/>
  <c r="X420" i="1"/>
  <c r="W420" i="1"/>
  <c r="N420" i="1"/>
  <c r="M420" i="1"/>
  <c r="L420" i="1"/>
  <c r="K420" i="1"/>
  <c r="J420" i="1"/>
  <c r="H420" i="1"/>
  <c r="O420" i="1" s="1"/>
  <c r="R420" i="1" s="1"/>
  <c r="X419" i="1"/>
  <c r="W419" i="1"/>
  <c r="N419" i="1"/>
  <c r="M419" i="1"/>
  <c r="L419" i="1"/>
  <c r="K419" i="1"/>
  <c r="J419" i="1"/>
  <c r="H419" i="1"/>
  <c r="O419" i="1" s="1"/>
  <c r="R419" i="1" s="1"/>
  <c r="X418" i="1"/>
  <c r="W418" i="1"/>
  <c r="N418" i="1"/>
  <c r="M418" i="1"/>
  <c r="L418" i="1"/>
  <c r="K418" i="1"/>
  <c r="J418" i="1"/>
  <c r="H418" i="1"/>
  <c r="O418" i="1" s="1"/>
  <c r="X417" i="1"/>
  <c r="W417" i="1"/>
  <c r="N417" i="1"/>
  <c r="M417" i="1"/>
  <c r="L417" i="1"/>
  <c r="K417" i="1"/>
  <c r="J417" i="1"/>
  <c r="H417" i="1"/>
  <c r="O417" i="1" s="1"/>
  <c r="R417" i="1" s="1"/>
  <c r="X416" i="1"/>
  <c r="W416" i="1"/>
  <c r="N416" i="1"/>
  <c r="M416" i="1"/>
  <c r="L416" i="1"/>
  <c r="K416" i="1"/>
  <c r="J416" i="1"/>
  <c r="H416" i="1"/>
  <c r="O416" i="1" s="1"/>
  <c r="R416" i="1" s="1"/>
  <c r="X415" i="1"/>
  <c r="W415" i="1"/>
  <c r="N415" i="1"/>
  <c r="M415" i="1"/>
  <c r="L415" i="1"/>
  <c r="K415" i="1"/>
  <c r="J415" i="1"/>
  <c r="H415" i="1"/>
  <c r="O415" i="1" s="1"/>
  <c r="R415" i="1" s="1"/>
  <c r="X414" i="1"/>
  <c r="W414" i="1"/>
  <c r="N414" i="1"/>
  <c r="M414" i="1"/>
  <c r="L414" i="1"/>
  <c r="K414" i="1"/>
  <c r="J414" i="1"/>
  <c r="H414" i="1"/>
  <c r="O414" i="1" s="1"/>
  <c r="R414" i="1" s="1"/>
  <c r="X413" i="1"/>
  <c r="W413" i="1"/>
  <c r="N413" i="1"/>
  <c r="M413" i="1"/>
  <c r="L413" i="1"/>
  <c r="K413" i="1"/>
  <c r="J413" i="1"/>
  <c r="H413" i="1"/>
  <c r="O413" i="1" s="1"/>
  <c r="R413" i="1" s="1"/>
  <c r="X412" i="1"/>
  <c r="W412" i="1"/>
  <c r="N412" i="1"/>
  <c r="M412" i="1"/>
  <c r="L412" i="1"/>
  <c r="K412" i="1"/>
  <c r="J412" i="1"/>
  <c r="H412" i="1"/>
  <c r="O412" i="1" s="1"/>
  <c r="R412" i="1" s="1"/>
  <c r="X411" i="1"/>
  <c r="W411" i="1"/>
  <c r="N411" i="1"/>
  <c r="M411" i="1"/>
  <c r="L411" i="1"/>
  <c r="K411" i="1"/>
  <c r="J411" i="1"/>
  <c r="H411" i="1"/>
  <c r="O411" i="1" s="1"/>
  <c r="R411" i="1" s="1"/>
  <c r="X410" i="1"/>
  <c r="W410" i="1"/>
  <c r="N410" i="1"/>
  <c r="M410" i="1"/>
  <c r="L410" i="1"/>
  <c r="K410" i="1"/>
  <c r="J410" i="1"/>
  <c r="H410" i="1"/>
  <c r="O410" i="1" s="1"/>
  <c r="R410" i="1" s="1"/>
  <c r="X409" i="1"/>
  <c r="W409" i="1"/>
  <c r="N409" i="1"/>
  <c r="M409" i="1"/>
  <c r="L409" i="1"/>
  <c r="K409" i="1"/>
  <c r="J409" i="1"/>
  <c r="H409" i="1"/>
  <c r="O409" i="1" s="1"/>
  <c r="R409" i="1" s="1"/>
  <c r="X408" i="1"/>
  <c r="W408" i="1"/>
  <c r="N408" i="1"/>
  <c r="M408" i="1"/>
  <c r="L408" i="1"/>
  <c r="K408" i="1"/>
  <c r="J408" i="1"/>
  <c r="H408" i="1"/>
  <c r="O408" i="1" s="1"/>
  <c r="R408" i="1" s="1"/>
  <c r="X407" i="1"/>
  <c r="W407" i="1"/>
  <c r="N407" i="1"/>
  <c r="M407" i="1"/>
  <c r="L407" i="1"/>
  <c r="K407" i="1"/>
  <c r="J407" i="1"/>
  <c r="H407" i="1"/>
  <c r="O407" i="1" s="1"/>
  <c r="R407" i="1" s="1"/>
  <c r="X406" i="1"/>
  <c r="W406" i="1"/>
  <c r="N406" i="1"/>
  <c r="M406" i="1"/>
  <c r="L406" i="1"/>
  <c r="K406" i="1"/>
  <c r="J406" i="1"/>
  <c r="H406" i="1"/>
  <c r="O406" i="1" s="1"/>
  <c r="R406" i="1" s="1"/>
  <c r="X405" i="1"/>
  <c r="W405" i="1"/>
  <c r="N405" i="1"/>
  <c r="M405" i="1"/>
  <c r="L405" i="1"/>
  <c r="K405" i="1"/>
  <c r="J405" i="1"/>
  <c r="H405" i="1"/>
  <c r="O405" i="1" s="1"/>
  <c r="R405" i="1" s="1"/>
  <c r="X404" i="1"/>
  <c r="W404" i="1"/>
  <c r="N404" i="1"/>
  <c r="M404" i="1"/>
  <c r="L404" i="1"/>
  <c r="K404" i="1"/>
  <c r="J404" i="1"/>
  <c r="H404" i="1"/>
  <c r="O404" i="1" s="1"/>
  <c r="R404" i="1" s="1"/>
  <c r="X403" i="1"/>
  <c r="W403" i="1"/>
  <c r="N403" i="1"/>
  <c r="M403" i="1"/>
  <c r="L403" i="1"/>
  <c r="K403" i="1"/>
  <c r="J403" i="1"/>
  <c r="H403" i="1"/>
  <c r="O403" i="1" s="1"/>
  <c r="R403" i="1" s="1"/>
  <c r="X402" i="1"/>
  <c r="W402" i="1"/>
  <c r="N402" i="1"/>
  <c r="M402" i="1"/>
  <c r="L402" i="1"/>
  <c r="K402" i="1"/>
  <c r="J402" i="1"/>
  <c r="H402" i="1"/>
  <c r="O402" i="1" s="1"/>
  <c r="R402" i="1" s="1"/>
  <c r="X401" i="1"/>
  <c r="W401" i="1"/>
  <c r="N401" i="1"/>
  <c r="M401" i="1"/>
  <c r="L401" i="1"/>
  <c r="K401" i="1"/>
  <c r="J401" i="1"/>
  <c r="I401" i="1"/>
  <c r="H401" i="1"/>
  <c r="O401" i="1" s="1"/>
  <c r="R401" i="1" s="1"/>
  <c r="X400" i="1"/>
  <c r="W400" i="1"/>
  <c r="N400" i="1"/>
  <c r="M400" i="1"/>
  <c r="L400" i="1"/>
  <c r="K400" i="1"/>
  <c r="J400" i="1"/>
  <c r="I400" i="1"/>
  <c r="H400" i="1"/>
  <c r="O400" i="1" s="1"/>
  <c r="R400" i="1" s="1"/>
  <c r="X399" i="1"/>
  <c r="W399" i="1"/>
  <c r="N399" i="1"/>
  <c r="M399" i="1"/>
  <c r="L399" i="1"/>
  <c r="K399" i="1"/>
  <c r="J399" i="1"/>
  <c r="I399" i="1"/>
  <c r="H399" i="1"/>
  <c r="O399" i="1" s="1"/>
  <c r="X398" i="1"/>
  <c r="W398" i="1"/>
  <c r="N398" i="1"/>
  <c r="M398" i="1"/>
  <c r="L398" i="1"/>
  <c r="K398" i="1"/>
  <c r="J398" i="1"/>
  <c r="I398" i="1"/>
  <c r="H398" i="1"/>
  <c r="O398" i="1" s="1"/>
  <c r="X397" i="1"/>
  <c r="W397" i="1"/>
  <c r="N397" i="1"/>
  <c r="M397" i="1"/>
  <c r="L397" i="1"/>
  <c r="K397" i="1"/>
  <c r="J397" i="1"/>
  <c r="I397" i="1"/>
  <c r="H397" i="1"/>
  <c r="O397" i="1" s="1"/>
  <c r="R397" i="1" s="1"/>
  <c r="X396" i="1"/>
  <c r="W396" i="1"/>
  <c r="N396" i="1"/>
  <c r="M396" i="1"/>
  <c r="L396" i="1"/>
  <c r="K396" i="1"/>
  <c r="J396" i="1"/>
  <c r="I396" i="1"/>
  <c r="H396" i="1"/>
  <c r="O396" i="1" s="1"/>
  <c r="R396" i="1" s="1"/>
  <c r="X395" i="1"/>
  <c r="W395" i="1"/>
  <c r="N395" i="1"/>
  <c r="M395" i="1"/>
  <c r="L395" i="1"/>
  <c r="K395" i="1"/>
  <c r="J395" i="1"/>
  <c r="I395" i="1"/>
  <c r="H395" i="1"/>
  <c r="O395" i="1" s="1"/>
  <c r="R395" i="1" s="1"/>
  <c r="X394" i="1"/>
  <c r="W394" i="1"/>
  <c r="N394" i="1"/>
  <c r="M394" i="1"/>
  <c r="L394" i="1"/>
  <c r="K394" i="1"/>
  <c r="J394" i="1"/>
  <c r="I394" i="1"/>
  <c r="H394" i="1"/>
  <c r="O394" i="1" s="1"/>
  <c r="R394" i="1" s="1"/>
  <c r="X393" i="1"/>
  <c r="W393" i="1"/>
  <c r="N393" i="1"/>
  <c r="M393" i="1"/>
  <c r="L393" i="1"/>
  <c r="K393" i="1"/>
  <c r="J393" i="1"/>
  <c r="I393" i="1"/>
  <c r="H393" i="1"/>
  <c r="O393" i="1" s="1"/>
  <c r="R393" i="1" s="1"/>
  <c r="X392" i="1"/>
  <c r="W392" i="1"/>
  <c r="T392" i="1"/>
  <c r="N392" i="1"/>
  <c r="M392" i="1"/>
  <c r="L392" i="1"/>
  <c r="K392" i="1"/>
  <c r="J392" i="1"/>
  <c r="I392" i="1"/>
  <c r="H392" i="1"/>
  <c r="O392" i="1" s="1"/>
  <c r="R392" i="1" s="1"/>
  <c r="X391" i="1"/>
  <c r="W391" i="1"/>
  <c r="N391" i="1"/>
  <c r="M391" i="1"/>
  <c r="L391" i="1"/>
  <c r="K391" i="1"/>
  <c r="J391" i="1"/>
  <c r="I391" i="1"/>
  <c r="H391" i="1"/>
  <c r="O391" i="1" s="1"/>
  <c r="R391" i="1" s="1"/>
  <c r="X390" i="1"/>
  <c r="W390" i="1"/>
  <c r="N390" i="1"/>
  <c r="M390" i="1"/>
  <c r="L390" i="1"/>
  <c r="K390" i="1"/>
  <c r="J390" i="1"/>
  <c r="I390" i="1"/>
  <c r="H390" i="1"/>
  <c r="O390" i="1" s="1"/>
  <c r="R390" i="1" s="1"/>
  <c r="X389" i="1"/>
  <c r="W389" i="1"/>
  <c r="N389" i="1"/>
  <c r="M389" i="1"/>
  <c r="L389" i="1"/>
  <c r="K389" i="1"/>
  <c r="J389" i="1"/>
  <c r="I389" i="1"/>
  <c r="H389" i="1"/>
  <c r="O389" i="1" s="1"/>
  <c r="R389" i="1" s="1"/>
  <c r="X388" i="1"/>
  <c r="W388" i="1"/>
  <c r="N388" i="1"/>
  <c r="M388" i="1"/>
  <c r="L388" i="1"/>
  <c r="K388" i="1"/>
  <c r="J388" i="1"/>
  <c r="I388" i="1"/>
  <c r="H388" i="1"/>
  <c r="O388" i="1" s="1"/>
  <c r="X387" i="1"/>
  <c r="W387" i="1"/>
  <c r="N387" i="1"/>
  <c r="M387" i="1"/>
  <c r="L387" i="1"/>
  <c r="K387" i="1"/>
  <c r="J387" i="1"/>
  <c r="I387" i="1"/>
  <c r="H387" i="1"/>
  <c r="O387" i="1" s="1"/>
  <c r="R387" i="1" s="1"/>
  <c r="X386" i="1"/>
  <c r="W386" i="1"/>
  <c r="N386" i="1"/>
  <c r="M386" i="1"/>
  <c r="L386" i="1"/>
  <c r="K386" i="1"/>
  <c r="J386" i="1"/>
  <c r="I386" i="1"/>
  <c r="H386" i="1"/>
  <c r="O386" i="1" s="1"/>
  <c r="R386" i="1" s="1"/>
  <c r="N385" i="1"/>
  <c r="M385" i="1"/>
  <c r="L385" i="1"/>
  <c r="K385" i="1"/>
  <c r="J385" i="1"/>
  <c r="I385" i="1"/>
  <c r="H385" i="1"/>
  <c r="O385" i="1" s="1"/>
  <c r="N384" i="1"/>
  <c r="M384" i="1"/>
  <c r="L384" i="1"/>
  <c r="K384" i="1"/>
  <c r="J384" i="1"/>
  <c r="I384" i="1"/>
  <c r="H384" i="1"/>
  <c r="O384" i="1" s="1"/>
  <c r="R384" i="1" s="1"/>
  <c r="N383" i="1"/>
  <c r="M383" i="1"/>
  <c r="L383" i="1"/>
  <c r="K383" i="1"/>
  <c r="J383" i="1"/>
  <c r="I383" i="1"/>
  <c r="H383" i="1"/>
  <c r="O383" i="1" s="1"/>
  <c r="N382" i="1"/>
  <c r="M382" i="1"/>
  <c r="L382" i="1"/>
  <c r="K382" i="1"/>
  <c r="J382" i="1"/>
  <c r="I382" i="1"/>
  <c r="H382" i="1"/>
  <c r="O382" i="1" s="1"/>
  <c r="R382" i="1" s="1"/>
  <c r="N381" i="1"/>
  <c r="M381" i="1"/>
  <c r="L381" i="1"/>
  <c r="K381" i="1"/>
  <c r="J381" i="1"/>
  <c r="I381" i="1"/>
  <c r="H381" i="1"/>
  <c r="O381" i="1" s="1"/>
  <c r="R381" i="1" s="1"/>
  <c r="X380" i="1"/>
  <c r="W380" i="1"/>
  <c r="N380" i="1"/>
  <c r="M380" i="1"/>
  <c r="L380" i="1"/>
  <c r="K380" i="1"/>
  <c r="J380" i="1"/>
  <c r="I380" i="1"/>
  <c r="H380" i="1"/>
  <c r="O380" i="1" s="1"/>
  <c r="R380" i="1" s="1"/>
  <c r="N379" i="1"/>
  <c r="M379" i="1"/>
  <c r="L379" i="1"/>
  <c r="K379" i="1"/>
  <c r="J379" i="1"/>
  <c r="I379" i="1"/>
  <c r="H379" i="1"/>
  <c r="O379" i="1" s="1"/>
  <c r="R379" i="1" s="1"/>
  <c r="X378" i="1"/>
  <c r="W378" i="1"/>
  <c r="N378" i="1"/>
  <c r="M378" i="1"/>
  <c r="L378" i="1"/>
  <c r="K378" i="1"/>
  <c r="J378" i="1"/>
  <c r="I378" i="1"/>
  <c r="H378" i="1"/>
  <c r="O378" i="1" s="1"/>
  <c r="R378" i="1" s="1"/>
  <c r="X377" i="1"/>
  <c r="W377" i="1"/>
  <c r="N377" i="1"/>
  <c r="M377" i="1"/>
  <c r="L377" i="1"/>
  <c r="K377" i="1"/>
  <c r="J377" i="1"/>
  <c r="H377" i="1"/>
  <c r="O377" i="1" s="1"/>
  <c r="R377" i="1" s="1"/>
  <c r="N376" i="1"/>
  <c r="M376" i="1"/>
  <c r="L376" i="1"/>
  <c r="K376" i="1"/>
  <c r="J376" i="1"/>
  <c r="I376" i="1"/>
  <c r="H376" i="1"/>
  <c r="O376" i="1" s="1"/>
  <c r="R376" i="1" s="1"/>
  <c r="N375" i="1"/>
  <c r="M375" i="1"/>
  <c r="L375" i="1"/>
  <c r="K375" i="1"/>
  <c r="J375" i="1"/>
  <c r="I375" i="1"/>
  <c r="H375" i="1"/>
  <c r="O375" i="1" s="1"/>
  <c r="N374" i="1"/>
  <c r="M374" i="1"/>
  <c r="L374" i="1"/>
  <c r="K374" i="1"/>
  <c r="J374" i="1"/>
  <c r="I374" i="1"/>
  <c r="H374" i="1"/>
  <c r="O374" i="1" s="1"/>
  <c r="R374" i="1" s="1"/>
  <c r="N373" i="1"/>
  <c r="M373" i="1"/>
  <c r="L373" i="1"/>
  <c r="K373" i="1"/>
  <c r="J373" i="1"/>
  <c r="I373" i="1"/>
  <c r="H373" i="1"/>
  <c r="O373" i="1" s="1"/>
  <c r="R373" i="1" s="1"/>
  <c r="N372" i="1"/>
  <c r="M372" i="1"/>
  <c r="L372" i="1"/>
  <c r="K372" i="1"/>
  <c r="J372" i="1"/>
  <c r="I372" i="1"/>
  <c r="H372" i="1"/>
  <c r="O372" i="1" s="1"/>
  <c r="R372" i="1" s="1"/>
  <c r="N371" i="1"/>
  <c r="M371" i="1"/>
  <c r="L371" i="1"/>
  <c r="K371" i="1"/>
  <c r="J371" i="1"/>
  <c r="I371" i="1"/>
  <c r="H371" i="1"/>
  <c r="O371" i="1" s="1"/>
  <c r="R371" i="1" s="1"/>
  <c r="N370" i="1"/>
  <c r="M370" i="1"/>
  <c r="L370" i="1"/>
  <c r="K370" i="1"/>
  <c r="J370" i="1"/>
  <c r="I370" i="1"/>
  <c r="H370" i="1"/>
  <c r="O370" i="1" s="1"/>
  <c r="R370" i="1" s="1"/>
  <c r="N369" i="1"/>
  <c r="M369" i="1"/>
  <c r="L369" i="1"/>
  <c r="K369" i="1"/>
  <c r="J369" i="1"/>
  <c r="I369" i="1"/>
  <c r="H369" i="1"/>
  <c r="O369" i="1" s="1"/>
  <c r="R369" i="1" s="1"/>
  <c r="N368" i="1"/>
  <c r="M368" i="1"/>
  <c r="L368" i="1"/>
  <c r="K368" i="1"/>
  <c r="J368" i="1"/>
  <c r="I368" i="1"/>
  <c r="H368" i="1"/>
  <c r="O368" i="1" s="1"/>
  <c r="R368" i="1" s="1"/>
  <c r="N367" i="1"/>
  <c r="M367" i="1"/>
  <c r="L367" i="1"/>
  <c r="K367" i="1"/>
  <c r="J367" i="1"/>
  <c r="I367" i="1"/>
  <c r="H367" i="1"/>
  <c r="O367" i="1" s="1"/>
  <c r="N366" i="1"/>
  <c r="M366" i="1"/>
  <c r="L366" i="1"/>
  <c r="K366" i="1"/>
  <c r="J366" i="1"/>
  <c r="I366" i="1"/>
  <c r="H366" i="1"/>
  <c r="O366" i="1" s="1"/>
  <c r="N365" i="1"/>
  <c r="M365" i="1"/>
  <c r="L365" i="1"/>
  <c r="K365" i="1"/>
  <c r="J365" i="1"/>
  <c r="I365" i="1"/>
  <c r="H365" i="1"/>
  <c r="O365" i="1" s="1"/>
  <c r="N364" i="1"/>
  <c r="M364" i="1"/>
  <c r="L364" i="1"/>
  <c r="K364" i="1"/>
  <c r="J364" i="1"/>
  <c r="I364" i="1"/>
  <c r="H364" i="1"/>
  <c r="O364" i="1" s="1"/>
  <c r="R364" i="1" s="1"/>
  <c r="X363" i="1"/>
  <c r="W363" i="1"/>
  <c r="N363" i="1"/>
  <c r="M363" i="1"/>
  <c r="L363" i="1"/>
  <c r="K363" i="1"/>
  <c r="J363" i="1"/>
  <c r="H363" i="1"/>
  <c r="O363" i="1" s="1"/>
  <c r="R363" i="1" s="1"/>
  <c r="X362" i="1"/>
  <c r="W362" i="1"/>
  <c r="N362" i="1"/>
  <c r="M362" i="1"/>
  <c r="L362" i="1"/>
  <c r="K362" i="1"/>
  <c r="J362" i="1"/>
  <c r="H362" i="1"/>
  <c r="O362" i="1" s="1"/>
  <c r="R362" i="1" s="1"/>
  <c r="X361" i="1"/>
  <c r="W361" i="1"/>
  <c r="N361" i="1"/>
  <c r="M361" i="1"/>
  <c r="L361" i="1"/>
  <c r="K361" i="1"/>
  <c r="J361" i="1"/>
  <c r="H361" i="1"/>
  <c r="O361" i="1" s="1"/>
  <c r="R361" i="1" s="1"/>
  <c r="X360" i="1"/>
  <c r="W360" i="1"/>
  <c r="N360" i="1"/>
  <c r="M360" i="1"/>
  <c r="L360" i="1"/>
  <c r="K360" i="1"/>
  <c r="J360" i="1"/>
  <c r="H360" i="1"/>
  <c r="O360" i="1" s="1"/>
  <c r="X359" i="1"/>
  <c r="W359" i="1"/>
  <c r="N359" i="1"/>
  <c r="M359" i="1"/>
  <c r="L359" i="1"/>
  <c r="K359" i="1"/>
  <c r="J359" i="1"/>
  <c r="H359" i="1"/>
  <c r="O359" i="1" s="1"/>
  <c r="R359" i="1" s="1"/>
  <c r="X358" i="1"/>
  <c r="W358" i="1"/>
  <c r="N358" i="1"/>
  <c r="M358" i="1"/>
  <c r="L358" i="1"/>
  <c r="K358" i="1"/>
  <c r="J358" i="1"/>
  <c r="H358" i="1"/>
  <c r="O358" i="1" s="1"/>
  <c r="R358" i="1" s="1"/>
  <c r="X357" i="1"/>
  <c r="W357" i="1"/>
  <c r="N357" i="1"/>
  <c r="M357" i="1"/>
  <c r="L357" i="1"/>
  <c r="K357" i="1"/>
  <c r="J357" i="1"/>
  <c r="H357" i="1"/>
  <c r="O357" i="1" s="1"/>
  <c r="X356" i="1"/>
  <c r="W356" i="1"/>
  <c r="N356" i="1"/>
  <c r="M356" i="1"/>
  <c r="L356" i="1"/>
  <c r="K356" i="1"/>
  <c r="J356" i="1"/>
  <c r="H356" i="1"/>
  <c r="O356" i="1" s="1"/>
  <c r="R356" i="1" s="1"/>
  <c r="X355" i="1"/>
  <c r="W355" i="1"/>
  <c r="N355" i="1"/>
  <c r="M355" i="1"/>
  <c r="L355" i="1"/>
  <c r="K355" i="1"/>
  <c r="J355" i="1"/>
  <c r="H355" i="1"/>
  <c r="O355" i="1" s="1"/>
  <c r="R355" i="1" s="1"/>
  <c r="X354" i="1"/>
  <c r="W354" i="1"/>
  <c r="N354" i="1"/>
  <c r="M354" i="1"/>
  <c r="L354" i="1"/>
  <c r="K354" i="1"/>
  <c r="J354" i="1"/>
  <c r="H354" i="1"/>
  <c r="O354" i="1" s="1"/>
  <c r="R354" i="1" s="1"/>
  <c r="N353" i="1"/>
  <c r="M353" i="1"/>
  <c r="L353" i="1"/>
  <c r="K353" i="1"/>
  <c r="J353" i="1"/>
  <c r="I353" i="1"/>
  <c r="H353" i="1"/>
  <c r="O353" i="1" s="1"/>
  <c r="R353" i="1" s="1"/>
  <c r="N352" i="1"/>
  <c r="M352" i="1"/>
  <c r="L352" i="1"/>
  <c r="K352" i="1"/>
  <c r="J352" i="1"/>
  <c r="I352" i="1"/>
  <c r="H352" i="1"/>
  <c r="O352" i="1" s="1"/>
  <c r="N351" i="1"/>
  <c r="M351" i="1"/>
  <c r="L351" i="1"/>
  <c r="K351" i="1"/>
  <c r="J351" i="1"/>
  <c r="I351" i="1"/>
  <c r="H351" i="1"/>
  <c r="O351" i="1" s="1"/>
  <c r="R351" i="1" s="1"/>
  <c r="N350" i="1"/>
  <c r="M350" i="1"/>
  <c r="L350" i="1"/>
  <c r="K350" i="1"/>
  <c r="J350" i="1"/>
  <c r="I350" i="1"/>
  <c r="H350" i="1"/>
  <c r="O350" i="1" s="1"/>
  <c r="R350" i="1" s="1"/>
  <c r="X349" i="1"/>
  <c r="W349" i="1"/>
  <c r="N349" i="1"/>
  <c r="M349" i="1"/>
  <c r="L349" i="1"/>
  <c r="K349" i="1"/>
  <c r="J349" i="1"/>
  <c r="H349" i="1"/>
  <c r="O349" i="1" s="1"/>
  <c r="R349" i="1" s="1"/>
  <c r="X348" i="1"/>
  <c r="W348" i="1"/>
  <c r="N348" i="1"/>
  <c r="M348" i="1"/>
  <c r="L348" i="1"/>
  <c r="K348" i="1"/>
  <c r="J348" i="1"/>
  <c r="H348" i="1"/>
  <c r="O348" i="1" s="1"/>
  <c r="R348" i="1" s="1"/>
  <c r="X347" i="1"/>
  <c r="W347" i="1"/>
  <c r="N347" i="1"/>
  <c r="M347" i="1"/>
  <c r="L347" i="1"/>
  <c r="K347" i="1"/>
  <c r="J347" i="1"/>
  <c r="H347" i="1"/>
  <c r="O347" i="1" s="1"/>
  <c r="X346" i="1"/>
  <c r="W346" i="1"/>
  <c r="N346" i="1"/>
  <c r="M346" i="1"/>
  <c r="L346" i="1"/>
  <c r="K346" i="1"/>
  <c r="J346" i="1"/>
  <c r="H346" i="1"/>
  <c r="O346" i="1" s="1"/>
  <c r="R346" i="1" s="1"/>
  <c r="X345" i="1"/>
  <c r="W345" i="1"/>
  <c r="N345" i="1"/>
  <c r="M345" i="1"/>
  <c r="L345" i="1"/>
  <c r="K345" i="1"/>
  <c r="J345" i="1"/>
  <c r="H345" i="1"/>
  <c r="O345" i="1" s="1"/>
  <c r="X344" i="1"/>
  <c r="W344" i="1"/>
  <c r="N344" i="1"/>
  <c r="M344" i="1"/>
  <c r="L344" i="1"/>
  <c r="K344" i="1"/>
  <c r="J344" i="1"/>
  <c r="H344" i="1"/>
  <c r="O344" i="1" s="1"/>
  <c r="R344" i="1" s="1"/>
  <c r="X343" i="1"/>
  <c r="W343" i="1"/>
  <c r="N343" i="1"/>
  <c r="M343" i="1"/>
  <c r="L343" i="1"/>
  <c r="K343" i="1"/>
  <c r="J343" i="1"/>
  <c r="H343" i="1"/>
  <c r="O343" i="1" s="1"/>
  <c r="R343" i="1" s="1"/>
  <c r="X342" i="1"/>
  <c r="W342" i="1"/>
  <c r="N342" i="1"/>
  <c r="M342" i="1"/>
  <c r="L342" i="1"/>
  <c r="K342" i="1"/>
  <c r="J342" i="1"/>
  <c r="H342" i="1"/>
  <c r="O342" i="1" s="1"/>
  <c r="R342" i="1" s="1"/>
  <c r="X341" i="1"/>
  <c r="W341" i="1"/>
  <c r="N341" i="1"/>
  <c r="M341" i="1"/>
  <c r="L341" i="1"/>
  <c r="K341" i="1"/>
  <c r="J341" i="1"/>
  <c r="H341" i="1"/>
  <c r="O341" i="1" s="1"/>
  <c r="R341" i="1" s="1"/>
  <c r="X340" i="1"/>
  <c r="W340" i="1"/>
  <c r="N340" i="1"/>
  <c r="M340" i="1"/>
  <c r="L340" i="1"/>
  <c r="K340" i="1"/>
  <c r="J340" i="1"/>
  <c r="H340" i="1"/>
  <c r="O340" i="1" s="1"/>
  <c r="R340" i="1" s="1"/>
  <c r="X339" i="1"/>
  <c r="W339" i="1"/>
  <c r="N339" i="1"/>
  <c r="M339" i="1"/>
  <c r="L339" i="1"/>
  <c r="K339" i="1"/>
  <c r="J339" i="1"/>
  <c r="H339" i="1"/>
  <c r="O339" i="1" s="1"/>
  <c r="R339" i="1" s="1"/>
  <c r="N338" i="1"/>
  <c r="M338" i="1"/>
  <c r="L338" i="1"/>
  <c r="K338" i="1"/>
  <c r="J338" i="1"/>
  <c r="I338" i="1"/>
  <c r="H338" i="1"/>
  <c r="O338" i="1" s="1"/>
  <c r="N337" i="1"/>
  <c r="M337" i="1"/>
  <c r="L337" i="1"/>
  <c r="K337" i="1"/>
  <c r="J337" i="1"/>
  <c r="I337" i="1"/>
  <c r="H337" i="1"/>
  <c r="O337" i="1" s="1"/>
  <c r="R337" i="1" s="1"/>
  <c r="N336" i="1"/>
  <c r="M336" i="1"/>
  <c r="L336" i="1"/>
  <c r="K336" i="1"/>
  <c r="J336" i="1"/>
  <c r="I336" i="1"/>
  <c r="H336" i="1"/>
  <c r="O336" i="1" s="1"/>
  <c r="N335" i="1"/>
  <c r="M335" i="1"/>
  <c r="L335" i="1"/>
  <c r="K335" i="1"/>
  <c r="J335" i="1"/>
  <c r="I335" i="1"/>
  <c r="H335" i="1"/>
  <c r="O335" i="1" s="1"/>
  <c r="R335" i="1" s="1"/>
  <c r="N334" i="1"/>
  <c r="M334" i="1"/>
  <c r="L334" i="1"/>
  <c r="K334" i="1"/>
  <c r="J334" i="1"/>
  <c r="I334" i="1"/>
  <c r="H334" i="1"/>
  <c r="O334" i="1" s="1"/>
  <c r="R334" i="1" s="1"/>
  <c r="N333" i="1"/>
  <c r="M333" i="1"/>
  <c r="L333" i="1"/>
  <c r="K333" i="1"/>
  <c r="J333" i="1"/>
  <c r="I333" i="1"/>
  <c r="H333" i="1"/>
  <c r="O333" i="1" s="1"/>
  <c r="R333" i="1" s="1"/>
  <c r="N332" i="1"/>
  <c r="M332" i="1"/>
  <c r="L332" i="1"/>
  <c r="K332" i="1"/>
  <c r="J332" i="1"/>
  <c r="I332" i="1"/>
  <c r="H332" i="1"/>
  <c r="O332" i="1" s="1"/>
  <c r="R332" i="1" s="1"/>
  <c r="N331" i="1"/>
  <c r="M331" i="1"/>
  <c r="L331" i="1"/>
  <c r="K331" i="1"/>
  <c r="J331" i="1"/>
  <c r="I331" i="1"/>
  <c r="H331" i="1"/>
  <c r="O331" i="1" s="1"/>
  <c r="R331" i="1" s="1"/>
  <c r="N330" i="1"/>
  <c r="M330" i="1"/>
  <c r="L330" i="1"/>
  <c r="K330" i="1"/>
  <c r="J330" i="1"/>
  <c r="I330" i="1"/>
  <c r="H330" i="1"/>
  <c r="O330" i="1" s="1"/>
  <c r="R330" i="1" s="1"/>
  <c r="N329" i="1"/>
  <c r="M329" i="1"/>
  <c r="L329" i="1"/>
  <c r="K329" i="1"/>
  <c r="J329" i="1"/>
  <c r="I329" i="1"/>
  <c r="H329" i="1"/>
  <c r="O329" i="1" s="1"/>
  <c r="N328" i="1"/>
  <c r="M328" i="1"/>
  <c r="L328" i="1"/>
  <c r="K328" i="1"/>
  <c r="J328" i="1"/>
  <c r="I328" i="1"/>
  <c r="H328" i="1"/>
  <c r="O328" i="1" s="1"/>
  <c r="R328" i="1" s="1"/>
  <c r="X327" i="1"/>
  <c r="W327" i="1"/>
  <c r="N327" i="1"/>
  <c r="M327" i="1"/>
  <c r="L327" i="1"/>
  <c r="K327" i="1"/>
  <c r="J327" i="1"/>
  <c r="H327" i="1"/>
  <c r="O327" i="1" s="1"/>
  <c r="R327" i="1" s="1"/>
  <c r="X326" i="1"/>
  <c r="W326" i="1"/>
  <c r="N326" i="1"/>
  <c r="M326" i="1"/>
  <c r="L326" i="1"/>
  <c r="K326" i="1"/>
  <c r="J326" i="1"/>
  <c r="H326" i="1"/>
  <c r="O326" i="1" s="1"/>
  <c r="R326" i="1" s="1"/>
  <c r="X325" i="1"/>
  <c r="W325" i="1"/>
  <c r="N325" i="1"/>
  <c r="M325" i="1"/>
  <c r="L325" i="1"/>
  <c r="K325" i="1"/>
  <c r="J325" i="1"/>
  <c r="H325" i="1"/>
  <c r="O325" i="1" s="1"/>
  <c r="X324" i="1"/>
  <c r="W324" i="1"/>
  <c r="N324" i="1"/>
  <c r="M324" i="1"/>
  <c r="L324" i="1"/>
  <c r="K324" i="1"/>
  <c r="J324" i="1"/>
  <c r="H324" i="1"/>
  <c r="O324" i="1" s="1"/>
  <c r="R324" i="1" s="1"/>
  <c r="X323" i="1"/>
  <c r="W323" i="1"/>
  <c r="N323" i="1"/>
  <c r="M323" i="1"/>
  <c r="L323" i="1"/>
  <c r="K323" i="1"/>
  <c r="J323" i="1"/>
  <c r="H323" i="1"/>
  <c r="O323" i="1" s="1"/>
  <c r="R323" i="1" s="1"/>
  <c r="X322" i="1"/>
  <c r="W322" i="1"/>
  <c r="N322" i="1"/>
  <c r="M322" i="1"/>
  <c r="L322" i="1"/>
  <c r="K322" i="1"/>
  <c r="J322" i="1"/>
  <c r="H322" i="1"/>
  <c r="O322" i="1" s="1"/>
  <c r="X321" i="1"/>
  <c r="W321" i="1"/>
  <c r="N321" i="1"/>
  <c r="M321" i="1"/>
  <c r="L321" i="1"/>
  <c r="K321" i="1"/>
  <c r="J321" i="1"/>
  <c r="H321" i="1"/>
  <c r="O321" i="1" s="1"/>
  <c r="R321" i="1" s="1"/>
  <c r="X320" i="1"/>
  <c r="W320" i="1"/>
  <c r="N320" i="1"/>
  <c r="M320" i="1"/>
  <c r="L320" i="1"/>
  <c r="K320" i="1"/>
  <c r="J320" i="1"/>
  <c r="H320" i="1"/>
  <c r="O320" i="1" s="1"/>
  <c r="R320" i="1" s="1"/>
  <c r="X319" i="1"/>
  <c r="W319" i="1"/>
  <c r="N319" i="1"/>
  <c r="M319" i="1"/>
  <c r="L319" i="1"/>
  <c r="K319" i="1"/>
  <c r="J319" i="1"/>
  <c r="H319" i="1"/>
  <c r="O319" i="1" s="1"/>
  <c r="R319" i="1" s="1"/>
  <c r="X318" i="1"/>
  <c r="W318" i="1"/>
  <c r="N318" i="1"/>
  <c r="M318" i="1"/>
  <c r="L318" i="1"/>
  <c r="K318" i="1"/>
  <c r="J318" i="1"/>
  <c r="H318" i="1"/>
  <c r="O318" i="1" s="1"/>
  <c r="R318" i="1" s="1"/>
  <c r="X317" i="1"/>
  <c r="W317" i="1"/>
  <c r="N317" i="1"/>
  <c r="M317" i="1"/>
  <c r="L317" i="1"/>
  <c r="K317" i="1"/>
  <c r="J317" i="1"/>
  <c r="H317" i="1"/>
  <c r="O317" i="1" s="1"/>
  <c r="R317" i="1" s="1"/>
  <c r="X316" i="1"/>
  <c r="W316" i="1"/>
  <c r="N316" i="1"/>
  <c r="M316" i="1"/>
  <c r="L316" i="1"/>
  <c r="K316" i="1"/>
  <c r="J316" i="1"/>
  <c r="H316" i="1"/>
  <c r="O316" i="1" s="1"/>
  <c r="X315" i="1"/>
  <c r="W315" i="1"/>
  <c r="N315" i="1"/>
  <c r="M315" i="1"/>
  <c r="L315" i="1"/>
  <c r="K315" i="1"/>
  <c r="J315" i="1"/>
  <c r="H315" i="1"/>
  <c r="O315" i="1" s="1"/>
  <c r="X314" i="1"/>
  <c r="W314" i="1"/>
  <c r="N314" i="1"/>
  <c r="M314" i="1"/>
  <c r="L314" i="1"/>
  <c r="K314" i="1"/>
  <c r="J314" i="1"/>
  <c r="H314" i="1"/>
  <c r="O314" i="1" s="1"/>
  <c r="R314" i="1" s="1"/>
  <c r="X313" i="1"/>
  <c r="W313" i="1"/>
  <c r="N313" i="1"/>
  <c r="M313" i="1"/>
  <c r="L313" i="1"/>
  <c r="K313" i="1"/>
  <c r="J313" i="1"/>
  <c r="H313" i="1"/>
  <c r="O313" i="1" s="1"/>
  <c r="R313" i="1" s="1"/>
  <c r="X312" i="1"/>
  <c r="W312" i="1"/>
  <c r="N312" i="1"/>
  <c r="M312" i="1"/>
  <c r="L312" i="1"/>
  <c r="K312" i="1"/>
  <c r="J312" i="1"/>
  <c r="H312" i="1"/>
  <c r="O312" i="1" s="1"/>
  <c r="R312" i="1" s="1"/>
  <c r="X311" i="1"/>
  <c r="W311" i="1"/>
  <c r="N311" i="1"/>
  <c r="M311" i="1"/>
  <c r="L311" i="1"/>
  <c r="K311" i="1"/>
  <c r="J311" i="1"/>
  <c r="H311" i="1"/>
  <c r="O311" i="1" s="1"/>
  <c r="R311" i="1" s="1"/>
  <c r="X310" i="1"/>
  <c r="W310" i="1"/>
  <c r="N310" i="1"/>
  <c r="M310" i="1"/>
  <c r="L310" i="1"/>
  <c r="K310" i="1"/>
  <c r="J310" i="1"/>
  <c r="H310" i="1"/>
  <c r="O310" i="1" s="1"/>
  <c r="R310" i="1" s="1"/>
  <c r="X309" i="1"/>
  <c r="W309" i="1"/>
  <c r="N309" i="1"/>
  <c r="M309" i="1"/>
  <c r="L309" i="1"/>
  <c r="K309" i="1"/>
  <c r="J309" i="1"/>
  <c r="H309" i="1"/>
  <c r="O309" i="1" s="1"/>
  <c r="R309" i="1" s="1"/>
  <c r="X308" i="1"/>
  <c r="W308" i="1"/>
  <c r="N308" i="1"/>
  <c r="M308" i="1"/>
  <c r="L308" i="1"/>
  <c r="K308" i="1"/>
  <c r="J308" i="1"/>
  <c r="H308" i="1"/>
  <c r="O308" i="1" s="1"/>
  <c r="R308" i="1" s="1"/>
  <c r="X307" i="1"/>
  <c r="W307" i="1"/>
  <c r="N307" i="1"/>
  <c r="M307" i="1"/>
  <c r="L307" i="1"/>
  <c r="K307" i="1"/>
  <c r="J307" i="1"/>
  <c r="H307" i="1"/>
  <c r="O307" i="1" s="1"/>
  <c r="R307" i="1" s="1"/>
  <c r="X306" i="1"/>
  <c r="W306" i="1"/>
  <c r="N306" i="1"/>
  <c r="M306" i="1"/>
  <c r="L306" i="1"/>
  <c r="K306" i="1"/>
  <c r="J306" i="1"/>
  <c r="H306" i="1"/>
  <c r="O306" i="1" s="1"/>
  <c r="R306" i="1" s="1"/>
  <c r="X305" i="1"/>
  <c r="W305" i="1"/>
  <c r="N305" i="1"/>
  <c r="M305" i="1"/>
  <c r="L305" i="1"/>
  <c r="K305" i="1"/>
  <c r="J305" i="1"/>
  <c r="H305" i="1"/>
  <c r="O305" i="1" s="1"/>
  <c r="X304" i="1"/>
  <c r="W304" i="1"/>
  <c r="N304" i="1"/>
  <c r="M304" i="1"/>
  <c r="L304" i="1"/>
  <c r="K304" i="1"/>
  <c r="J304" i="1"/>
  <c r="H304" i="1"/>
  <c r="O304" i="1" s="1"/>
  <c r="X303" i="1"/>
  <c r="W303" i="1"/>
  <c r="N303" i="1"/>
  <c r="M303" i="1"/>
  <c r="L303" i="1"/>
  <c r="K303" i="1"/>
  <c r="J303" i="1"/>
  <c r="H303" i="1"/>
  <c r="O303" i="1" s="1"/>
  <c r="X302" i="1"/>
  <c r="W302" i="1"/>
  <c r="N302" i="1"/>
  <c r="M302" i="1"/>
  <c r="L302" i="1"/>
  <c r="K302" i="1"/>
  <c r="J302" i="1"/>
  <c r="H302" i="1"/>
  <c r="O302" i="1" s="1"/>
  <c r="X301" i="1"/>
  <c r="W301" i="1"/>
  <c r="N301" i="1"/>
  <c r="M301" i="1"/>
  <c r="L301" i="1"/>
  <c r="K301" i="1"/>
  <c r="J301" i="1"/>
  <c r="H301" i="1"/>
  <c r="O301" i="1" s="1"/>
  <c r="R301" i="1" s="1"/>
  <c r="X300" i="1"/>
  <c r="W300" i="1"/>
  <c r="N300" i="1"/>
  <c r="M300" i="1"/>
  <c r="L300" i="1"/>
  <c r="K300" i="1"/>
  <c r="J300" i="1"/>
  <c r="H300" i="1"/>
  <c r="O300" i="1" s="1"/>
  <c r="R300" i="1" s="1"/>
  <c r="X299" i="1"/>
  <c r="W299" i="1"/>
  <c r="N299" i="1"/>
  <c r="M299" i="1"/>
  <c r="L299" i="1"/>
  <c r="K299" i="1"/>
  <c r="J299" i="1"/>
  <c r="H299" i="1"/>
  <c r="O299" i="1" s="1"/>
  <c r="X298" i="1"/>
  <c r="W298" i="1"/>
  <c r="N298" i="1"/>
  <c r="M298" i="1"/>
  <c r="L298" i="1"/>
  <c r="K298" i="1"/>
  <c r="J298" i="1"/>
  <c r="H298" i="1"/>
  <c r="O298" i="1" s="1"/>
  <c r="R298" i="1" s="1"/>
  <c r="X297" i="1"/>
  <c r="W297" i="1"/>
  <c r="N297" i="1"/>
  <c r="M297" i="1"/>
  <c r="L297" i="1"/>
  <c r="K297" i="1"/>
  <c r="J297" i="1"/>
  <c r="H297" i="1"/>
  <c r="O297" i="1" s="1"/>
  <c r="X296" i="1"/>
  <c r="W296" i="1"/>
  <c r="N296" i="1"/>
  <c r="M296" i="1"/>
  <c r="L296" i="1"/>
  <c r="K296" i="1"/>
  <c r="J296" i="1"/>
  <c r="H296" i="1"/>
  <c r="O296" i="1" s="1"/>
  <c r="P296" i="1" s="1"/>
  <c r="X295" i="1"/>
  <c r="W295" i="1"/>
  <c r="N295" i="1"/>
  <c r="M295" i="1"/>
  <c r="L295" i="1"/>
  <c r="K295" i="1"/>
  <c r="J295" i="1"/>
  <c r="H295" i="1"/>
  <c r="O295" i="1" s="1"/>
  <c r="R295" i="1" s="1"/>
  <c r="X294" i="1"/>
  <c r="W294" i="1"/>
  <c r="N294" i="1"/>
  <c r="M294" i="1"/>
  <c r="L294" i="1"/>
  <c r="K294" i="1"/>
  <c r="J294" i="1"/>
  <c r="H294" i="1"/>
  <c r="O294" i="1" s="1"/>
  <c r="X293" i="1"/>
  <c r="W293" i="1"/>
  <c r="N293" i="1"/>
  <c r="M293" i="1"/>
  <c r="L293" i="1"/>
  <c r="K293" i="1"/>
  <c r="J293" i="1"/>
  <c r="I293" i="1"/>
  <c r="H293" i="1"/>
  <c r="O293" i="1" s="1"/>
  <c r="R293" i="1" s="1"/>
  <c r="X292" i="1"/>
  <c r="W292" i="1"/>
  <c r="N292" i="1"/>
  <c r="M292" i="1"/>
  <c r="L292" i="1"/>
  <c r="K292" i="1"/>
  <c r="J292" i="1"/>
  <c r="I292" i="1"/>
  <c r="H292" i="1"/>
  <c r="O292" i="1" s="1"/>
  <c r="R292" i="1" s="1"/>
  <c r="X291" i="1"/>
  <c r="W291" i="1"/>
  <c r="N291" i="1"/>
  <c r="M291" i="1"/>
  <c r="L291" i="1"/>
  <c r="K291" i="1"/>
  <c r="J291" i="1"/>
  <c r="H291" i="1"/>
  <c r="O291" i="1" s="1"/>
  <c r="R291" i="1" s="1"/>
  <c r="X290" i="1"/>
  <c r="W290" i="1"/>
  <c r="O290" i="1"/>
  <c r="R290" i="1" s="1"/>
  <c r="N290" i="1"/>
  <c r="M290" i="1"/>
  <c r="L290" i="1"/>
  <c r="K290" i="1"/>
  <c r="J290" i="1"/>
  <c r="H290" i="1"/>
  <c r="X289" i="1"/>
  <c r="W289" i="1"/>
  <c r="O289" i="1"/>
  <c r="R289" i="1" s="1"/>
  <c r="N289" i="1"/>
  <c r="M289" i="1"/>
  <c r="L289" i="1"/>
  <c r="K289" i="1"/>
  <c r="J289" i="1"/>
  <c r="H289" i="1"/>
  <c r="X288" i="1"/>
  <c r="W288" i="1"/>
  <c r="O288" i="1"/>
  <c r="R288" i="1" s="1"/>
  <c r="N288" i="1"/>
  <c r="M288" i="1"/>
  <c r="L288" i="1"/>
  <c r="K288" i="1"/>
  <c r="J288" i="1"/>
  <c r="H288" i="1"/>
  <c r="X287" i="1"/>
  <c r="W287" i="1"/>
  <c r="O287" i="1"/>
  <c r="R287" i="1" s="1"/>
  <c r="N287" i="1"/>
  <c r="M287" i="1"/>
  <c r="L287" i="1"/>
  <c r="K287" i="1"/>
  <c r="J287" i="1"/>
  <c r="H287" i="1"/>
  <c r="X286" i="1"/>
  <c r="W286" i="1"/>
  <c r="O286" i="1"/>
  <c r="N286" i="1"/>
  <c r="M286" i="1"/>
  <c r="L286" i="1"/>
  <c r="K286" i="1"/>
  <c r="J286" i="1"/>
  <c r="H286" i="1"/>
  <c r="X285" i="1"/>
  <c r="W285" i="1"/>
  <c r="O285" i="1"/>
  <c r="R285" i="1" s="1"/>
  <c r="N285" i="1"/>
  <c r="M285" i="1"/>
  <c r="L285" i="1"/>
  <c r="K285" i="1"/>
  <c r="J285" i="1"/>
  <c r="H285" i="1"/>
  <c r="X284" i="1"/>
  <c r="W284" i="1"/>
  <c r="O284" i="1"/>
  <c r="R284" i="1" s="1"/>
  <c r="N284" i="1"/>
  <c r="M284" i="1"/>
  <c r="L284" i="1"/>
  <c r="K284" i="1"/>
  <c r="J284" i="1"/>
  <c r="H284" i="1"/>
  <c r="X283" i="1"/>
  <c r="W283" i="1"/>
  <c r="O283" i="1"/>
  <c r="R283" i="1" s="1"/>
  <c r="N283" i="1"/>
  <c r="M283" i="1"/>
  <c r="L283" i="1"/>
  <c r="K283" i="1"/>
  <c r="J283" i="1"/>
  <c r="H283" i="1"/>
  <c r="X282" i="1"/>
  <c r="W282" i="1"/>
  <c r="O282" i="1"/>
  <c r="R282" i="1" s="1"/>
  <c r="N282" i="1"/>
  <c r="M282" i="1"/>
  <c r="L282" i="1"/>
  <c r="K282" i="1"/>
  <c r="J282" i="1"/>
  <c r="H282" i="1"/>
  <c r="X281" i="1"/>
  <c r="W281" i="1"/>
  <c r="O281" i="1"/>
  <c r="R281" i="1" s="1"/>
  <c r="N281" i="1"/>
  <c r="M281" i="1"/>
  <c r="L281" i="1"/>
  <c r="K281" i="1"/>
  <c r="J281" i="1"/>
  <c r="H281" i="1"/>
  <c r="X280" i="1"/>
  <c r="W280" i="1"/>
  <c r="O280" i="1"/>
  <c r="N280" i="1"/>
  <c r="M280" i="1"/>
  <c r="L280" i="1"/>
  <c r="K280" i="1"/>
  <c r="J280" i="1"/>
  <c r="H280" i="1"/>
  <c r="X279" i="1"/>
  <c r="W279" i="1"/>
  <c r="O279" i="1"/>
  <c r="R279" i="1" s="1"/>
  <c r="N279" i="1"/>
  <c r="M279" i="1"/>
  <c r="L279" i="1"/>
  <c r="K279" i="1"/>
  <c r="J279" i="1"/>
  <c r="H279" i="1"/>
  <c r="X278" i="1"/>
  <c r="W278" i="1"/>
  <c r="O278" i="1"/>
  <c r="R278" i="1" s="1"/>
  <c r="N278" i="1"/>
  <c r="M278" i="1"/>
  <c r="L278" i="1"/>
  <c r="K278" i="1"/>
  <c r="J278" i="1"/>
  <c r="H278" i="1"/>
  <c r="X277" i="1"/>
  <c r="W277" i="1"/>
  <c r="O277" i="1"/>
  <c r="R277" i="1" s="1"/>
  <c r="N277" i="1"/>
  <c r="M277" i="1"/>
  <c r="L277" i="1"/>
  <c r="K277" i="1"/>
  <c r="J277" i="1"/>
  <c r="H277" i="1"/>
  <c r="X276" i="1"/>
  <c r="W276" i="1"/>
  <c r="O276" i="1"/>
  <c r="R276" i="1" s="1"/>
  <c r="N276" i="1"/>
  <c r="M276" i="1"/>
  <c r="L276" i="1"/>
  <c r="K276" i="1"/>
  <c r="J276" i="1"/>
  <c r="H276" i="1"/>
  <c r="X275" i="1"/>
  <c r="W275" i="1"/>
  <c r="O275" i="1"/>
  <c r="R275" i="1" s="1"/>
  <c r="N275" i="1"/>
  <c r="M275" i="1"/>
  <c r="L275" i="1"/>
  <c r="K275" i="1"/>
  <c r="J275" i="1"/>
  <c r="H275" i="1"/>
  <c r="X274" i="1"/>
  <c r="W274" i="1"/>
  <c r="O274" i="1"/>
  <c r="R274" i="1" s="1"/>
  <c r="N274" i="1"/>
  <c r="M274" i="1"/>
  <c r="L274" i="1"/>
  <c r="K274" i="1"/>
  <c r="J274" i="1"/>
  <c r="H274" i="1"/>
  <c r="X273" i="1"/>
  <c r="W273" i="1"/>
  <c r="O273" i="1"/>
  <c r="R273" i="1" s="1"/>
  <c r="N273" i="1"/>
  <c r="M273" i="1"/>
  <c r="L273" i="1"/>
  <c r="K273" i="1"/>
  <c r="J273" i="1"/>
  <c r="H273" i="1"/>
  <c r="X272" i="1"/>
  <c r="W272" i="1"/>
  <c r="O272" i="1"/>
  <c r="R272" i="1" s="1"/>
  <c r="N272" i="1"/>
  <c r="M272" i="1"/>
  <c r="L272" i="1"/>
  <c r="K272" i="1"/>
  <c r="J272" i="1"/>
  <c r="H272" i="1"/>
  <c r="X271" i="1"/>
  <c r="W271" i="1"/>
  <c r="O271" i="1"/>
  <c r="R271" i="1" s="1"/>
  <c r="N271" i="1"/>
  <c r="M271" i="1"/>
  <c r="L271" i="1"/>
  <c r="K271" i="1"/>
  <c r="J271" i="1"/>
  <c r="H271" i="1"/>
  <c r="X270" i="1"/>
  <c r="W270" i="1"/>
  <c r="O270" i="1"/>
  <c r="R270" i="1" s="1"/>
  <c r="N270" i="1"/>
  <c r="M270" i="1"/>
  <c r="L270" i="1"/>
  <c r="K270" i="1"/>
  <c r="J270" i="1"/>
  <c r="H270" i="1"/>
  <c r="X269" i="1"/>
  <c r="W269" i="1"/>
  <c r="O269" i="1"/>
  <c r="R269" i="1" s="1"/>
  <c r="N269" i="1"/>
  <c r="M269" i="1"/>
  <c r="L269" i="1"/>
  <c r="K269" i="1"/>
  <c r="J269" i="1"/>
  <c r="H269" i="1"/>
  <c r="X268" i="1"/>
  <c r="W268" i="1"/>
  <c r="O268" i="1"/>
  <c r="R268" i="1" s="1"/>
  <c r="N268" i="1"/>
  <c r="M268" i="1"/>
  <c r="L268" i="1"/>
  <c r="K268" i="1"/>
  <c r="J268" i="1"/>
  <c r="H268" i="1"/>
  <c r="X267" i="1"/>
  <c r="W267" i="1"/>
  <c r="O267" i="1"/>
  <c r="R267" i="1" s="1"/>
  <c r="N267" i="1"/>
  <c r="M267" i="1"/>
  <c r="L267" i="1"/>
  <c r="K267" i="1"/>
  <c r="J267" i="1"/>
  <c r="H267" i="1"/>
  <c r="X266" i="1"/>
  <c r="W266" i="1"/>
  <c r="O266" i="1"/>
  <c r="R266" i="1" s="1"/>
  <c r="N266" i="1"/>
  <c r="M266" i="1"/>
  <c r="L266" i="1"/>
  <c r="K266" i="1"/>
  <c r="J266" i="1"/>
  <c r="H266" i="1"/>
  <c r="X265" i="1"/>
  <c r="W265" i="1"/>
  <c r="O265" i="1"/>
  <c r="R265" i="1" s="1"/>
  <c r="N265" i="1"/>
  <c r="M265" i="1"/>
  <c r="L265" i="1"/>
  <c r="K265" i="1"/>
  <c r="J265" i="1"/>
  <c r="H265" i="1"/>
  <c r="X264" i="1"/>
  <c r="W264" i="1"/>
  <c r="O264" i="1"/>
  <c r="R264" i="1" s="1"/>
  <c r="N264" i="1"/>
  <c r="M264" i="1"/>
  <c r="L264" i="1"/>
  <c r="K264" i="1"/>
  <c r="J264" i="1"/>
  <c r="H264" i="1"/>
  <c r="X263" i="1"/>
  <c r="W263" i="1"/>
  <c r="O263" i="1"/>
  <c r="R263" i="1" s="1"/>
  <c r="N263" i="1"/>
  <c r="M263" i="1"/>
  <c r="L263" i="1"/>
  <c r="K263" i="1"/>
  <c r="J263" i="1"/>
  <c r="H263" i="1"/>
  <c r="X262" i="1"/>
  <c r="W262" i="1"/>
  <c r="O262" i="1"/>
  <c r="R262" i="1" s="1"/>
  <c r="N262" i="1"/>
  <c r="M262" i="1"/>
  <c r="L262" i="1"/>
  <c r="K262" i="1"/>
  <c r="J262" i="1"/>
  <c r="H262" i="1"/>
  <c r="X261" i="1"/>
  <c r="W261" i="1"/>
  <c r="O261" i="1"/>
  <c r="R261" i="1" s="1"/>
  <c r="N261" i="1"/>
  <c r="M261" i="1"/>
  <c r="L261" i="1"/>
  <c r="K261" i="1"/>
  <c r="J261" i="1"/>
  <c r="H261" i="1"/>
  <c r="X260" i="1"/>
  <c r="W260" i="1"/>
  <c r="O260" i="1"/>
  <c r="R260" i="1" s="1"/>
  <c r="N260" i="1"/>
  <c r="M260" i="1"/>
  <c r="L260" i="1"/>
  <c r="K260" i="1"/>
  <c r="J260" i="1"/>
  <c r="H260" i="1"/>
  <c r="X259" i="1"/>
  <c r="W259" i="1"/>
  <c r="O259" i="1"/>
  <c r="R259" i="1" s="1"/>
  <c r="N259" i="1"/>
  <c r="M259" i="1"/>
  <c r="L259" i="1"/>
  <c r="K259" i="1"/>
  <c r="J259" i="1"/>
  <c r="H259" i="1"/>
  <c r="X258" i="1"/>
  <c r="W258" i="1"/>
  <c r="O258" i="1"/>
  <c r="R258" i="1" s="1"/>
  <c r="N258" i="1"/>
  <c r="M258" i="1"/>
  <c r="L258" i="1"/>
  <c r="K258" i="1"/>
  <c r="J258" i="1"/>
  <c r="H258" i="1"/>
  <c r="X257" i="1"/>
  <c r="W257" i="1"/>
  <c r="N257" i="1"/>
  <c r="M257" i="1"/>
  <c r="L257" i="1"/>
  <c r="K257" i="1"/>
  <c r="J257" i="1"/>
  <c r="H257" i="1"/>
  <c r="O257" i="1" s="1"/>
  <c r="R257" i="1" s="1"/>
  <c r="X256" i="1"/>
  <c r="W256" i="1"/>
  <c r="N256" i="1"/>
  <c r="M256" i="1"/>
  <c r="L256" i="1"/>
  <c r="K256" i="1"/>
  <c r="J256" i="1"/>
  <c r="H256" i="1"/>
  <c r="O256" i="1" s="1"/>
  <c r="R256" i="1" s="1"/>
  <c r="X255" i="1"/>
  <c r="W255" i="1"/>
  <c r="N255" i="1"/>
  <c r="M255" i="1"/>
  <c r="L255" i="1"/>
  <c r="K255" i="1"/>
  <c r="J255" i="1"/>
  <c r="H255" i="1"/>
  <c r="O255" i="1" s="1"/>
  <c r="R255" i="1" s="1"/>
  <c r="X254" i="1"/>
  <c r="W254" i="1"/>
  <c r="N254" i="1"/>
  <c r="M254" i="1"/>
  <c r="L254" i="1"/>
  <c r="K254" i="1"/>
  <c r="J254" i="1"/>
  <c r="H254" i="1"/>
  <c r="O254" i="1" s="1"/>
  <c r="R254" i="1" s="1"/>
  <c r="X253" i="1"/>
  <c r="W253" i="1"/>
  <c r="N253" i="1"/>
  <c r="M253" i="1"/>
  <c r="L253" i="1"/>
  <c r="K253" i="1"/>
  <c r="J253" i="1"/>
  <c r="H253" i="1"/>
  <c r="O253" i="1" s="1"/>
  <c r="R253" i="1" s="1"/>
  <c r="X252" i="1"/>
  <c r="W252" i="1"/>
  <c r="N252" i="1"/>
  <c r="M252" i="1"/>
  <c r="L252" i="1"/>
  <c r="K252" i="1"/>
  <c r="J252" i="1"/>
  <c r="H252" i="1"/>
  <c r="O252" i="1" s="1"/>
  <c r="R252" i="1" s="1"/>
  <c r="X251" i="1"/>
  <c r="W251" i="1"/>
  <c r="N251" i="1"/>
  <c r="M251" i="1"/>
  <c r="L251" i="1"/>
  <c r="K251" i="1"/>
  <c r="J251" i="1"/>
  <c r="H251" i="1"/>
  <c r="O251" i="1" s="1"/>
  <c r="R251" i="1" s="1"/>
  <c r="X250" i="1"/>
  <c r="W250" i="1"/>
  <c r="N250" i="1"/>
  <c r="M250" i="1"/>
  <c r="L250" i="1"/>
  <c r="K250" i="1"/>
  <c r="J250" i="1"/>
  <c r="H250" i="1"/>
  <c r="O250" i="1" s="1"/>
  <c r="R250" i="1" s="1"/>
  <c r="X249" i="1"/>
  <c r="W249" i="1"/>
  <c r="O249" i="1"/>
  <c r="R249" i="1" s="1"/>
  <c r="N249" i="1"/>
  <c r="M249" i="1"/>
  <c r="L249" i="1"/>
  <c r="K249" i="1"/>
  <c r="J249" i="1"/>
  <c r="I249" i="1"/>
  <c r="H249" i="1"/>
  <c r="X248" i="1"/>
  <c r="W248" i="1"/>
  <c r="O248" i="1"/>
  <c r="R248" i="1" s="1"/>
  <c r="N248" i="1"/>
  <c r="M248" i="1"/>
  <c r="L248" i="1"/>
  <c r="K248" i="1"/>
  <c r="J248" i="1"/>
  <c r="H248" i="1"/>
  <c r="X247" i="1"/>
  <c r="W247" i="1"/>
  <c r="O247" i="1"/>
  <c r="R247" i="1" s="1"/>
  <c r="N247" i="1"/>
  <c r="M247" i="1"/>
  <c r="L247" i="1"/>
  <c r="K247" i="1"/>
  <c r="J247" i="1"/>
  <c r="H247" i="1"/>
  <c r="X246" i="1"/>
  <c r="W246" i="1"/>
  <c r="O246" i="1"/>
  <c r="R246" i="1" s="1"/>
  <c r="N246" i="1"/>
  <c r="M246" i="1"/>
  <c r="L246" i="1"/>
  <c r="J246" i="1"/>
  <c r="H246" i="1"/>
  <c r="X245" i="1"/>
  <c r="W245" i="1"/>
  <c r="O245" i="1"/>
  <c r="R245" i="1" s="1"/>
  <c r="N245" i="1"/>
  <c r="M245" i="1"/>
  <c r="L245" i="1"/>
  <c r="K245" i="1"/>
  <c r="J245" i="1"/>
  <c r="H245" i="1"/>
  <c r="X244" i="1"/>
  <c r="W244" i="1"/>
  <c r="O244" i="1"/>
  <c r="R244" i="1" s="1"/>
  <c r="N244" i="1"/>
  <c r="M244" i="1"/>
  <c r="L244" i="1"/>
  <c r="K244" i="1"/>
  <c r="J244" i="1"/>
  <c r="I244" i="1"/>
  <c r="H244" i="1"/>
  <c r="X243" i="1"/>
  <c r="W243" i="1"/>
  <c r="O243" i="1"/>
  <c r="R243" i="1" s="1"/>
  <c r="N243" i="1"/>
  <c r="M243" i="1"/>
  <c r="L243" i="1"/>
  <c r="K243" i="1"/>
  <c r="J243" i="1"/>
  <c r="I243" i="1"/>
  <c r="H243" i="1"/>
  <c r="X242" i="1"/>
  <c r="W242" i="1"/>
  <c r="O242" i="1"/>
  <c r="R242" i="1" s="1"/>
  <c r="N242" i="1"/>
  <c r="M242" i="1"/>
  <c r="L242" i="1"/>
  <c r="K242" i="1"/>
  <c r="J242" i="1"/>
  <c r="I242" i="1"/>
  <c r="H242" i="1"/>
  <c r="X241" i="1"/>
  <c r="W241" i="1"/>
  <c r="O241" i="1"/>
  <c r="R241" i="1" s="1"/>
  <c r="N241" i="1"/>
  <c r="M241" i="1"/>
  <c r="L241" i="1"/>
  <c r="K241" i="1"/>
  <c r="J241" i="1"/>
  <c r="I241" i="1"/>
  <c r="H241" i="1"/>
  <c r="X240" i="1"/>
  <c r="W240" i="1"/>
  <c r="O240" i="1"/>
  <c r="R240" i="1" s="1"/>
  <c r="N240" i="1"/>
  <c r="M240" i="1"/>
  <c r="L240" i="1"/>
  <c r="K240" i="1"/>
  <c r="J240" i="1"/>
  <c r="I240" i="1"/>
  <c r="H240" i="1"/>
  <c r="X239" i="1"/>
  <c r="W239" i="1"/>
  <c r="O239" i="1"/>
  <c r="R239" i="1" s="1"/>
  <c r="N239" i="1"/>
  <c r="M239" i="1"/>
  <c r="L239" i="1"/>
  <c r="K239" i="1"/>
  <c r="J239" i="1"/>
  <c r="I239" i="1"/>
  <c r="H239" i="1"/>
  <c r="X238" i="1"/>
  <c r="W238" i="1"/>
  <c r="O238" i="1"/>
  <c r="R238" i="1" s="1"/>
  <c r="N238" i="1"/>
  <c r="M238" i="1"/>
  <c r="L238" i="1"/>
  <c r="K238" i="1"/>
  <c r="J238" i="1"/>
  <c r="H238" i="1"/>
  <c r="X237" i="1"/>
  <c r="W237" i="1"/>
  <c r="O237" i="1"/>
  <c r="R237" i="1" s="1"/>
  <c r="N237" i="1"/>
  <c r="M237" i="1"/>
  <c r="L237" i="1"/>
  <c r="K237" i="1"/>
  <c r="J237" i="1"/>
  <c r="H237" i="1"/>
  <c r="X236" i="1"/>
  <c r="W236" i="1"/>
  <c r="O236" i="1"/>
  <c r="R236" i="1" s="1"/>
  <c r="N236" i="1"/>
  <c r="M236" i="1"/>
  <c r="L236" i="1"/>
  <c r="K236" i="1"/>
  <c r="J236" i="1"/>
  <c r="H236" i="1"/>
  <c r="X235" i="1"/>
  <c r="W235" i="1"/>
  <c r="O235" i="1"/>
  <c r="R235" i="1" s="1"/>
  <c r="N235" i="1"/>
  <c r="M235" i="1"/>
  <c r="L235" i="1"/>
  <c r="K235" i="1"/>
  <c r="J235" i="1"/>
  <c r="H235" i="1"/>
  <c r="X234" i="1"/>
  <c r="W234" i="1"/>
  <c r="O234" i="1"/>
  <c r="R234" i="1" s="1"/>
  <c r="N234" i="1"/>
  <c r="M234" i="1"/>
  <c r="L234" i="1"/>
  <c r="K234" i="1"/>
  <c r="J234" i="1"/>
  <c r="H234" i="1"/>
  <c r="X233" i="1"/>
  <c r="W233" i="1"/>
  <c r="O233" i="1"/>
  <c r="R233" i="1" s="1"/>
  <c r="N233" i="1"/>
  <c r="M233" i="1"/>
  <c r="L233" i="1"/>
  <c r="K233" i="1"/>
  <c r="J233" i="1"/>
  <c r="H233" i="1"/>
  <c r="X232" i="1"/>
  <c r="W232" i="1"/>
  <c r="O232" i="1"/>
  <c r="R232" i="1" s="1"/>
  <c r="N232" i="1"/>
  <c r="M232" i="1"/>
  <c r="L232" i="1"/>
  <c r="K232" i="1"/>
  <c r="J232" i="1"/>
  <c r="H232" i="1"/>
  <c r="X231" i="1"/>
  <c r="W231" i="1"/>
  <c r="O231" i="1"/>
  <c r="R231" i="1" s="1"/>
  <c r="N231" i="1"/>
  <c r="M231" i="1"/>
  <c r="L231" i="1"/>
  <c r="K231" i="1"/>
  <c r="J231" i="1"/>
  <c r="H231" i="1"/>
  <c r="X230" i="1"/>
  <c r="W230" i="1"/>
  <c r="O230" i="1"/>
  <c r="R230" i="1" s="1"/>
  <c r="N230" i="1"/>
  <c r="M230" i="1"/>
  <c r="L230" i="1"/>
  <c r="K230" i="1"/>
  <c r="J230" i="1"/>
  <c r="H230" i="1"/>
  <c r="X229" i="1"/>
  <c r="W229" i="1"/>
  <c r="O229" i="1"/>
  <c r="R229" i="1" s="1"/>
  <c r="N229" i="1"/>
  <c r="M229" i="1"/>
  <c r="L229" i="1"/>
  <c r="K229" i="1"/>
  <c r="J229" i="1"/>
  <c r="H229" i="1"/>
  <c r="X228" i="1"/>
  <c r="W228" i="1"/>
  <c r="O228" i="1"/>
  <c r="R228" i="1" s="1"/>
  <c r="N228" i="1"/>
  <c r="M228" i="1"/>
  <c r="L228" i="1"/>
  <c r="K228" i="1"/>
  <c r="J228" i="1"/>
  <c r="H228" i="1"/>
  <c r="X227" i="1"/>
  <c r="W227" i="1"/>
  <c r="O227" i="1"/>
  <c r="R227" i="1" s="1"/>
  <c r="N227" i="1"/>
  <c r="M227" i="1"/>
  <c r="L227" i="1"/>
  <c r="K227" i="1"/>
  <c r="J227" i="1"/>
  <c r="H227" i="1"/>
  <c r="X226" i="1"/>
  <c r="W226" i="1"/>
  <c r="O226" i="1"/>
  <c r="R226" i="1" s="1"/>
  <c r="N226" i="1"/>
  <c r="M226" i="1"/>
  <c r="L226" i="1"/>
  <c r="K226" i="1"/>
  <c r="J226" i="1"/>
  <c r="I226" i="1"/>
  <c r="H226" i="1"/>
  <c r="X225" i="1"/>
  <c r="W225" i="1"/>
  <c r="O225" i="1"/>
  <c r="R225" i="1" s="1"/>
  <c r="N225" i="1"/>
  <c r="M225" i="1"/>
  <c r="L225" i="1"/>
  <c r="K225" i="1"/>
  <c r="J225" i="1"/>
  <c r="H225" i="1"/>
  <c r="X224" i="1"/>
  <c r="W224" i="1"/>
  <c r="O224" i="1"/>
  <c r="R224" i="1" s="1"/>
  <c r="N224" i="1"/>
  <c r="M224" i="1"/>
  <c r="L224" i="1"/>
  <c r="K224" i="1"/>
  <c r="J224" i="1"/>
  <c r="H224" i="1"/>
  <c r="X223" i="1"/>
  <c r="W223" i="1"/>
  <c r="N223" i="1"/>
  <c r="M223" i="1"/>
  <c r="L223" i="1"/>
  <c r="K223" i="1"/>
  <c r="J223" i="1"/>
  <c r="I223" i="1"/>
  <c r="H223" i="1"/>
  <c r="O223" i="1" s="1"/>
  <c r="R223" i="1" s="1"/>
  <c r="X222" i="1"/>
  <c r="W222" i="1"/>
  <c r="N222" i="1"/>
  <c r="M222" i="1"/>
  <c r="L222" i="1"/>
  <c r="K222" i="1"/>
  <c r="J222" i="1"/>
  <c r="I222" i="1"/>
  <c r="H222" i="1"/>
  <c r="O222" i="1" s="1"/>
  <c r="R222" i="1" s="1"/>
  <c r="X221" i="1"/>
  <c r="W221" i="1"/>
  <c r="N221" i="1"/>
  <c r="M221" i="1"/>
  <c r="L221" i="1"/>
  <c r="K221" i="1"/>
  <c r="J221" i="1"/>
  <c r="I221" i="1"/>
  <c r="H221" i="1"/>
  <c r="O221" i="1" s="1"/>
  <c r="R221" i="1" s="1"/>
  <c r="X220" i="1"/>
  <c r="W220" i="1"/>
  <c r="N220" i="1"/>
  <c r="M220" i="1"/>
  <c r="L220" i="1"/>
  <c r="K220" i="1"/>
  <c r="J220" i="1"/>
  <c r="I220" i="1"/>
  <c r="H220" i="1"/>
  <c r="O220" i="1" s="1"/>
  <c r="R220" i="1" s="1"/>
  <c r="X219" i="1"/>
  <c r="W219" i="1"/>
  <c r="N219" i="1"/>
  <c r="M219" i="1"/>
  <c r="L219" i="1"/>
  <c r="K219" i="1"/>
  <c r="J219" i="1"/>
  <c r="I219" i="1"/>
  <c r="H219" i="1"/>
  <c r="O219" i="1" s="1"/>
  <c r="X218" i="1"/>
  <c r="W218" i="1"/>
  <c r="N218" i="1"/>
  <c r="M218" i="1"/>
  <c r="L218" i="1"/>
  <c r="K218" i="1"/>
  <c r="J218" i="1"/>
  <c r="I218" i="1"/>
  <c r="H218" i="1"/>
  <c r="O218" i="1" s="1"/>
  <c r="R218" i="1" s="1"/>
  <c r="X217" i="1"/>
  <c r="W217" i="1"/>
  <c r="N217" i="1"/>
  <c r="M217" i="1"/>
  <c r="L217" i="1"/>
  <c r="K217" i="1"/>
  <c r="J217" i="1"/>
  <c r="I217" i="1"/>
  <c r="H217" i="1"/>
  <c r="O217" i="1" s="1"/>
  <c r="R217" i="1" s="1"/>
  <c r="X216" i="1"/>
  <c r="W216" i="1"/>
  <c r="N216" i="1"/>
  <c r="M216" i="1"/>
  <c r="L216" i="1"/>
  <c r="K216" i="1"/>
  <c r="J216" i="1"/>
  <c r="I216" i="1"/>
  <c r="H216" i="1"/>
  <c r="O216" i="1" s="1"/>
  <c r="R216" i="1" s="1"/>
  <c r="X215" i="1"/>
  <c r="W215" i="1"/>
  <c r="N215" i="1"/>
  <c r="M215" i="1"/>
  <c r="L215" i="1"/>
  <c r="K215" i="1"/>
  <c r="J215" i="1"/>
  <c r="I215" i="1"/>
  <c r="H215" i="1"/>
  <c r="O215" i="1" s="1"/>
  <c r="R215" i="1" s="1"/>
  <c r="X214" i="1"/>
  <c r="W214" i="1"/>
  <c r="N214" i="1"/>
  <c r="M214" i="1"/>
  <c r="L214" i="1"/>
  <c r="K214" i="1"/>
  <c r="J214" i="1"/>
  <c r="I214" i="1"/>
  <c r="H214" i="1"/>
  <c r="O214" i="1" s="1"/>
  <c r="R214" i="1" s="1"/>
  <c r="X213" i="1"/>
  <c r="W213" i="1"/>
  <c r="N213" i="1"/>
  <c r="M213" i="1"/>
  <c r="L213" i="1"/>
  <c r="K213" i="1"/>
  <c r="J213" i="1"/>
  <c r="I213" i="1"/>
  <c r="H213" i="1"/>
  <c r="O213" i="1" s="1"/>
  <c r="R213" i="1" s="1"/>
  <c r="X212" i="1"/>
  <c r="W212" i="1"/>
  <c r="N212" i="1"/>
  <c r="M212" i="1"/>
  <c r="L212" i="1"/>
  <c r="K212" i="1"/>
  <c r="J212" i="1"/>
  <c r="I212" i="1"/>
  <c r="H212" i="1"/>
  <c r="O212" i="1" s="1"/>
  <c r="R212" i="1" s="1"/>
  <c r="X211" i="1"/>
  <c r="W211" i="1"/>
  <c r="N211" i="1"/>
  <c r="M211" i="1"/>
  <c r="L211" i="1"/>
  <c r="K211" i="1"/>
  <c r="J211" i="1"/>
  <c r="I211" i="1"/>
  <c r="H211" i="1"/>
  <c r="O211" i="1" s="1"/>
  <c r="R211" i="1" s="1"/>
  <c r="X210" i="1"/>
  <c r="W210" i="1"/>
  <c r="N210" i="1"/>
  <c r="M210" i="1"/>
  <c r="L210" i="1"/>
  <c r="K210" i="1"/>
  <c r="J210" i="1"/>
  <c r="I210" i="1"/>
  <c r="H210" i="1"/>
  <c r="O210" i="1" s="1"/>
  <c r="R210" i="1" s="1"/>
  <c r="X209" i="1"/>
  <c r="W209" i="1"/>
  <c r="N209" i="1"/>
  <c r="M209" i="1"/>
  <c r="L209" i="1"/>
  <c r="K209" i="1"/>
  <c r="J209" i="1"/>
  <c r="I209" i="1"/>
  <c r="H209" i="1"/>
  <c r="O209" i="1" s="1"/>
  <c r="X208" i="1"/>
  <c r="W208" i="1"/>
  <c r="N208" i="1"/>
  <c r="M208" i="1"/>
  <c r="L208" i="1"/>
  <c r="K208" i="1"/>
  <c r="J208" i="1"/>
  <c r="I208" i="1"/>
  <c r="H208" i="1"/>
  <c r="O208" i="1" s="1"/>
  <c r="R208" i="1" s="1"/>
  <c r="X207" i="1"/>
  <c r="W207" i="1"/>
  <c r="N207" i="1"/>
  <c r="M207" i="1"/>
  <c r="L207" i="1"/>
  <c r="K207" i="1"/>
  <c r="J207" i="1"/>
  <c r="I207" i="1"/>
  <c r="H207" i="1"/>
  <c r="O207" i="1" s="1"/>
  <c r="X206" i="1"/>
  <c r="W206" i="1"/>
  <c r="N206" i="1"/>
  <c r="M206" i="1"/>
  <c r="L206" i="1"/>
  <c r="K206" i="1"/>
  <c r="J206" i="1"/>
  <c r="I206" i="1"/>
  <c r="H206" i="1"/>
  <c r="O206" i="1" s="1"/>
  <c r="R206" i="1" s="1"/>
  <c r="X205" i="1"/>
  <c r="W205" i="1"/>
  <c r="N205" i="1"/>
  <c r="M205" i="1"/>
  <c r="L205" i="1"/>
  <c r="K205" i="1"/>
  <c r="J205" i="1"/>
  <c r="I205" i="1"/>
  <c r="H205" i="1"/>
  <c r="O205" i="1" s="1"/>
  <c r="R205" i="1" s="1"/>
  <c r="X204" i="1"/>
  <c r="W204" i="1"/>
  <c r="N204" i="1"/>
  <c r="M204" i="1"/>
  <c r="L204" i="1"/>
  <c r="K204" i="1"/>
  <c r="J204" i="1"/>
  <c r="I204" i="1"/>
  <c r="H204" i="1"/>
  <c r="O204" i="1" s="1"/>
  <c r="R204" i="1" s="1"/>
  <c r="X203" i="1"/>
  <c r="W203" i="1"/>
  <c r="N203" i="1"/>
  <c r="M203" i="1"/>
  <c r="L203" i="1"/>
  <c r="K203" i="1"/>
  <c r="J203" i="1"/>
  <c r="I203" i="1"/>
  <c r="H203" i="1"/>
  <c r="O203" i="1" s="1"/>
  <c r="R203" i="1" s="1"/>
  <c r="X202" i="1"/>
  <c r="W202" i="1"/>
  <c r="N202" i="1"/>
  <c r="M202" i="1"/>
  <c r="L202" i="1"/>
  <c r="K202" i="1"/>
  <c r="J202" i="1"/>
  <c r="I202" i="1"/>
  <c r="H202" i="1"/>
  <c r="O202" i="1" s="1"/>
  <c r="X201" i="1"/>
  <c r="W201" i="1"/>
  <c r="N201" i="1"/>
  <c r="M201" i="1"/>
  <c r="L201" i="1"/>
  <c r="K201" i="1"/>
  <c r="J201" i="1"/>
  <c r="I201" i="1"/>
  <c r="H201" i="1"/>
  <c r="O201" i="1" s="1"/>
  <c r="R201" i="1" s="1"/>
  <c r="X200" i="1"/>
  <c r="W200" i="1"/>
  <c r="O200" i="1"/>
  <c r="R200" i="1" s="1"/>
  <c r="N200" i="1"/>
  <c r="M200" i="1"/>
  <c r="L200" i="1"/>
  <c r="K200" i="1"/>
  <c r="J200" i="1"/>
  <c r="H200" i="1"/>
  <c r="X199" i="1"/>
  <c r="W199" i="1"/>
  <c r="O199" i="1"/>
  <c r="R199" i="1" s="1"/>
  <c r="N199" i="1"/>
  <c r="M199" i="1"/>
  <c r="L199" i="1"/>
  <c r="K199" i="1"/>
  <c r="J199" i="1"/>
  <c r="H199" i="1"/>
  <c r="X198" i="1"/>
  <c r="W198" i="1"/>
  <c r="O198" i="1"/>
  <c r="R198" i="1" s="1"/>
  <c r="N198" i="1"/>
  <c r="M198" i="1"/>
  <c r="L198" i="1"/>
  <c r="K198" i="1"/>
  <c r="J198" i="1"/>
  <c r="H198" i="1"/>
  <c r="X197" i="1"/>
  <c r="W197" i="1"/>
  <c r="O197" i="1"/>
  <c r="R197" i="1" s="1"/>
  <c r="N197" i="1"/>
  <c r="M197" i="1"/>
  <c r="L197" i="1"/>
  <c r="K197" i="1"/>
  <c r="J197" i="1"/>
  <c r="H197" i="1"/>
  <c r="X196" i="1"/>
  <c r="W196" i="1"/>
  <c r="O196" i="1"/>
  <c r="R196" i="1" s="1"/>
  <c r="N196" i="1"/>
  <c r="M196" i="1"/>
  <c r="L196" i="1"/>
  <c r="K196" i="1"/>
  <c r="J196" i="1"/>
  <c r="H196" i="1"/>
  <c r="X195" i="1"/>
  <c r="W195" i="1"/>
  <c r="O195" i="1"/>
  <c r="R195" i="1" s="1"/>
  <c r="N195" i="1"/>
  <c r="M195" i="1"/>
  <c r="L195" i="1"/>
  <c r="K195" i="1"/>
  <c r="J195" i="1"/>
  <c r="H195" i="1"/>
  <c r="X194" i="1"/>
  <c r="W194" i="1"/>
  <c r="O194" i="1"/>
  <c r="R194" i="1" s="1"/>
  <c r="N194" i="1"/>
  <c r="M194" i="1"/>
  <c r="L194" i="1"/>
  <c r="K194" i="1"/>
  <c r="J194" i="1"/>
  <c r="H194" i="1"/>
  <c r="X193" i="1"/>
  <c r="W193" i="1"/>
  <c r="O193" i="1"/>
  <c r="R193" i="1" s="1"/>
  <c r="N193" i="1"/>
  <c r="M193" i="1"/>
  <c r="L193" i="1"/>
  <c r="K193" i="1"/>
  <c r="J193" i="1"/>
  <c r="I193" i="1"/>
  <c r="H193" i="1"/>
  <c r="X192" i="1"/>
  <c r="W192" i="1"/>
  <c r="O192" i="1"/>
  <c r="R192" i="1" s="1"/>
  <c r="N192" i="1"/>
  <c r="M192" i="1"/>
  <c r="L192" i="1"/>
  <c r="K192" i="1"/>
  <c r="J192" i="1"/>
  <c r="I192" i="1"/>
  <c r="H192" i="1"/>
  <c r="X191" i="1"/>
  <c r="W191" i="1"/>
  <c r="O191" i="1"/>
  <c r="R191" i="1" s="1"/>
  <c r="N191" i="1"/>
  <c r="M191" i="1"/>
  <c r="L191" i="1"/>
  <c r="K191" i="1"/>
  <c r="J191" i="1"/>
  <c r="I191" i="1"/>
  <c r="H191" i="1"/>
  <c r="X190" i="1"/>
  <c r="W190" i="1"/>
  <c r="O190" i="1"/>
  <c r="R190" i="1" s="1"/>
  <c r="N190" i="1"/>
  <c r="M190" i="1"/>
  <c r="L190" i="1"/>
  <c r="K190" i="1"/>
  <c r="J190" i="1"/>
  <c r="I190" i="1"/>
  <c r="H190" i="1"/>
  <c r="X189" i="1"/>
  <c r="W189" i="1"/>
  <c r="O189" i="1"/>
  <c r="R189" i="1" s="1"/>
  <c r="N189" i="1"/>
  <c r="M189" i="1"/>
  <c r="L189" i="1"/>
  <c r="K189" i="1"/>
  <c r="J189" i="1"/>
  <c r="I189" i="1"/>
  <c r="H189" i="1"/>
  <c r="X188" i="1"/>
  <c r="W188" i="1"/>
  <c r="O188" i="1"/>
  <c r="R188" i="1" s="1"/>
  <c r="N188" i="1"/>
  <c r="M188" i="1"/>
  <c r="L188" i="1"/>
  <c r="K188" i="1"/>
  <c r="J188" i="1"/>
  <c r="I188" i="1"/>
  <c r="H188" i="1"/>
  <c r="X187" i="1"/>
  <c r="W187" i="1"/>
  <c r="O187" i="1"/>
  <c r="R187" i="1" s="1"/>
  <c r="N187" i="1"/>
  <c r="M187" i="1"/>
  <c r="L187" i="1"/>
  <c r="K187" i="1"/>
  <c r="J187" i="1"/>
  <c r="I187" i="1"/>
  <c r="H187" i="1"/>
  <c r="X186" i="1"/>
  <c r="W186" i="1"/>
  <c r="O186" i="1"/>
  <c r="N186" i="1"/>
  <c r="M186" i="1"/>
  <c r="L186" i="1"/>
  <c r="K186" i="1"/>
  <c r="J186" i="1"/>
  <c r="I186" i="1"/>
  <c r="H186" i="1"/>
  <c r="X185" i="1"/>
  <c r="W185" i="1"/>
  <c r="O185" i="1"/>
  <c r="R185" i="1" s="1"/>
  <c r="N185" i="1"/>
  <c r="M185" i="1"/>
  <c r="L185" i="1"/>
  <c r="K185" i="1"/>
  <c r="J185" i="1"/>
  <c r="H185" i="1"/>
  <c r="X184" i="1"/>
  <c r="W184" i="1"/>
  <c r="O184" i="1"/>
  <c r="R184" i="1" s="1"/>
  <c r="N184" i="1"/>
  <c r="M184" i="1"/>
  <c r="L184" i="1"/>
  <c r="K184" i="1"/>
  <c r="J184" i="1"/>
  <c r="H184" i="1"/>
  <c r="X183" i="1"/>
  <c r="W183" i="1"/>
  <c r="O183" i="1"/>
  <c r="N183" i="1"/>
  <c r="M183" i="1"/>
  <c r="L183" i="1"/>
  <c r="K183" i="1"/>
  <c r="J183" i="1"/>
  <c r="H183" i="1"/>
  <c r="X182" i="1"/>
  <c r="W182" i="1"/>
  <c r="O182" i="1"/>
  <c r="R182" i="1" s="1"/>
  <c r="N182" i="1"/>
  <c r="M182" i="1"/>
  <c r="L182" i="1"/>
  <c r="K182" i="1"/>
  <c r="J182" i="1"/>
  <c r="H182" i="1"/>
  <c r="X181" i="1"/>
  <c r="W181" i="1"/>
  <c r="O181" i="1"/>
  <c r="R181" i="1" s="1"/>
  <c r="N181" i="1"/>
  <c r="M181" i="1"/>
  <c r="L181" i="1"/>
  <c r="K181" i="1"/>
  <c r="J181" i="1"/>
  <c r="H181" i="1"/>
  <c r="X180" i="1"/>
  <c r="W180" i="1"/>
  <c r="O180" i="1"/>
  <c r="R180" i="1" s="1"/>
  <c r="N180" i="1"/>
  <c r="M180" i="1"/>
  <c r="L180" i="1"/>
  <c r="K180" i="1"/>
  <c r="J180" i="1"/>
  <c r="H180" i="1"/>
  <c r="X179" i="1"/>
  <c r="W179" i="1"/>
  <c r="O179" i="1"/>
  <c r="P179" i="1" s="1"/>
  <c r="N179" i="1"/>
  <c r="M179" i="1"/>
  <c r="L179" i="1"/>
  <c r="K179" i="1"/>
  <c r="J179" i="1"/>
  <c r="H179" i="1"/>
  <c r="X178" i="1"/>
  <c r="W178" i="1"/>
  <c r="O178" i="1"/>
  <c r="R178" i="1" s="1"/>
  <c r="N178" i="1"/>
  <c r="M178" i="1"/>
  <c r="L178" i="1"/>
  <c r="K178" i="1"/>
  <c r="J178" i="1"/>
  <c r="H178" i="1"/>
  <c r="X177" i="1"/>
  <c r="W177" i="1"/>
  <c r="O177" i="1"/>
  <c r="R177" i="1" s="1"/>
  <c r="N177" i="1"/>
  <c r="M177" i="1"/>
  <c r="L177" i="1"/>
  <c r="K177" i="1"/>
  <c r="J177" i="1"/>
  <c r="H177" i="1"/>
  <c r="X176" i="1"/>
  <c r="W176" i="1"/>
  <c r="O176" i="1"/>
  <c r="R176" i="1" s="1"/>
  <c r="N176" i="1"/>
  <c r="M176" i="1"/>
  <c r="L176" i="1"/>
  <c r="K176" i="1"/>
  <c r="J176" i="1"/>
  <c r="H176" i="1"/>
  <c r="X175" i="1"/>
  <c r="W175" i="1"/>
  <c r="O175" i="1"/>
  <c r="R175" i="1" s="1"/>
  <c r="N175" i="1"/>
  <c r="M175" i="1"/>
  <c r="L175" i="1"/>
  <c r="K175" i="1"/>
  <c r="J175" i="1"/>
  <c r="H175" i="1"/>
  <c r="X174" i="1"/>
  <c r="W174" i="1"/>
  <c r="O174" i="1"/>
  <c r="R174" i="1" s="1"/>
  <c r="N174" i="1"/>
  <c r="M174" i="1"/>
  <c r="L174" i="1"/>
  <c r="K174" i="1"/>
  <c r="J174" i="1"/>
  <c r="H174" i="1"/>
  <c r="X173" i="1"/>
  <c r="W173" i="1"/>
  <c r="O173" i="1"/>
  <c r="R173" i="1" s="1"/>
  <c r="N173" i="1"/>
  <c r="M173" i="1"/>
  <c r="L173" i="1"/>
  <c r="K173" i="1"/>
  <c r="J173" i="1"/>
  <c r="H173" i="1"/>
  <c r="X172" i="1"/>
  <c r="W172" i="1"/>
  <c r="O172" i="1"/>
  <c r="R172" i="1" s="1"/>
  <c r="N172" i="1"/>
  <c r="M172" i="1"/>
  <c r="L172" i="1"/>
  <c r="K172" i="1"/>
  <c r="J172" i="1"/>
  <c r="H172" i="1"/>
  <c r="X171" i="1"/>
  <c r="W171" i="1"/>
  <c r="N171" i="1"/>
  <c r="M171" i="1"/>
  <c r="L171" i="1"/>
  <c r="K171" i="1"/>
  <c r="J171" i="1"/>
  <c r="I171" i="1"/>
  <c r="H171" i="1"/>
  <c r="O171" i="1" s="1"/>
  <c r="R171" i="1" s="1"/>
  <c r="X170" i="1"/>
  <c r="W170" i="1"/>
  <c r="N170" i="1"/>
  <c r="M170" i="1"/>
  <c r="L170" i="1"/>
  <c r="K170" i="1"/>
  <c r="J170" i="1"/>
  <c r="I170" i="1"/>
  <c r="H170" i="1"/>
  <c r="O170" i="1" s="1"/>
  <c r="R170" i="1" s="1"/>
  <c r="X169" i="1"/>
  <c r="W169" i="1"/>
  <c r="N169" i="1"/>
  <c r="M169" i="1"/>
  <c r="L169" i="1"/>
  <c r="K169" i="1"/>
  <c r="J169" i="1"/>
  <c r="I169" i="1"/>
  <c r="H169" i="1"/>
  <c r="O169" i="1" s="1"/>
  <c r="R169" i="1" s="1"/>
  <c r="X168" i="1"/>
  <c r="W168" i="1"/>
  <c r="N168" i="1"/>
  <c r="M168" i="1"/>
  <c r="L168" i="1"/>
  <c r="K168" i="1"/>
  <c r="J168" i="1"/>
  <c r="I168" i="1"/>
  <c r="H168" i="1"/>
  <c r="O168" i="1" s="1"/>
  <c r="R168" i="1" s="1"/>
  <c r="X167" i="1"/>
  <c r="W167" i="1"/>
  <c r="N167" i="1"/>
  <c r="M167" i="1"/>
  <c r="L167" i="1"/>
  <c r="K167" i="1"/>
  <c r="J167" i="1"/>
  <c r="I167" i="1"/>
  <c r="H167" i="1"/>
  <c r="O167" i="1" s="1"/>
  <c r="R167" i="1" s="1"/>
  <c r="X166" i="1"/>
  <c r="W166" i="1"/>
  <c r="N166" i="1"/>
  <c r="M166" i="1"/>
  <c r="L166" i="1"/>
  <c r="K166" i="1"/>
  <c r="J166" i="1"/>
  <c r="I166" i="1"/>
  <c r="H166" i="1"/>
  <c r="O166" i="1" s="1"/>
  <c r="R166" i="1" s="1"/>
  <c r="X165" i="1"/>
  <c r="W165" i="1"/>
  <c r="N165" i="1"/>
  <c r="M165" i="1"/>
  <c r="L165" i="1"/>
  <c r="K165" i="1"/>
  <c r="J165" i="1"/>
  <c r="I165" i="1"/>
  <c r="H165" i="1"/>
  <c r="O165" i="1" s="1"/>
  <c r="R165" i="1" s="1"/>
  <c r="X164" i="1"/>
  <c r="W164" i="1"/>
  <c r="N164" i="1"/>
  <c r="M164" i="1"/>
  <c r="L164" i="1"/>
  <c r="K164" i="1"/>
  <c r="J164" i="1"/>
  <c r="I164" i="1"/>
  <c r="H164" i="1"/>
  <c r="O164" i="1" s="1"/>
  <c r="R164" i="1" s="1"/>
  <c r="X163" i="1"/>
  <c r="W163" i="1"/>
  <c r="N163" i="1"/>
  <c r="M163" i="1"/>
  <c r="L163" i="1"/>
  <c r="K163" i="1"/>
  <c r="J163" i="1"/>
  <c r="I163" i="1"/>
  <c r="H163" i="1"/>
  <c r="O163" i="1" s="1"/>
  <c r="R163" i="1" s="1"/>
  <c r="X162" i="1"/>
  <c r="W162" i="1"/>
  <c r="N162" i="1"/>
  <c r="M162" i="1"/>
  <c r="L162" i="1"/>
  <c r="K162" i="1"/>
  <c r="J162" i="1"/>
  <c r="I162" i="1"/>
  <c r="H162" i="1"/>
  <c r="O162" i="1" s="1"/>
  <c r="R162" i="1" s="1"/>
  <c r="X161" i="1"/>
  <c r="W161" i="1"/>
  <c r="N161" i="1"/>
  <c r="M161" i="1"/>
  <c r="L161" i="1"/>
  <c r="K161" i="1"/>
  <c r="J161" i="1"/>
  <c r="I161" i="1"/>
  <c r="H161" i="1"/>
  <c r="O161" i="1" s="1"/>
  <c r="R161" i="1" s="1"/>
  <c r="X160" i="1"/>
  <c r="W160" i="1"/>
  <c r="N160" i="1"/>
  <c r="M160" i="1"/>
  <c r="L160" i="1"/>
  <c r="K160" i="1"/>
  <c r="J160" i="1"/>
  <c r="I160" i="1"/>
  <c r="H160" i="1"/>
  <c r="O160" i="1" s="1"/>
  <c r="R160" i="1" s="1"/>
  <c r="X159" i="1"/>
  <c r="W159" i="1"/>
  <c r="N159" i="1"/>
  <c r="M159" i="1"/>
  <c r="L159" i="1"/>
  <c r="K159" i="1"/>
  <c r="J159" i="1"/>
  <c r="I159" i="1"/>
  <c r="H159" i="1"/>
  <c r="O159" i="1" s="1"/>
  <c r="R159" i="1" s="1"/>
  <c r="X158" i="1"/>
  <c r="W158" i="1"/>
  <c r="N158" i="1"/>
  <c r="M158" i="1"/>
  <c r="L158" i="1"/>
  <c r="K158" i="1"/>
  <c r="J158" i="1"/>
  <c r="I158" i="1"/>
  <c r="H158" i="1"/>
  <c r="O158" i="1" s="1"/>
  <c r="R158" i="1" s="1"/>
  <c r="X157" i="1"/>
  <c r="W157" i="1"/>
  <c r="N157" i="1"/>
  <c r="M157" i="1"/>
  <c r="L157" i="1"/>
  <c r="K157" i="1"/>
  <c r="J157" i="1"/>
  <c r="I157" i="1"/>
  <c r="H157" i="1"/>
  <c r="O157" i="1" s="1"/>
  <c r="R157" i="1" s="1"/>
  <c r="X156" i="1"/>
  <c r="W156" i="1"/>
  <c r="N156" i="1"/>
  <c r="M156" i="1"/>
  <c r="L156" i="1"/>
  <c r="K156" i="1"/>
  <c r="J156" i="1"/>
  <c r="I156" i="1"/>
  <c r="H156" i="1"/>
  <c r="O156" i="1" s="1"/>
  <c r="R156" i="1" s="1"/>
  <c r="X155" i="1"/>
  <c r="W155" i="1"/>
  <c r="N155" i="1"/>
  <c r="M155" i="1"/>
  <c r="L155" i="1"/>
  <c r="K155" i="1"/>
  <c r="J155" i="1"/>
  <c r="I155" i="1"/>
  <c r="H155" i="1"/>
  <c r="O155" i="1" s="1"/>
  <c r="X154" i="1"/>
  <c r="W154" i="1"/>
  <c r="N154" i="1"/>
  <c r="M154" i="1"/>
  <c r="L154" i="1"/>
  <c r="K154" i="1"/>
  <c r="J154" i="1"/>
  <c r="I154" i="1"/>
  <c r="H154" i="1"/>
  <c r="O154" i="1" s="1"/>
  <c r="R154" i="1" s="1"/>
  <c r="X153" i="1"/>
  <c r="W153" i="1"/>
  <c r="M153" i="1"/>
  <c r="I153" i="1"/>
  <c r="H153" i="1"/>
  <c r="O153" i="1" s="1"/>
  <c r="X152" i="1"/>
  <c r="W152" i="1"/>
  <c r="O152" i="1"/>
  <c r="R152" i="1" s="1"/>
  <c r="N152" i="1"/>
  <c r="M152" i="1"/>
  <c r="L152" i="1"/>
  <c r="K152" i="1"/>
  <c r="J152" i="1"/>
  <c r="H152" i="1"/>
  <c r="X151" i="1"/>
  <c r="W151" i="1"/>
  <c r="O151" i="1"/>
  <c r="R151" i="1" s="1"/>
  <c r="N151" i="1"/>
  <c r="M151" i="1"/>
  <c r="L151" i="1"/>
  <c r="K151" i="1"/>
  <c r="J151" i="1"/>
  <c r="H151" i="1"/>
  <c r="X150" i="1"/>
  <c r="W150" i="1"/>
  <c r="O150" i="1"/>
  <c r="R150" i="1" s="1"/>
  <c r="N150" i="1"/>
  <c r="M150" i="1"/>
  <c r="L150" i="1"/>
  <c r="K150" i="1"/>
  <c r="J150" i="1"/>
  <c r="H150" i="1"/>
  <c r="X149" i="1"/>
  <c r="W149" i="1"/>
  <c r="O149" i="1"/>
  <c r="N149" i="1"/>
  <c r="M149" i="1"/>
  <c r="L149" i="1"/>
  <c r="K149" i="1"/>
  <c r="J149" i="1"/>
  <c r="H149" i="1"/>
  <c r="X148" i="1"/>
  <c r="W148" i="1"/>
  <c r="O148" i="1"/>
  <c r="R148" i="1" s="1"/>
  <c r="N148" i="1"/>
  <c r="M148" i="1"/>
  <c r="L148" i="1"/>
  <c r="K148" i="1"/>
  <c r="J148" i="1"/>
  <c r="H148" i="1"/>
  <c r="X147" i="1"/>
  <c r="W147" i="1"/>
  <c r="N147" i="1"/>
  <c r="M147" i="1"/>
  <c r="L147" i="1"/>
  <c r="K147" i="1"/>
  <c r="J147" i="1"/>
  <c r="H147" i="1"/>
  <c r="O147" i="1" s="1"/>
  <c r="R147" i="1" s="1"/>
  <c r="X146" i="1"/>
  <c r="W146" i="1"/>
  <c r="N146" i="1"/>
  <c r="M146" i="1"/>
  <c r="L146" i="1"/>
  <c r="K146" i="1"/>
  <c r="J146" i="1"/>
  <c r="H146" i="1"/>
  <c r="O146" i="1" s="1"/>
  <c r="R146" i="1" s="1"/>
  <c r="X145" i="1"/>
  <c r="W145" i="1"/>
  <c r="N145" i="1"/>
  <c r="M145" i="1"/>
  <c r="L145" i="1"/>
  <c r="K145" i="1"/>
  <c r="J145" i="1"/>
  <c r="H145" i="1"/>
  <c r="O145" i="1" s="1"/>
  <c r="R145" i="1" s="1"/>
  <c r="X144" i="1"/>
  <c r="W144" i="1"/>
  <c r="N144" i="1"/>
  <c r="M144" i="1"/>
  <c r="L144" i="1"/>
  <c r="K144" i="1"/>
  <c r="J144" i="1"/>
  <c r="H144" i="1"/>
  <c r="O144" i="1" s="1"/>
  <c r="R144" i="1" s="1"/>
  <c r="X143" i="1"/>
  <c r="W143" i="1"/>
  <c r="N143" i="1"/>
  <c r="M143" i="1"/>
  <c r="L143" i="1"/>
  <c r="K143" i="1"/>
  <c r="J143" i="1"/>
  <c r="H143" i="1"/>
  <c r="O143" i="1" s="1"/>
  <c r="R143" i="1" s="1"/>
  <c r="X142" i="1"/>
  <c r="W142" i="1"/>
  <c r="N142" i="1"/>
  <c r="M142" i="1"/>
  <c r="L142" i="1"/>
  <c r="K142" i="1"/>
  <c r="J142" i="1"/>
  <c r="H142" i="1"/>
  <c r="O142" i="1" s="1"/>
  <c r="R142" i="1" s="1"/>
  <c r="X141" i="1"/>
  <c r="W141" i="1"/>
  <c r="N141" i="1"/>
  <c r="M141" i="1"/>
  <c r="L141" i="1"/>
  <c r="K141" i="1"/>
  <c r="J141" i="1"/>
  <c r="H141" i="1"/>
  <c r="O141" i="1" s="1"/>
  <c r="R141" i="1" s="1"/>
  <c r="X140" i="1"/>
  <c r="W140" i="1"/>
  <c r="N140" i="1"/>
  <c r="M140" i="1"/>
  <c r="L140" i="1"/>
  <c r="K140" i="1"/>
  <c r="J140" i="1"/>
  <c r="H140" i="1"/>
  <c r="O140" i="1" s="1"/>
  <c r="R140" i="1" s="1"/>
  <c r="X139" i="1"/>
  <c r="W139" i="1"/>
  <c r="N139" i="1"/>
  <c r="M139" i="1"/>
  <c r="L139" i="1"/>
  <c r="K139" i="1"/>
  <c r="J139" i="1"/>
  <c r="H139" i="1"/>
  <c r="O139" i="1" s="1"/>
  <c r="R139" i="1" s="1"/>
  <c r="X138" i="1"/>
  <c r="W138" i="1"/>
  <c r="N138" i="1"/>
  <c r="M138" i="1"/>
  <c r="L138" i="1"/>
  <c r="K138" i="1"/>
  <c r="J138" i="1"/>
  <c r="I138" i="1"/>
  <c r="H138" i="1"/>
  <c r="O138" i="1" s="1"/>
  <c r="R138" i="1" s="1"/>
  <c r="X137" i="1"/>
  <c r="W137" i="1"/>
  <c r="N137" i="1"/>
  <c r="M137" i="1"/>
  <c r="L137" i="1"/>
  <c r="K137" i="1"/>
  <c r="J137" i="1"/>
  <c r="I137" i="1"/>
  <c r="H137" i="1"/>
  <c r="O137" i="1" s="1"/>
  <c r="R137" i="1" s="1"/>
  <c r="X136" i="1"/>
  <c r="W136" i="1"/>
  <c r="N136" i="1"/>
  <c r="M136" i="1"/>
  <c r="L136" i="1"/>
  <c r="K136" i="1"/>
  <c r="J136" i="1"/>
  <c r="I136" i="1"/>
  <c r="H136" i="1"/>
  <c r="O136" i="1" s="1"/>
  <c r="R136" i="1" s="1"/>
  <c r="X135" i="1"/>
  <c r="W135" i="1"/>
  <c r="N135" i="1"/>
  <c r="M135" i="1"/>
  <c r="L135" i="1"/>
  <c r="K135" i="1"/>
  <c r="J135" i="1"/>
  <c r="I135" i="1"/>
  <c r="H135" i="1"/>
  <c r="O135" i="1" s="1"/>
  <c r="R135" i="1" s="1"/>
  <c r="X134" i="1"/>
  <c r="W134" i="1"/>
  <c r="N134" i="1"/>
  <c r="M134" i="1"/>
  <c r="L134" i="1"/>
  <c r="K134" i="1"/>
  <c r="J134" i="1"/>
  <c r="I134" i="1"/>
  <c r="H134" i="1"/>
  <c r="O134" i="1" s="1"/>
  <c r="R134" i="1" s="1"/>
  <c r="X133" i="1"/>
  <c r="W133" i="1"/>
  <c r="N133" i="1"/>
  <c r="M133" i="1"/>
  <c r="L133" i="1"/>
  <c r="K133" i="1"/>
  <c r="J133" i="1"/>
  <c r="I133" i="1"/>
  <c r="H133" i="1"/>
  <c r="O133" i="1" s="1"/>
  <c r="R133" i="1" s="1"/>
  <c r="X132" i="1"/>
  <c r="W132" i="1"/>
  <c r="N132" i="1"/>
  <c r="M132" i="1"/>
  <c r="L132" i="1"/>
  <c r="K132" i="1"/>
  <c r="J132" i="1"/>
  <c r="I132" i="1"/>
  <c r="H132" i="1"/>
  <c r="O132" i="1" s="1"/>
  <c r="R132" i="1" s="1"/>
  <c r="X131" i="1"/>
  <c r="W131" i="1"/>
  <c r="N131" i="1"/>
  <c r="M131" i="1"/>
  <c r="L131" i="1"/>
  <c r="K131" i="1"/>
  <c r="J131" i="1"/>
  <c r="I131" i="1"/>
  <c r="H131" i="1"/>
  <c r="O131" i="1" s="1"/>
  <c r="R131" i="1" s="1"/>
  <c r="X130" i="1"/>
  <c r="W130" i="1"/>
  <c r="N130" i="1"/>
  <c r="M130" i="1"/>
  <c r="L130" i="1"/>
  <c r="K130" i="1"/>
  <c r="J130" i="1"/>
  <c r="I130" i="1"/>
  <c r="H130" i="1"/>
  <c r="O130" i="1" s="1"/>
  <c r="R130" i="1" s="1"/>
  <c r="X129" i="1"/>
  <c r="W129" i="1"/>
  <c r="N129" i="1"/>
  <c r="M129" i="1"/>
  <c r="L129" i="1"/>
  <c r="K129" i="1"/>
  <c r="J129" i="1"/>
  <c r="I129" i="1"/>
  <c r="H129" i="1"/>
  <c r="O129" i="1" s="1"/>
  <c r="R129" i="1" s="1"/>
  <c r="X128" i="1"/>
  <c r="W128" i="1"/>
  <c r="N128" i="1"/>
  <c r="M128" i="1"/>
  <c r="L128" i="1"/>
  <c r="K128" i="1"/>
  <c r="J128" i="1"/>
  <c r="I128" i="1"/>
  <c r="H128" i="1"/>
  <c r="O128" i="1" s="1"/>
  <c r="R128" i="1" s="1"/>
  <c r="X127" i="1"/>
  <c r="W127" i="1"/>
  <c r="N127" i="1"/>
  <c r="M127" i="1"/>
  <c r="L127" i="1"/>
  <c r="K127" i="1"/>
  <c r="J127" i="1"/>
  <c r="I127" i="1"/>
  <c r="H127" i="1"/>
  <c r="O127" i="1" s="1"/>
  <c r="R127" i="1" s="1"/>
  <c r="X126" i="1"/>
  <c r="W126" i="1"/>
  <c r="N126" i="1"/>
  <c r="M126" i="1"/>
  <c r="L126" i="1"/>
  <c r="K126" i="1"/>
  <c r="J126" i="1"/>
  <c r="I126" i="1"/>
  <c r="H126" i="1"/>
  <c r="O126" i="1" s="1"/>
  <c r="R126" i="1" s="1"/>
  <c r="X125" i="1"/>
  <c r="W125" i="1"/>
  <c r="N125" i="1"/>
  <c r="M125" i="1"/>
  <c r="L125" i="1"/>
  <c r="K125" i="1"/>
  <c r="J125" i="1"/>
  <c r="I125" i="1"/>
  <c r="H125" i="1"/>
  <c r="O125" i="1" s="1"/>
  <c r="R125" i="1" s="1"/>
  <c r="X124" i="1"/>
  <c r="W124" i="1"/>
  <c r="N124" i="1"/>
  <c r="M124" i="1"/>
  <c r="L124" i="1"/>
  <c r="K124" i="1"/>
  <c r="J124" i="1"/>
  <c r="I124" i="1"/>
  <c r="H124" i="1"/>
  <c r="O124" i="1" s="1"/>
  <c r="R124" i="1" s="1"/>
  <c r="X123" i="1"/>
  <c r="W123" i="1"/>
  <c r="N123" i="1"/>
  <c r="M123" i="1"/>
  <c r="L123" i="1"/>
  <c r="K123" i="1"/>
  <c r="J123" i="1"/>
  <c r="I123" i="1"/>
  <c r="H123" i="1"/>
  <c r="O123" i="1" s="1"/>
  <c r="R123" i="1" s="1"/>
  <c r="X122" i="1"/>
  <c r="W122" i="1"/>
  <c r="N122" i="1"/>
  <c r="M122" i="1"/>
  <c r="L122" i="1"/>
  <c r="K122" i="1"/>
  <c r="J122" i="1"/>
  <c r="I122" i="1"/>
  <c r="H122" i="1"/>
  <c r="O122" i="1" s="1"/>
  <c r="R122" i="1" s="1"/>
  <c r="X121" i="1"/>
  <c r="W121" i="1"/>
  <c r="N121" i="1"/>
  <c r="M121" i="1"/>
  <c r="L121" i="1"/>
  <c r="K121" i="1"/>
  <c r="J121" i="1"/>
  <c r="I121" i="1"/>
  <c r="H121" i="1"/>
  <c r="O121" i="1" s="1"/>
  <c r="R121" i="1" s="1"/>
  <c r="X120" i="1"/>
  <c r="W120" i="1"/>
  <c r="N120" i="1"/>
  <c r="M120" i="1"/>
  <c r="L120" i="1"/>
  <c r="K120" i="1"/>
  <c r="J120" i="1"/>
  <c r="I120" i="1"/>
  <c r="H120" i="1"/>
  <c r="O120" i="1" s="1"/>
  <c r="R120" i="1" s="1"/>
  <c r="X119" i="1"/>
  <c r="W119" i="1"/>
  <c r="N119" i="1"/>
  <c r="M119" i="1"/>
  <c r="L119" i="1"/>
  <c r="K119" i="1"/>
  <c r="J119" i="1"/>
  <c r="I119" i="1"/>
  <c r="H119" i="1"/>
  <c r="O119" i="1" s="1"/>
  <c r="R119" i="1" s="1"/>
  <c r="X118" i="1"/>
  <c r="W118" i="1"/>
  <c r="N118" i="1"/>
  <c r="M118" i="1"/>
  <c r="L118" i="1"/>
  <c r="K118" i="1"/>
  <c r="J118" i="1"/>
  <c r="I118" i="1"/>
  <c r="H118" i="1"/>
  <c r="O118" i="1" s="1"/>
  <c r="R118" i="1" s="1"/>
  <c r="X117" i="1"/>
  <c r="W117" i="1"/>
  <c r="N117" i="1"/>
  <c r="M117" i="1"/>
  <c r="L117" i="1"/>
  <c r="K117" i="1"/>
  <c r="J117" i="1"/>
  <c r="I117" i="1"/>
  <c r="H117" i="1"/>
  <c r="O117" i="1" s="1"/>
  <c r="R117" i="1" s="1"/>
  <c r="X116" i="1"/>
  <c r="W116" i="1"/>
  <c r="N116" i="1"/>
  <c r="M116" i="1"/>
  <c r="L116" i="1"/>
  <c r="K116" i="1"/>
  <c r="J116" i="1"/>
  <c r="I116" i="1"/>
  <c r="H116" i="1"/>
  <c r="O116" i="1" s="1"/>
  <c r="R116" i="1" s="1"/>
  <c r="X115" i="1"/>
  <c r="W115" i="1"/>
  <c r="N115" i="1"/>
  <c r="M115" i="1"/>
  <c r="L115" i="1"/>
  <c r="K115" i="1"/>
  <c r="J115" i="1"/>
  <c r="I115" i="1"/>
  <c r="H115" i="1"/>
  <c r="O115" i="1" s="1"/>
  <c r="R115" i="1" s="1"/>
  <c r="X114" i="1"/>
  <c r="W114" i="1"/>
  <c r="N114" i="1"/>
  <c r="M114" i="1"/>
  <c r="L114" i="1"/>
  <c r="K114" i="1"/>
  <c r="J114" i="1"/>
  <c r="I114" i="1"/>
  <c r="H114" i="1"/>
  <c r="O114" i="1" s="1"/>
  <c r="R114" i="1" s="1"/>
  <c r="X113" i="1"/>
  <c r="W113" i="1"/>
  <c r="N113" i="1"/>
  <c r="M113" i="1"/>
  <c r="L113" i="1"/>
  <c r="K113" i="1"/>
  <c r="J113" i="1"/>
  <c r="I113" i="1"/>
  <c r="H113" i="1"/>
  <c r="O113" i="1" s="1"/>
  <c r="R113" i="1" s="1"/>
  <c r="X112" i="1"/>
  <c r="W112" i="1"/>
  <c r="N112" i="1"/>
  <c r="M112" i="1"/>
  <c r="L112" i="1"/>
  <c r="K112" i="1"/>
  <c r="J112" i="1"/>
  <c r="I112" i="1"/>
  <c r="H112" i="1"/>
  <c r="O112" i="1" s="1"/>
  <c r="R112" i="1" s="1"/>
  <c r="X111" i="1"/>
  <c r="W111" i="1"/>
  <c r="N111" i="1"/>
  <c r="M111" i="1"/>
  <c r="L111" i="1"/>
  <c r="K111" i="1"/>
  <c r="J111" i="1"/>
  <c r="I111" i="1"/>
  <c r="H111" i="1"/>
  <c r="O111" i="1" s="1"/>
  <c r="R111" i="1" s="1"/>
  <c r="X110" i="1"/>
  <c r="W110" i="1"/>
  <c r="N110" i="1"/>
  <c r="M110" i="1"/>
  <c r="L110" i="1"/>
  <c r="K110" i="1"/>
  <c r="J110" i="1"/>
  <c r="I110" i="1"/>
  <c r="H110" i="1"/>
  <c r="O110" i="1" s="1"/>
  <c r="R110" i="1" s="1"/>
  <c r="X109" i="1"/>
  <c r="W109" i="1"/>
  <c r="N109" i="1"/>
  <c r="M109" i="1"/>
  <c r="L109" i="1"/>
  <c r="K109" i="1"/>
  <c r="J109" i="1"/>
  <c r="I109" i="1"/>
  <c r="H109" i="1"/>
  <c r="O109" i="1" s="1"/>
  <c r="R109" i="1" s="1"/>
  <c r="X108" i="1"/>
  <c r="W108" i="1"/>
  <c r="N108" i="1"/>
  <c r="M108" i="1"/>
  <c r="L108" i="1"/>
  <c r="K108" i="1"/>
  <c r="J108" i="1"/>
  <c r="I108" i="1"/>
  <c r="H108" i="1"/>
  <c r="O108" i="1" s="1"/>
  <c r="R108" i="1" s="1"/>
  <c r="X107" i="1"/>
  <c r="W107" i="1"/>
  <c r="N107" i="1"/>
  <c r="M107" i="1"/>
  <c r="L107" i="1"/>
  <c r="K107" i="1"/>
  <c r="J107" i="1"/>
  <c r="I107" i="1"/>
  <c r="H107" i="1"/>
  <c r="O107" i="1" s="1"/>
  <c r="R107" i="1" s="1"/>
  <c r="X106" i="1"/>
  <c r="W106" i="1"/>
  <c r="N106" i="1"/>
  <c r="M106" i="1"/>
  <c r="L106" i="1"/>
  <c r="K106" i="1"/>
  <c r="J106" i="1"/>
  <c r="I106" i="1"/>
  <c r="H106" i="1"/>
  <c r="O106" i="1" s="1"/>
  <c r="R106" i="1" s="1"/>
  <c r="X105" i="1"/>
  <c r="W105" i="1"/>
  <c r="N105" i="1"/>
  <c r="M105" i="1"/>
  <c r="L105" i="1"/>
  <c r="K105" i="1"/>
  <c r="J105" i="1"/>
  <c r="I105" i="1"/>
  <c r="H105" i="1"/>
  <c r="O105" i="1" s="1"/>
  <c r="R105" i="1" s="1"/>
  <c r="X104" i="1"/>
  <c r="W104" i="1"/>
  <c r="N104" i="1"/>
  <c r="M104" i="1"/>
  <c r="L104" i="1"/>
  <c r="K104" i="1"/>
  <c r="J104" i="1"/>
  <c r="I104" i="1"/>
  <c r="H104" i="1"/>
  <c r="O104" i="1" s="1"/>
  <c r="R104" i="1" s="1"/>
  <c r="X103" i="1"/>
  <c r="W103" i="1"/>
  <c r="N103" i="1"/>
  <c r="M103" i="1"/>
  <c r="L103" i="1"/>
  <c r="K103" i="1"/>
  <c r="J103" i="1"/>
  <c r="I103" i="1"/>
  <c r="H103" i="1"/>
  <c r="O103" i="1" s="1"/>
  <c r="R103" i="1" s="1"/>
  <c r="X102" i="1"/>
  <c r="W102" i="1"/>
  <c r="N102" i="1"/>
  <c r="M102" i="1"/>
  <c r="L102" i="1"/>
  <c r="K102" i="1"/>
  <c r="J102" i="1"/>
  <c r="I102" i="1"/>
  <c r="H102" i="1"/>
  <c r="O102" i="1" s="1"/>
  <c r="R102" i="1" s="1"/>
  <c r="X101" i="1"/>
  <c r="W101" i="1"/>
  <c r="N101" i="1"/>
  <c r="M101" i="1"/>
  <c r="L101" i="1"/>
  <c r="K101" i="1"/>
  <c r="J101" i="1"/>
  <c r="I101" i="1"/>
  <c r="H101" i="1"/>
  <c r="O101" i="1" s="1"/>
  <c r="R101" i="1" s="1"/>
  <c r="X100" i="1"/>
  <c r="W100" i="1"/>
  <c r="N100" i="1"/>
  <c r="M100" i="1"/>
  <c r="L100" i="1"/>
  <c r="K100" i="1"/>
  <c r="J100" i="1"/>
  <c r="I100" i="1"/>
  <c r="H100" i="1"/>
  <c r="O100" i="1" s="1"/>
  <c r="R100" i="1" s="1"/>
  <c r="X99" i="1"/>
  <c r="W99" i="1"/>
  <c r="N99" i="1"/>
  <c r="M99" i="1"/>
  <c r="L99" i="1"/>
  <c r="K99" i="1"/>
  <c r="J99" i="1"/>
  <c r="I99" i="1"/>
  <c r="H99" i="1"/>
  <c r="O99" i="1" s="1"/>
  <c r="R99" i="1" s="1"/>
  <c r="X98" i="1"/>
  <c r="W98" i="1"/>
  <c r="N98" i="1"/>
  <c r="M98" i="1"/>
  <c r="L98" i="1"/>
  <c r="K98" i="1"/>
  <c r="J98" i="1"/>
  <c r="I98" i="1"/>
  <c r="H98" i="1"/>
  <c r="O98" i="1" s="1"/>
  <c r="R98" i="1" s="1"/>
  <c r="X97" i="1"/>
  <c r="W97" i="1"/>
  <c r="N97" i="1"/>
  <c r="M97" i="1"/>
  <c r="L97" i="1"/>
  <c r="K97" i="1"/>
  <c r="J97" i="1"/>
  <c r="I97" i="1"/>
  <c r="H97" i="1"/>
  <c r="O97" i="1" s="1"/>
  <c r="R97" i="1" s="1"/>
  <c r="X96" i="1"/>
  <c r="W96" i="1"/>
  <c r="N96" i="1"/>
  <c r="M96" i="1"/>
  <c r="L96" i="1"/>
  <c r="K96" i="1"/>
  <c r="J96" i="1"/>
  <c r="H96" i="1"/>
  <c r="O96" i="1" s="1"/>
  <c r="R96" i="1" s="1"/>
  <c r="X95" i="1"/>
  <c r="W95" i="1"/>
  <c r="N95" i="1"/>
  <c r="M95" i="1"/>
  <c r="L95" i="1"/>
  <c r="K95" i="1"/>
  <c r="J95" i="1"/>
  <c r="H95" i="1"/>
  <c r="O95" i="1" s="1"/>
  <c r="R95" i="1" s="1"/>
  <c r="X94" i="1"/>
  <c r="W94" i="1"/>
  <c r="N94" i="1"/>
  <c r="M94" i="1"/>
  <c r="L94" i="1"/>
  <c r="K94" i="1"/>
  <c r="J94" i="1"/>
  <c r="H94" i="1"/>
  <c r="O94" i="1" s="1"/>
  <c r="R94" i="1" s="1"/>
  <c r="X93" i="1"/>
  <c r="W93" i="1"/>
  <c r="N93" i="1"/>
  <c r="M93" i="1"/>
  <c r="L93" i="1"/>
  <c r="K93" i="1"/>
  <c r="J93" i="1"/>
  <c r="H93" i="1"/>
  <c r="O93" i="1" s="1"/>
  <c r="X92" i="1"/>
  <c r="W92" i="1"/>
  <c r="N92" i="1"/>
  <c r="M92" i="1"/>
  <c r="L92" i="1"/>
  <c r="K92" i="1"/>
  <c r="J92" i="1"/>
  <c r="H92" i="1"/>
  <c r="O92" i="1" s="1"/>
  <c r="X91" i="1"/>
  <c r="W91" i="1"/>
  <c r="N91" i="1"/>
  <c r="M91" i="1"/>
  <c r="L91" i="1"/>
  <c r="K91" i="1"/>
  <c r="J91" i="1"/>
  <c r="H91" i="1"/>
  <c r="O91" i="1" s="1"/>
  <c r="R91" i="1" s="1"/>
  <c r="X90" i="1"/>
  <c r="W90" i="1"/>
  <c r="N90" i="1"/>
  <c r="M90" i="1"/>
  <c r="L90" i="1"/>
  <c r="K90" i="1"/>
  <c r="J90" i="1"/>
  <c r="H90" i="1"/>
  <c r="O90" i="1" s="1"/>
  <c r="AA89" i="1"/>
  <c r="Z89" i="1"/>
  <c r="Y89" i="1"/>
  <c r="X89" i="1"/>
  <c r="W89" i="1"/>
  <c r="N89" i="1"/>
  <c r="M89" i="1"/>
  <c r="L89" i="1"/>
  <c r="K89" i="1"/>
  <c r="J89" i="1"/>
  <c r="H89" i="1"/>
  <c r="O89" i="1" s="1"/>
  <c r="R89" i="1" s="1"/>
  <c r="X88" i="1"/>
  <c r="W88" i="1"/>
  <c r="N88" i="1"/>
  <c r="M88" i="1"/>
  <c r="L88" i="1"/>
  <c r="K88" i="1"/>
  <c r="J88" i="1"/>
  <c r="H88" i="1"/>
  <c r="O88" i="1" s="1"/>
  <c r="R88" i="1" s="1"/>
  <c r="X87" i="1"/>
  <c r="W87" i="1"/>
  <c r="N87" i="1"/>
  <c r="M87" i="1"/>
  <c r="L87" i="1"/>
  <c r="K87" i="1"/>
  <c r="J87" i="1"/>
  <c r="H87" i="1"/>
  <c r="O87" i="1" s="1"/>
  <c r="R87" i="1" s="1"/>
  <c r="X86" i="1"/>
  <c r="W86" i="1"/>
  <c r="N86" i="1"/>
  <c r="M86" i="1"/>
  <c r="L86" i="1"/>
  <c r="K86" i="1"/>
  <c r="J86" i="1"/>
  <c r="H86" i="1"/>
  <c r="O86" i="1" s="1"/>
  <c r="R86" i="1" s="1"/>
  <c r="X85" i="1"/>
  <c r="W85" i="1"/>
  <c r="N85" i="1"/>
  <c r="M85" i="1"/>
  <c r="L85" i="1"/>
  <c r="K85" i="1"/>
  <c r="J85" i="1"/>
  <c r="H85" i="1"/>
  <c r="O85" i="1" s="1"/>
  <c r="R85" i="1" s="1"/>
  <c r="X84" i="1"/>
  <c r="W84" i="1"/>
  <c r="N84" i="1"/>
  <c r="M84" i="1"/>
  <c r="L84" i="1"/>
  <c r="K84" i="1"/>
  <c r="J84" i="1"/>
  <c r="H84" i="1"/>
  <c r="O84" i="1" s="1"/>
  <c r="R84" i="1" s="1"/>
  <c r="X83" i="1"/>
  <c r="W83" i="1"/>
  <c r="N83" i="1"/>
  <c r="M83" i="1"/>
  <c r="L83" i="1"/>
  <c r="K83" i="1"/>
  <c r="J83" i="1"/>
  <c r="H83" i="1"/>
  <c r="O83" i="1" s="1"/>
  <c r="R83" i="1" s="1"/>
  <c r="X82" i="1"/>
  <c r="W82" i="1"/>
  <c r="N82" i="1"/>
  <c r="M82" i="1"/>
  <c r="L82" i="1"/>
  <c r="K82" i="1"/>
  <c r="J82" i="1"/>
  <c r="H82" i="1"/>
  <c r="O82" i="1" s="1"/>
  <c r="R82" i="1" s="1"/>
  <c r="X81" i="1"/>
  <c r="W81" i="1"/>
  <c r="N81" i="1"/>
  <c r="M81" i="1"/>
  <c r="L81" i="1"/>
  <c r="K81" i="1"/>
  <c r="J81" i="1"/>
  <c r="H81" i="1"/>
  <c r="O81" i="1" s="1"/>
  <c r="R81" i="1" s="1"/>
  <c r="X80" i="1"/>
  <c r="W80" i="1"/>
  <c r="N80" i="1"/>
  <c r="M80" i="1"/>
  <c r="L80" i="1"/>
  <c r="K80" i="1"/>
  <c r="J80" i="1"/>
  <c r="I80" i="1"/>
  <c r="H80" i="1"/>
  <c r="O80" i="1" s="1"/>
  <c r="R80" i="1" s="1"/>
  <c r="X79" i="1"/>
  <c r="W79" i="1"/>
  <c r="N79" i="1"/>
  <c r="M79" i="1"/>
  <c r="L79" i="1"/>
  <c r="K79" i="1"/>
  <c r="J79" i="1"/>
  <c r="I79" i="1"/>
  <c r="H79" i="1"/>
  <c r="O79" i="1" s="1"/>
  <c r="R79" i="1" s="1"/>
  <c r="X78" i="1"/>
  <c r="W78" i="1"/>
  <c r="N78" i="1"/>
  <c r="M78" i="1"/>
  <c r="L78" i="1"/>
  <c r="K78" i="1"/>
  <c r="J78" i="1"/>
  <c r="I78" i="1"/>
  <c r="H78" i="1"/>
  <c r="O78" i="1" s="1"/>
  <c r="R78" i="1" s="1"/>
  <c r="X77" i="1"/>
  <c r="W77" i="1"/>
  <c r="N77" i="1"/>
  <c r="M77" i="1"/>
  <c r="L77" i="1"/>
  <c r="K77" i="1"/>
  <c r="J77" i="1"/>
  <c r="H77" i="1"/>
  <c r="O77" i="1" s="1"/>
  <c r="X76" i="1"/>
  <c r="W76" i="1"/>
  <c r="N76" i="1"/>
  <c r="M76" i="1"/>
  <c r="L76" i="1"/>
  <c r="K76" i="1"/>
  <c r="J76" i="1"/>
  <c r="H76" i="1"/>
  <c r="O76" i="1" s="1"/>
  <c r="R76" i="1" s="1"/>
  <c r="X75" i="1"/>
  <c r="W75" i="1"/>
  <c r="N75" i="1"/>
  <c r="M75" i="1"/>
  <c r="L75" i="1"/>
  <c r="K75" i="1"/>
  <c r="J75" i="1"/>
  <c r="I75" i="1"/>
  <c r="H75" i="1"/>
  <c r="O75" i="1" s="1"/>
  <c r="R75" i="1" s="1"/>
  <c r="X74" i="1"/>
  <c r="W74" i="1"/>
  <c r="N74" i="1"/>
  <c r="M74" i="1"/>
  <c r="L74" i="1"/>
  <c r="K74" i="1"/>
  <c r="J74" i="1"/>
  <c r="I74" i="1"/>
  <c r="H74" i="1"/>
  <c r="O74" i="1" s="1"/>
  <c r="R74" i="1" s="1"/>
  <c r="X73" i="1"/>
  <c r="W73" i="1"/>
  <c r="N73" i="1"/>
  <c r="M73" i="1"/>
  <c r="L73" i="1"/>
  <c r="K73" i="1"/>
  <c r="J73" i="1"/>
  <c r="I73" i="1"/>
  <c r="H73" i="1"/>
  <c r="O73" i="1" s="1"/>
  <c r="R73" i="1" s="1"/>
  <c r="X72" i="1"/>
  <c r="W72" i="1"/>
  <c r="N72" i="1"/>
  <c r="M72" i="1"/>
  <c r="L72" i="1"/>
  <c r="K72" i="1"/>
  <c r="J72" i="1"/>
  <c r="I72" i="1"/>
  <c r="H72" i="1"/>
  <c r="O72" i="1" s="1"/>
  <c r="R72" i="1" s="1"/>
  <c r="X71" i="1"/>
  <c r="W71" i="1"/>
  <c r="N71" i="1"/>
  <c r="M71" i="1"/>
  <c r="L71" i="1"/>
  <c r="K71" i="1"/>
  <c r="J71" i="1"/>
  <c r="I71" i="1"/>
  <c r="H71" i="1"/>
  <c r="O71" i="1" s="1"/>
  <c r="R71" i="1" s="1"/>
  <c r="X70" i="1"/>
  <c r="W70" i="1"/>
  <c r="N70" i="1"/>
  <c r="M70" i="1"/>
  <c r="L70" i="1"/>
  <c r="K70" i="1"/>
  <c r="J70" i="1"/>
  <c r="I70" i="1"/>
  <c r="H70" i="1"/>
  <c r="O70" i="1" s="1"/>
  <c r="R70" i="1" s="1"/>
  <c r="X69" i="1"/>
  <c r="W69" i="1"/>
  <c r="N69" i="1"/>
  <c r="M69" i="1"/>
  <c r="L69" i="1"/>
  <c r="K69" i="1"/>
  <c r="J69" i="1"/>
  <c r="I69" i="1"/>
  <c r="H69" i="1"/>
  <c r="O69" i="1" s="1"/>
  <c r="R69" i="1" s="1"/>
  <c r="X68" i="1"/>
  <c r="W68" i="1"/>
  <c r="N68" i="1"/>
  <c r="M68" i="1"/>
  <c r="L68" i="1"/>
  <c r="K68" i="1"/>
  <c r="J68" i="1"/>
  <c r="I68" i="1"/>
  <c r="H68" i="1"/>
  <c r="O68" i="1" s="1"/>
  <c r="R68" i="1" s="1"/>
  <c r="X67" i="1"/>
  <c r="W67" i="1"/>
  <c r="N67" i="1"/>
  <c r="M67" i="1"/>
  <c r="L67" i="1"/>
  <c r="K67" i="1"/>
  <c r="J67" i="1"/>
  <c r="I67" i="1"/>
  <c r="H67" i="1"/>
  <c r="O67" i="1" s="1"/>
  <c r="R67" i="1" s="1"/>
  <c r="X66" i="1"/>
  <c r="W66" i="1"/>
  <c r="N66" i="1"/>
  <c r="M66" i="1"/>
  <c r="L66" i="1"/>
  <c r="K66" i="1"/>
  <c r="J66" i="1"/>
  <c r="I66" i="1"/>
  <c r="H66" i="1"/>
  <c r="O66" i="1" s="1"/>
  <c r="R66" i="1" s="1"/>
  <c r="X65" i="1"/>
  <c r="W65" i="1"/>
  <c r="N65" i="1"/>
  <c r="M65" i="1"/>
  <c r="L65" i="1"/>
  <c r="K65" i="1"/>
  <c r="J65" i="1"/>
  <c r="I65" i="1"/>
  <c r="H65" i="1"/>
  <c r="O65" i="1" s="1"/>
  <c r="R65" i="1" s="1"/>
  <c r="X64" i="1"/>
  <c r="W64" i="1"/>
  <c r="N64" i="1"/>
  <c r="M64" i="1"/>
  <c r="L64" i="1"/>
  <c r="K64" i="1"/>
  <c r="J64" i="1"/>
  <c r="I64" i="1"/>
  <c r="H64" i="1"/>
  <c r="O64" i="1" s="1"/>
  <c r="R64" i="1" s="1"/>
  <c r="R63" i="1"/>
  <c r="I63" i="1"/>
  <c r="H63" i="1"/>
  <c r="R62" i="1"/>
  <c r="I62" i="1"/>
  <c r="H62" i="1"/>
  <c r="R61" i="1"/>
  <c r="I61" i="1"/>
  <c r="H61" i="1"/>
  <c r="R60" i="1"/>
  <c r="I60" i="1"/>
  <c r="H60" i="1"/>
  <c r="R59" i="1"/>
  <c r="I59" i="1"/>
  <c r="H59" i="1"/>
  <c r="R58" i="1"/>
  <c r="I58" i="1"/>
  <c r="H58" i="1"/>
  <c r="X57" i="1"/>
  <c r="W57" i="1"/>
  <c r="N57" i="1"/>
  <c r="M57" i="1"/>
  <c r="L57" i="1"/>
  <c r="K57" i="1"/>
  <c r="J57" i="1"/>
  <c r="H57" i="1"/>
  <c r="O57" i="1" s="1"/>
  <c r="X56" i="1"/>
  <c r="W56" i="1"/>
  <c r="N56" i="1"/>
  <c r="M56" i="1"/>
  <c r="L56" i="1"/>
  <c r="K56" i="1"/>
  <c r="J56" i="1"/>
  <c r="H56" i="1"/>
  <c r="O56" i="1" s="1"/>
  <c r="X55" i="1"/>
  <c r="W55" i="1"/>
  <c r="N55" i="1"/>
  <c r="M55" i="1"/>
  <c r="L55" i="1"/>
  <c r="K55" i="1"/>
  <c r="J55" i="1"/>
  <c r="H55" i="1"/>
  <c r="O55" i="1" s="1"/>
  <c r="R55" i="1" s="1"/>
  <c r="X54" i="1"/>
  <c r="W54" i="1"/>
  <c r="N54" i="1"/>
  <c r="M54" i="1"/>
  <c r="L54" i="1"/>
  <c r="K54" i="1"/>
  <c r="J54" i="1"/>
  <c r="H54" i="1"/>
  <c r="O54" i="1" s="1"/>
  <c r="R54" i="1" s="1"/>
  <c r="X53" i="1"/>
  <c r="W53" i="1"/>
  <c r="N53" i="1"/>
  <c r="M53" i="1"/>
  <c r="L53" i="1"/>
  <c r="K53" i="1"/>
  <c r="J53" i="1"/>
  <c r="H53" i="1"/>
  <c r="O53" i="1" s="1"/>
  <c r="R53" i="1" s="1"/>
  <c r="X52" i="1"/>
  <c r="W52" i="1"/>
  <c r="N52" i="1"/>
  <c r="M52" i="1"/>
  <c r="L52" i="1"/>
  <c r="K52" i="1"/>
  <c r="J52" i="1"/>
  <c r="H52" i="1"/>
  <c r="O52" i="1" s="1"/>
  <c r="R52" i="1" s="1"/>
  <c r="X51" i="1"/>
  <c r="W51" i="1"/>
  <c r="N51" i="1"/>
  <c r="M51" i="1"/>
  <c r="L51" i="1"/>
  <c r="K51" i="1"/>
  <c r="J51" i="1"/>
  <c r="H51" i="1"/>
  <c r="O51" i="1" s="1"/>
  <c r="R51" i="1" s="1"/>
  <c r="X50" i="1"/>
  <c r="W50" i="1"/>
  <c r="N50" i="1"/>
  <c r="M50" i="1"/>
  <c r="L50" i="1"/>
  <c r="K50" i="1"/>
  <c r="J50" i="1"/>
  <c r="H50" i="1"/>
  <c r="O50" i="1" s="1"/>
  <c r="R50" i="1" s="1"/>
  <c r="X49" i="1"/>
  <c r="W49" i="1"/>
  <c r="N49" i="1"/>
  <c r="M49" i="1"/>
  <c r="L49" i="1"/>
  <c r="K49" i="1"/>
  <c r="J49" i="1"/>
  <c r="H49" i="1"/>
  <c r="O49" i="1" s="1"/>
  <c r="R49" i="1" s="1"/>
  <c r="X48" i="1"/>
  <c r="W48" i="1"/>
  <c r="N48" i="1"/>
  <c r="M48" i="1"/>
  <c r="L48" i="1"/>
  <c r="K48" i="1"/>
  <c r="J48" i="1"/>
  <c r="H48" i="1"/>
  <c r="O48" i="1" s="1"/>
  <c r="R48" i="1" s="1"/>
  <c r="X47" i="1"/>
  <c r="W47" i="1"/>
  <c r="N47" i="1"/>
  <c r="M47" i="1"/>
  <c r="L47" i="1"/>
  <c r="K47" i="1"/>
  <c r="J47" i="1"/>
  <c r="H47" i="1"/>
  <c r="O47" i="1" s="1"/>
  <c r="R47" i="1" s="1"/>
  <c r="X46" i="1"/>
  <c r="W46" i="1"/>
  <c r="N46" i="1"/>
  <c r="M46" i="1"/>
  <c r="L46" i="1"/>
  <c r="K46" i="1"/>
  <c r="J46" i="1"/>
  <c r="H46" i="1"/>
  <c r="O46" i="1" s="1"/>
  <c r="R46" i="1" s="1"/>
  <c r="O45" i="1"/>
  <c r="R45" i="1" s="1"/>
  <c r="O44" i="1"/>
  <c r="R44" i="1" s="1"/>
  <c r="R43" i="1"/>
  <c r="O42" i="1"/>
  <c r="R42" i="1" s="1"/>
  <c r="O41" i="1"/>
  <c r="R41" i="1" s="1"/>
  <c r="O40" i="1"/>
  <c r="R40" i="1" s="1"/>
  <c r="O39" i="1"/>
  <c r="R39" i="1" s="1"/>
  <c r="O38" i="1"/>
  <c r="R38" i="1" s="1"/>
  <c r="O37" i="1"/>
  <c r="R37" i="1" s="1"/>
  <c r="O36" i="1"/>
  <c r="R36" i="1" s="1"/>
  <c r="O35" i="1"/>
  <c r="R35" i="1" s="1"/>
  <c r="O34" i="1"/>
  <c r="O33" i="1"/>
  <c r="P33" i="1" s="1"/>
  <c r="O32" i="1"/>
  <c r="R32" i="1" s="1"/>
  <c r="X31" i="1"/>
  <c r="W31" i="1"/>
  <c r="N31" i="1"/>
  <c r="M31" i="1"/>
  <c r="L31" i="1"/>
  <c r="K31" i="1"/>
  <c r="J31" i="1"/>
  <c r="H31" i="1"/>
  <c r="O31" i="1" s="1"/>
  <c r="R31" i="1" s="1"/>
  <c r="X30" i="1"/>
  <c r="W30" i="1"/>
  <c r="N30" i="1"/>
  <c r="M30" i="1"/>
  <c r="L30" i="1"/>
  <c r="K30" i="1"/>
  <c r="J30" i="1"/>
  <c r="H30" i="1"/>
  <c r="O30" i="1" s="1"/>
  <c r="X29" i="1"/>
  <c r="W29" i="1"/>
  <c r="N29" i="1"/>
  <c r="M29" i="1"/>
  <c r="L29" i="1"/>
  <c r="K29" i="1"/>
  <c r="J29" i="1"/>
  <c r="H29" i="1"/>
  <c r="O29" i="1" s="1"/>
  <c r="X28" i="1"/>
  <c r="W28" i="1"/>
  <c r="N28" i="1"/>
  <c r="M28" i="1"/>
  <c r="L28" i="1"/>
  <c r="K28" i="1"/>
  <c r="J28" i="1"/>
  <c r="H28" i="1"/>
  <c r="O28" i="1" s="1"/>
  <c r="X27" i="1"/>
  <c r="W27" i="1"/>
  <c r="N27" i="1"/>
  <c r="M27" i="1"/>
  <c r="L27" i="1"/>
  <c r="K27" i="1"/>
  <c r="J27" i="1"/>
  <c r="H27" i="1"/>
  <c r="O27" i="1" s="1"/>
  <c r="X26" i="1"/>
  <c r="W26" i="1"/>
  <c r="N26" i="1"/>
  <c r="M26" i="1"/>
  <c r="L26" i="1"/>
  <c r="K26" i="1"/>
  <c r="J26" i="1"/>
  <c r="H26" i="1"/>
  <c r="O26" i="1" s="1"/>
  <c r="X25" i="1"/>
  <c r="W25" i="1"/>
  <c r="N25" i="1"/>
  <c r="M25" i="1"/>
  <c r="L25" i="1"/>
  <c r="K25" i="1"/>
  <c r="J25" i="1"/>
  <c r="H25" i="1"/>
  <c r="O25" i="1" s="1"/>
  <c r="X24" i="1"/>
  <c r="W24" i="1"/>
  <c r="N24" i="1"/>
  <c r="M24" i="1"/>
  <c r="L24" i="1"/>
  <c r="K24" i="1"/>
  <c r="J24" i="1"/>
  <c r="H24" i="1"/>
  <c r="O24" i="1" s="1"/>
  <c r="X23" i="1"/>
  <c r="W23" i="1"/>
  <c r="N23" i="1"/>
  <c r="M23" i="1"/>
  <c r="L23" i="1"/>
  <c r="K23" i="1"/>
  <c r="J23" i="1"/>
  <c r="H23" i="1"/>
  <c r="O23" i="1" s="1"/>
  <c r="R23" i="1" s="1"/>
  <c r="X22" i="1"/>
  <c r="W22" i="1"/>
  <c r="N22" i="1"/>
  <c r="M22" i="1"/>
  <c r="L22" i="1"/>
  <c r="K22" i="1"/>
  <c r="J22" i="1"/>
  <c r="H22" i="1"/>
  <c r="O22" i="1" s="1"/>
  <c r="R22" i="1" s="1"/>
  <c r="X21" i="1"/>
  <c r="W21" i="1"/>
  <c r="N21" i="1"/>
  <c r="M21" i="1"/>
  <c r="L21" i="1"/>
  <c r="K21" i="1"/>
  <c r="J21" i="1"/>
  <c r="H21" i="1"/>
  <c r="O21" i="1" s="1"/>
  <c r="R21" i="1" s="1"/>
  <c r="X20" i="1"/>
  <c r="W20" i="1"/>
  <c r="N20" i="1"/>
  <c r="M20" i="1"/>
  <c r="L20" i="1"/>
  <c r="K20" i="1"/>
  <c r="J20" i="1"/>
  <c r="H20" i="1"/>
  <c r="O20" i="1" s="1"/>
  <c r="R20" i="1" s="1"/>
  <c r="X19" i="1"/>
  <c r="W19" i="1"/>
  <c r="N19" i="1"/>
  <c r="M19" i="1"/>
  <c r="L19" i="1"/>
  <c r="K19" i="1"/>
  <c r="J19" i="1"/>
  <c r="H19" i="1"/>
  <c r="O19" i="1" s="1"/>
  <c r="R19" i="1" s="1"/>
  <c r="X18" i="1"/>
  <c r="W18" i="1"/>
  <c r="N18" i="1"/>
  <c r="M18" i="1"/>
  <c r="L18" i="1"/>
  <c r="K18" i="1"/>
  <c r="J18" i="1"/>
  <c r="H18" i="1"/>
  <c r="O18" i="1" s="1"/>
  <c r="R18" i="1" s="1"/>
  <c r="X17" i="1"/>
  <c r="W17" i="1"/>
  <c r="N17" i="1"/>
  <c r="M17" i="1"/>
  <c r="L17" i="1"/>
  <c r="K17" i="1"/>
  <c r="J17" i="1"/>
  <c r="H17" i="1"/>
  <c r="O17" i="1" s="1"/>
  <c r="R17" i="1" s="1"/>
  <c r="X16" i="1"/>
  <c r="W16" i="1"/>
  <c r="N16" i="1"/>
  <c r="M16" i="1"/>
  <c r="L16" i="1"/>
  <c r="K16" i="1"/>
  <c r="J16" i="1"/>
  <c r="H16" i="1"/>
  <c r="O16" i="1" s="1"/>
  <c r="R16" i="1" s="1"/>
  <c r="X15" i="1"/>
  <c r="W15" i="1"/>
  <c r="N15" i="1"/>
  <c r="M15" i="1"/>
  <c r="L15" i="1"/>
  <c r="K15" i="1"/>
  <c r="J15" i="1"/>
  <c r="H15" i="1"/>
  <c r="O15" i="1" s="1"/>
  <c r="R15" i="1" s="1"/>
  <c r="X14" i="1"/>
  <c r="W14" i="1"/>
  <c r="N14" i="1"/>
  <c r="M14" i="1"/>
  <c r="L14" i="1"/>
  <c r="K14" i="1"/>
  <c r="J14" i="1"/>
  <c r="H14" i="1"/>
  <c r="O14" i="1" s="1"/>
  <c r="R14" i="1" s="1"/>
  <c r="X13" i="1"/>
  <c r="W13" i="1"/>
  <c r="N13" i="1"/>
  <c r="M13" i="1"/>
  <c r="L13" i="1"/>
  <c r="K13" i="1"/>
  <c r="J13" i="1"/>
  <c r="H13" i="1"/>
  <c r="O13" i="1" s="1"/>
  <c r="R13" i="1" s="1"/>
  <c r="X12" i="1"/>
  <c r="W12" i="1"/>
  <c r="N12" i="1"/>
  <c r="M12" i="1"/>
  <c r="L12" i="1"/>
  <c r="K12" i="1"/>
  <c r="J12" i="1"/>
  <c r="H12" i="1"/>
  <c r="O12" i="1" s="1"/>
  <c r="R12" i="1" s="1"/>
  <c r="X11" i="1"/>
  <c r="W11" i="1"/>
  <c r="N11" i="1"/>
  <c r="M11" i="1"/>
  <c r="L11" i="1"/>
  <c r="K11" i="1"/>
  <c r="J11" i="1"/>
  <c r="H11" i="1"/>
  <c r="O11" i="1" s="1"/>
  <c r="R11" i="1" s="1"/>
  <c r="X10" i="1"/>
  <c r="W10" i="1"/>
  <c r="N10" i="1"/>
  <c r="M10" i="1"/>
  <c r="L10" i="1"/>
  <c r="K10" i="1"/>
  <c r="J10" i="1"/>
  <c r="H10" i="1"/>
  <c r="O10" i="1" s="1"/>
  <c r="R10" i="1" s="1"/>
  <c r="X9" i="1"/>
  <c r="W9" i="1"/>
  <c r="N9" i="1"/>
  <c r="M9" i="1"/>
  <c r="L9" i="1"/>
  <c r="K9" i="1"/>
  <c r="J9" i="1"/>
  <c r="H9" i="1"/>
  <c r="O9" i="1" s="1"/>
  <c r="R9" i="1" s="1"/>
  <c r="R8" i="1"/>
  <c r="R7" i="1"/>
  <c r="R305" i="1" l="1"/>
  <c r="P305" i="1"/>
  <c r="R336" i="1"/>
  <c r="P336" i="1"/>
  <c r="R338" i="1"/>
  <c r="P338" i="1"/>
  <c r="R345" i="1"/>
  <c r="P345" i="1"/>
  <c r="R357" i="1"/>
  <c r="P357" i="1"/>
  <c r="R383" i="1"/>
  <c r="P383" i="1"/>
  <c r="R385" i="1"/>
  <c r="P385" i="1"/>
  <c r="R450" i="1"/>
  <c r="P450" i="1"/>
  <c r="R452" i="1"/>
  <c r="P452" i="1"/>
  <c r="R456" i="1"/>
  <c r="P456" i="1"/>
  <c r="R519" i="1"/>
  <c r="P519" i="1"/>
  <c r="R644" i="1"/>
  <c r="P644" i="1"/>
  <c r="R648" i="1"/>
  <c r="R653" i="1"/>
  <c r="P653" i="1"/>
  <c r="R657" i="1"/>
  <c r="P657" i="1"/>
  <c r="R661" i="1"/>
  <c r="P661" i="1"/>
  <c r="R744" i="1"/>
  <c r="P744" i="1"/>
  <c r="R762" i="1"/>
  <c r="R778" i="1"/>
  <c r="P778" i="1"/>
  <c r="R789" i="1"/>
  <c r="P789" i="1"/>
  <c r="R793" i="1"/>
  <c r="P793" i="1"/>
  <c r="R798" i="1"/>
  <c r="P798" i="1"/>
  <c r="R803" i="1"/>
  <c r="P803" i="1"/>
  <c r="R807" i="1"/>
  <c r="P807" i="1"/>
  <c r="R155" i="1"/>
  <c r="P155" i="1"/>
  <c r="R186" i="1"/>
  <c r="P186" i="1"/>
  <c r="R202" i="1"/>
  <c r="P202" i="1"/>
  <c r="R207" i="1"/>
  <c r="P207" i="1"/>
  <c r="R209" i="1"/>
  <c r="P209" i="1"/>
  <c r="R219" i="1"/>
  <c r="P219" i="1"/>
  <c r="R304" i="1"/>
  <c r="P304" i="1"/>
  <c r="R315" i="1"/>
  <c r="P315" i="1"/>
  <c r="R360" i="1"/>
  <c r="P360" i="1"/>
  <c r="R366" i="1"/>
  <c r="P366" i="1"/>
  <c r="R398" i="1"/>
  <c r="P398" i="1"/>
  <c r="R399" i="1"/>
  <c r="P399" i="1"/>
  <c r="R437" i="1"/>
  <c r="P437" i="1"/>
  <c r="R441" i="1"/>
  <c r="P441" i="1"/>
  <c r="R466" i="1"/>
  <c r="P466" i="1"/>
  <c r="R468" i="1"/>
  <c r="P468" i="1"/>
  <c r="R494" i="1"/>
  <c r="P494" i="1"/>
  <c r="R547" i="1"/>
  <c r="R573" i="1"/>
  <c r="P573" i="1"/>
  <c r="R643" i="1"/>
  <c r="P643" i="1"/>
  <c r="R647" i="1"/>
  <c r="P647" i="1"/>
  <c r="R651" i="1"/>
  <c r="P651" i="1"/>
  <c r="R652" i="1"/>
  <c r="P652" i="1"/>
  <c r="R656" i="1"/>
  <c r="P656" i="1"/>
  <c r="R660" i="1"/>
  <c r="P660" i="1"/>
  <c r="R665" i="1"/>
  <c r="P665" i="1"/>
  <c r="R667" i="1"/>
  <c r="P667" i="1"/>
  <c r="R669" i="1"/>
  <c r="P669" i="1"/>
  <c r="R671" i="1"/>
  <c r="P671" i="1"/>
  <c r="R673" i="1"/>
  <c r="P673" i="1"/>
  <c r="R675" i="1"/>
  <c r="P675" i="1"/>
  <c r="R677" i="1"/>
  <c r="P677" i="1"/>
  <c r="R679" i="1"/>
  <c r="P679" i="1"/>
  <c r="R681" i="1"/>
  <c r="P681" i="1"/>
  <c r="R683" i="1"/>
  <c r="P683" i="1"/>
  <c r="R685" i="1"/>
  <c r="P685" i="1"/>
  <c r="R687" i="1"/>
  <c r="P687" i="1"/>
  <c r="R689" i="1"/>
  <c r="P689" i="1"/>
  <c r="R691" i="1"/>
  <c r="P691" i="1"/>
  <c r="R693" i="1"/>
  <c r="P693" i="1"/>
  <c r="R695" i="1"/>
  <c r="P695" i="1"/>
  <c r="R697" i="1"/>
  <c r="P697" i="1"/>
  <c r="R699" i="1"/>
  <c r="P699" i="1"/>
  <c r="R701" i="1"/>
  <c r="P701" i="1"/>
  <c r="R703" i="1"/>
  <c r="P703" i="1"/>
  <c r="R706" i="1"/>
  <c r="P706" i="1"/>
  <c r="R708" i="1"/>
  <c r="P708" i="1"/>
  <c r="R710" i="1"/>
  <c r="P710" i="1"/>
  <c r="R712" i="1"/>
  <c r="P712" i="1"/>
  <c r="R714" i="1"/>
  <c r="P714" i="1"/>
  <c r="R716" i="1"/>
  <c r="P716" i="1"/>
  <c r="R718" i="1"/>
  <c r="P718" i="1"/>
  <c r="R720" i="1"/>
  <c r="P720" i="1"/>
  <c r="R722" i="1"/>
  <c r="P722" i="1"/>
  <c r="R724" i="1"/>
  <c r="P724" i="1"/>
  <c r="R726" i="1"/>
  <c r="P726" i="1"/>
  <c r="R728" i="1"/>
  <c r="P728" i="1"/>
  <c r="R730" i="1"/>
  <c r="P730" i="1"/>
  <c r="R732" i="1"/>
  <c r="P732" i="1"/>
  <c r="R734" i="1"/>
  <c r="P734" i="1"/>
  <c r="R736" i="1"/>
  <c r="P736" i="1"/>
  <c r="R738" i="1"/>
  <c r="P738" i="1"/>
  <c r="R740" i="1"/>
  <c r="P740" i="1"/>
  <c r="R745" i="1"/>
  <c r="P745" i="1"/>
  <c r="R761" i="1"/>
  <c r="R781" i="1"/>
  <c r="P781" i="1"/>
  <c r="R792" i="1"/>
  <c r="P792" i="1"/>
  <c r="R796" i="1"/>
  <c r="P796" i="1"/>
  <c r="R801" i="1"/>
  <c r="P801" i="1"/>
  <c r="R806" i="1"/>
  <c r="P806" i="1"/>
  <c r="R77" i="1"/>
  <c r="P77" i="1"/>
  <c r="R280" i="1"/>
  <c r="P280" i="1"/>
  <c r="R286" i="1"/>
  <c r="P286" i="1"/>
  <c r="R303" i="1"/>
  <c r="P303" i="1"/>
  <c r="R388" i="1"/>
  <c r="P388" i="1"/>
  <c r="R449" i="1"/>
  <c r="P449" i="1"/>
  <c r="R493" i="1"/>
  <c r="P493" i="1"/>
  <c r="R546" i="1"/>
  <c r="R561" i="1"/>
  <c r="P561" i="1"/>
  <c r="R642" i="1"/>
  <c r="P642" i="1"/>
  <c r="R646" i="1"/>
  <c r="P646" i="1"/>
  <c r="R650" i="1"/>
  <c r="P650" i="1"/>
  <c r="R655" i="1"/>
  <c r="R659" i="1"/>
  <c r="R663" i="1"/>
  <c r="R756" i="1"/>
  <c r="P756" i="1"/>
  <c r="R764" i="1"/>
  <c r="R780" i="1"/>
  <c r="P780" i="1"/>
  <c r="R788" i="1"/>
  <c r="P788" i="1"/>
  <c r="R790" i="1"/>
  <c r="P790" i="1"/>
  <c r="R791" i="1"/>
  <c r="P791" i="1"/>
  <c r="R795" i="1"/>
  <c r="P795" i="1"/>
  <c r="R800" i="1"/>
  <c r="P800" i="1"/>
  <c r="R805" i="1"/>
  <c r="P805" i="1"/>
  <c r="R299" i="1"/>
  <c r="P299" i="1"/>
  <c r="R322" i="1"/>
  <c r="P322" i="1"/>
  <c r="R329" i="1"/>
  <c r="P329" i="1"/>
  <c r="R489" i="1"/>
  <c r="P489" i="1"/>
  <c r="R153" i="1"/>
  <c r="P153" i="1"/>
  <c r="R183" i="1"/>
  <c r="P183" i="1"/>
  <c r="R294" i="1"/>
  <c r="P294" i="1"/>
  <c r="R302" i="1"/>
  <c r="P302" i="1"/>
  <c r="R325" i="1"/>
  <c r="P325" i="1"/>
  <c r="R352" i="1"/>
  <c r="P352" i="1"/>
  <c r="R365" i="1"/>
  <c r="P365" i="1"/>
  <c r="R367" i="1"/>
  <c r="P367" i="1"/>
  <c r="R375" i="1"/>
  <c r="P375" i="1"/>
  <c r="R418" i="1"/>
  <c r="P418" i="1"/>
  <c r="R434" i="1"/>
  <c r="P434" i="1"/>
  <c r="R444" i="1"/>
  <c r="P444" i="1"/>
  <c r="R469" i="1"/>
  <c r="P469" i="1"/>
  <c r="R588" i="1"/>
  <c r="P588" i="1"/>
  <c r="R645" i="1"/>
  <c r="P645" i="1"/>
  <c r="R649" i="1"/>
  <c r="R654" i="1"/>
  <c r="P654" i="1"/>
  <c r="R658" i="1"/>
  <c r="R662" i="1"/>
  <c r="P662" i="1"/>
  <c r="R664" i="1"/>
  <c r="P664" i="1"/>
  <c r="R666" i="1"/>
  <c r="P666" i="1"/>
  <c r="R668" i="1"/>
  <c r="P668" i="1"/>
  <c r="R670" i="1"/>
  <c r="P670" i="1"/>
  <c r="R672" i="1"/>
  <c r="P672" i="1"/>
  <c r="R674" i="1"/>
  <c r="P674" i="1"/>
  <c r="R676" i="1"/>
  <c r="P676" i="1"/>
  <c r="R678" i="1"/>
  <c r="P678" i="1"/>
  <c r="R680" i="1"/>
  <c r="P680" i="1"/>
  <c r="R682" i="1"/>
  <c r="P682" i="1"/>
  <c r="R684" i="1"/>
  <c r="P684" i="1"/>
  <c r="R686" i="1"/>
  <c r="P686" i="1"/>
  <c r="R688" i="1"/>
  <c r="P688" i="1"/>
  <c r="R690" i="1"/>
  <c r="P690" i="1"/>
  <c r="R692" i="1"/>
  <c r="P692" i="1"/>
  <c r="R694" i="1"/>
  <c r="P694" i="1"/>
  <c r="R696" i="1"/>
  <c r="P696" i="1"/>
  <c r="R698" i="1"/>
  <c r="P698" i="1"/>
  <c r="R700" i="1"/>
  <c r="P700" i="1"/>
  <c r="R702" i="1"/>
  <c r="P702" i="1"/>
  <c r="R705" i="1"/>
  <c r="P705" i="1"/>
  <c r="R707" i="1"/>
  <c r="P707" i="1"/>
  <c r="R709" i="1"/>
  <c r="P709" i="1"/>
  <c r="R711" i="1"/>
  <c r="P711" i="1"/>
  <c r="R713" i="1"/>
  <c r="P713" i="1"/>
  <c r="R715" i="1"/>
  <c r="P715" i="1"/>
  <c r="R717" i="1"/>
  <c r="P717" i="1"/>
  <c r="R719" i="1"/>
  <c r="P719" i="1"/>
  <c r="R721" i="1"/>
  <c r="P721" i="1"/>
  <c r="R723" i="1"/>
  <c r="P723" i="1"/>
  <c r="R725" i="1"/>
  <c r="P725" i="1"/>
  <c r="R727" i="1"/>
  <c r="P727" i="1"/>
  <c r="R729" i="1"/>
  <c r="P729" i="1"/>
  <c r="R731" i="1"/>
  <c r="P731" i="1"/>
  <c r="R733" i="1"/>
  <c r="P733" i="1"/>
  <c r="R735" i="1"/>
  <c r="P735" i="1"/>
  <c r="R737" i="1"/>
  <c r="P737" i="1"/>
  <c r="R739" i="1"/>
  <c r="P739" i="1"/>
  <c r="R742" i="1"/>
  <c r="P742" i="1"/>
  <c r="R759" i="1"/>
  <c r="P759" i="1"/>
  <c r="R763" i="1"/>
  <c r="P763" i="1"/>
  <c r="R771" i="1"/>
  <c r="P771" i="1"/>
  <c r="R779" i="1"/>
  <c r="P779" i="1"/>
  <c r="R794" i="1"/>
  <c r="P794" i="1"/>
  <c r="R799" i="1"/>
  <c r="P799" i="1"/>
  <c r="R804" i="1"/>
  <c r="P804" i="1"/>
  <c r="R613" i="1"/>
  <c r="R545" i="1"/>
  <c r="O543" i="1"/>
  <c r="O531" i="1"/>
  <c r="P531" i="1" s="1"/>
  <c r="R549" i="1"/>
  <c r="R768" i="1"/>
  <c r="O769" i="1"/>
  <c r="P769" i="1" s="1"/>
  <c r="R499" i="1"/>
  <c r="O517" i="1"/>
  <c r="R521" i="1"/>
  <c r="O522" i="1"/>
  <c r="O535" i="1"/>
  <c r="P535" i="1" s="1"/>
  <c r="R553" i="1"/>
  <c r="R597" i="1"/>
  <c r="R637" i="1"/>
  <c r="O638" i="1"/>
  <c r="R639" i="1"/>
  <c r="R765" i="1"/>
  <c r="O766" i="1"/>
  <c r="P766" i="1" s="1"/>
  <c r="O526" i="1"/>
  <c r="P526" i="1" s="1"/>
  <c r="O537" i="1"/>
  <c r="P537" i="1" s="1"/>
  <c r="O540" i="1"/>
  <c r="R616" i="1"/>
  <c r="O617" i="1"/>
  <c r="P617" i="1" s="1"/>
  <c r="R634" i="1"/>
  <c r="O635" i="1"/>
  <c r="P635" i="1" s="1"/>
  <c r="R772" i="1"/>
  <c r="O773" i="1"/>
  <c r="P773" i="1" s="1"/>
  <c r="O539" i="1"/>
  <c r="P539" i="1" s="1"/>
  <c r="O581" i="1"/>
  <c r="O604" i="1"/>
  <c r="P604" i="1" s="1"/>
  <c r="R609" i="1"/>
  <c r="O758" i="1"/>
  <c r="P758" i="1" s="1"/>
  <c r="R496" i="1"/>
  <c r="R511" i="1"/>
  <c r="O512" i="1"/>
  <c r="P512" i="1" s="1"/>
  <c r="O516" i="1"/>
  <c r="P516" i="1" s="1"/>
  <c r="O536" i="1"/>
  <c r="P536" i="1" s="1"/>
  <c r="O558" i="1"/>
  <c r="P558" i="1" s="1"/>
  <c r="O566" i="1"/>
  <c r="O569" i="1"/>
  <c r="P569" i="1" s="1"/>
  <c r="O585" i="1"/>
  <c r="R596" i="1"/>
  <c r="R599" i="1"/>
  <c r="O600" i="1"/>
  <c r="P600" i="1" s="1"/>
  <c r="R603" i="1"/>
  <c r="R641" i="1"/>
  <c r="O746" i="1"/>
  <c r="P746" i="1" s="1"/>
  <c r="R748" i="1"/>
  <c r="O749" i="1"/>
  <c r="R752" i="1"/>
  <c r="O753" i="1"/>
  <c r="P753" i="1" s="1"/>
  <c r="O770" i="1"/>
  <c r="P770" i="1" s="1"/>
  <c r="R777" i="1"/>
  <c r="R483" i="1"/>
  <c r="R500" i="1"/>
  <c r="R504" i="1"/>
  <c r="R507" i="1"/>
  <c r="O548" i="1"/>
  <c r="O552" i="1"/>
  <c r="P552" i="1" s="1"/>
  <c r="O557" i="1"/>
  <c r="O563" i="1"/>
  <c r="P563" i="1" s="1"/>
  <c r="O565" i="1"/>
  <c r="P565" i="1" s="1"/>
  <c r="O568" i="1"/>
  <c r="P568" i="1" s="1"/>
  <c r="O601" i="1"/>
  <c r="R631" i="1"/>
  <c r="R743" i="1"/>
  <c r="O750" i="1"/>
  <c r="P750" i="1" s="1"/>
  <c r="O757" i="1"/>
  <c r="P757" i="1" s="1"/>
  <c r="R760" i="1"/>
  <c r="R476" i="1"/>
  <c r="R503" i="1"/>
  <c r="R506" i="1"/>
  <c r="R529" i="1"/>
  <c r="O532" i="1"/>
  <c r="O541" i="1"/>
  <c r="O544" i="1"/>
  <c r="P544" i="1" s="1"/>
  <c r="O554" i="1"/>
  <c r="P554" i="1" s="1"/>
  <c r="O562" i="1"/>
  <c r="P562" i="1" s="1"/>
  <c r="O577" i="1"/>
  <c r="R593" i="1"/>
  <c r="R612" i="1"/>
  <c r="R615" i="1"/>
  <c r="R619" i="1"/>
  <c r="O620" i="1"/>
  <c r="P620" i="1" s="1"/>
  <c r="R625" i="1"/>
  <c r="O498" i="1"/>
  <c r="P498" i="1" s="1"/>
  <c r="R498" i="1"/>
  <c r="O518" i="1"/>
  <c r="P518" i="1" s="1"/>
  <c r="R525" i="1"/>
  <c r="R538" i="1"/>
  <c r="O538" i="1"/>
  <c r="P538" i="1" s="1"/>
  <c r="R564" i="1"/>
  <c r="O564" i="1"/>
  <c r="P564" i="1" s="1"/>
  <c r="O574" i="1"/>
  <c r="P574" i="1" s="1"/>
  <c r="R575" i="1"/>
  <c r="O575" i="1"/>
  <c r="P575" i="1" s="1"/>
  <c r="O582" i="1"/>
  <c r="R583" i="1"/>
  <c r="O583" i="1"/>
  <c r="P583" i="1" s="1"/>
  <c r="R589" i="1"/>
  <c r="O589" i="1"/>
  <c r="P589" i="1" s="1"/>
  <c r="O607" i="1"/>
  <c r="P607" i="1" s="1"/>
  <c r="R607" i="1"/>
  <c r="R621" i="1"/>
  <c r="O621" i="1"/>
  <c r="R179" i="1"/>
  <c r="O514" i="1"/>
  <c r="P514" i="1" s="1"/>
  <c r="R515" i="1"/>
  <c r="O515" i="1"/>
  <c r="P515" i="1" s="1"/>
  <c r="O520" i="1"/>
  <c r="P520" i="1" s="1"/>
  <c r="R520" i="1"/>
  <c r="O528" i="1"/>
  <c r="R528" i="1"/>
  <c r="O533" i="1"/>
  <c r="R534" i="1"/>
  <c r="O534" i="1"/>
  <c r="P534" i="1" s="1"/>
  <c r="O559" i="1"/>
  <c r="P559" i="1" s="1"/>
  <c r="R560" i="1"/>
  <c r="O560" i="1"/>
  <c r="P560" i="1" s="1"/>
  <c r="R592" i="1"/>
  <c r="O592" i="1"/>
  <c r="R624" i="1"/>
  <c r="O624" i="1"/>
  <c r="R629" i="1"/>
  <c r="O629" i="1"/>
  <c r="P629" i="1" s="1"/>
  <c r="R774" i="1"/>
  <c r="O774" i="1"/>
  <c r="P774" i="1" s="1"/>
  <c r="O502" i="1"/>
  <c r="P502" i="1" s="1"/>
  <c r="R502" i="1"/>
  <c r="O524" i="1"/>
  <c r="P524" i="1" s="1"/>
  <c r="R524" i="1"/>
  <c r="R542" i="1"/>
  <c r="O542" i="1"/>
  <c r="P542" i="1" s="1"/>
  <c r="R567" i="1"/>
  <c r="O567" i="1"/>
  <c r="R608" i="1"/>
  <c r="O608" i="1"/>
  <c r="P608" i="1" s="1"/>
  <c r="R474" i="1"/>
  <c r="O475" i="1"/>
  <c r="P475" i="1" s="1"/>
  <c r="R475" i="1"/>
  <c r="R530" i="1"/>
  <c r="O530" i="1"/>
  <c r="P530" i="1" s="1"/>
  <c r="O555" i="1"/>
  <c r="P555" i="1" s="1"/>
  <c r="R556" i="1"/>
  <c r="O556" i="1"/>
  <c r="O570" i="1"/>
  <c r="P570" i="1" s="1"/>
  <c r="R571" i="1"/>
  <c r="O571" i="1"/>
  <c r="P571" i="1" s="1"/>
  <c r="O578" i="1"/>
  <c r="R579" i="1"/>
  <c r="O579" i="1"/>
  <c r="P579" i="1" s="1"/>
  <c r="O586" i="1"/>
  <c r="P586" i="1" s="1"/>
  <c r="R587" i="1"/>
  <c r="O587" i="1"/>
  <c r="P587" i="1" s="1"/>
  <c r="O591" i="1"/>
  <c r="R591" i="1"/>
  <c r="R605" i="1"/>
  <c r="O605" i="1"/>
  <c r="P605" i="1" s="1"/>
  <c r="O623" i="1"/>
  <c r="P623" i="1" s="1"/>
  <c r="R623" i="1"/>
  <c r="O628" i="1"/>
  <c r="R628" i="1"/>
  <c r="R754" i="1"/>
  <c r="O754" i="1"/>
  <c r="O572" i="1"/>
  <c r="O576" i="1"/>
  <c r="P576" i="1" s="1"/>
  <c r="O580" i="1"/>
  <c r="P580" i="1" s="1"/>
  <c r="O584" i="1"/>
  <c r="P584" i="1" s="1"/>
  <c r="R595" i="1"/>
  <c r="R611" i="1"/>
  <c r="R633" i="1"/>
  <c r="R477" i="1"/>
  <c r="R497" i="1"/>
  <c r="R501" i="1"/>
  <c r="R505" i="1"/>
  <c r="R523" i="1"/>
  <c r="O523" i="1"/>
  <c r="P523" i="1" s="1"/>
  <c r="R527" i="1"/>
  <c r="O527" i="1"/>
  <c r="O602" i="1"/>
  <c r="P602" i="1" s="1"/>
  <c r="R602" i="1"/>
  <c r="O590" i="1"/>
  <c r="R590" i="1"/>
  <c r="O606" i="1"/>
  <c r="P606" i="1" s="1"/>
  <c r="R606" i="1"/>
  <c r="R550" i="1"/>
  <c r="O550" i="1"/>
  <c r="P550" i="1" s="1"/>
  <c r="O594" i="1"/>
  <c r="R594" i="1"/>
  <c r="R551" i="1"/>
  <c r="O598" i="1"/>
  <c r="P598" i="1" s="1"/>
  <c r="R598" i="1"/>
  <c r="R610" i="1"/>
  <c r="R614" i="1"/>
  <c r="R618" i="1"/>
  <c r="R622" i="1"/>
  <c r="R626" i="1"/>
  <c r="R632" i="1"/>
  <c r="R636" i="1"/>
  <c r="R640" i="1"/>
  <c r="R767" i="1"/>
  <c r="O767" i="1"/>
  <c r="P767" i="1" s="1"/>
  <c r="R747" i="1"/>
  <c r="O747" i="1"/>
  <c r="P747" i="1" s="1"/>
  <c r="R775" i="1"/>
  <c r="O775" i="1"/>
  <c r="P775" i="1" s="1"/>
  <c r="R751" i="1"/>
  <c r="O751" i="1"/>
  <c r="P751" i="1" s="1"/>
  <c r="R755" i="1"/>
  <c r="O755" i="1"/>
  <c r="P755" i="1" s="1"/>
</calcChain>
</file>

<file path=xl/sharedStrings.xml><?xml version="1.0" encoding="utf-8"?>
<sst xmlns="http://schemas.openxmlformats.org/spreadsheetml/2006/main" count="11420" uniqueCount="2728">
  <si>
    <t>AYUNTAMIENTO DE ZAPOPAN, JALISCO</t>
  </si>
  <si>
    <t>VI. La información sobre la gestión pública</t>
  </si>
  <si>
    <t>Obras públicas del Municipio de Zapopan</t>
  </si>
  <si>
    <t>Ejercicio</t>
  </si>
  <si>
    <t>Tipo de procedimiento por medio del cual se contrato la obra</t>
  </si>
  <si>
    <t>Número del contrato</t>
  </si>
  <si>
    <t>Fecha del contrato</t>
  </si>
  <si>
    <t xml:space="preserve">Descripción de la obra </t>
  </si>
  <si>
    <t>Origen del Recursos:  (Federal, Estatal, Municipal, Privado, Ramo 33)</t>
  </si>
  <si>
    <t>Inversión</t>
  </si>
  <si>
    <t xml:space="preserve">Lugar o ubicación de la obra pública  </t>
  </si>
  <si>
    <t xml:space="preserve">Ejecutor de la obra 
(en caso de que los datos correspondan a una persona moral incluyan en las columnas de nombre el dato del representante legal de la empresa). </t>
  </si>
  <si>
    <t>Costo Incial de la obra</t>
  </si>
  <si>
    <t>Costo Final de la obra</t>
  </si>
  <si>
    <t>Superficie Construida en Mt2</t>
  </si>
  <si>
    <t>Costo por Mt2 o lineal</t>
  </si>
  <si>
    <t>Tipo de Beneficiarios de la obra</t>
  </si>
  <si>
    <t>Número de beneficiario</t>
  </si>
  <si>
    <t xml:space="preserve">Relación de la obra con los intrumentos de planeación del desarrollo </t>
  </si>
  <si>
    <t>Estado de las obras públicas: en proceso; en proceso con retraso; en proceso con tiempo vencido; concluida</t>
  </si>
  <si>
    <t>Plazo de entrega o de ejecución</t>
  </si>
  <si>
    <t>Supervisor de la obra o perito responsable</t>
  </si>
  <si>
    <t>Hipervínculo al documento del contrato</t>
  </si>
  <si>
    <t>Hipervínculo al convenio modificatorio</t>
  </si>
  <si>
    <t>Nombre(s)</t>
  </si>
  <si>
    <t>Apellido paterno</t>
  </si>
  <si>
    <t>Apellido materno</t>
  </si>
  <si>
    <t>Razón social del ganador</t>
  </si>
  <si>
    <t>RFC</t>
  </si>
  <si>
    <t>Fecha de inicio (formato día/mes/año)</t>
  </si>
  <si>
    <t>Fecha de término (formato día/mes/año)</t>
  </si>
  <si>
    <t>Licitación Pública</t>
  </si>
  <si>
    <t>DOPI-MUN-R33-AP-LP-230-2015</t>
  </si>
  <si>
    <t>Perforación y Equipamiento de Pozo Profundo en la colonia Nextipac Zona RS, municipio de Zapopan, Jalisco.</t>
  </si>
  <si>
    <t>Ramo 33 (FAISM 2015)</t>
  </si>
  <si>
    <t>Colonia Nextipac zona RS</t>
  </si>
  <si>
    <t>Antonio</t>
  </si>
  <si>
    <t>Corcuera</t>
  </si>
  <si>
    <t>Garza</t>
  </si>
  <si>
    <t>Alcor de Occidente S.A. de C.V. ZAP-0093</t>
  </si>
  <si>
    <t>AOC830810TG9</t>
  </si>
  <si>
    <t>180 ML</t>
  </si>
  <si>
    <t>Directos</t>
  </si>
  <si>
    <t>La presente obra se encuentra en apego a los planes parciales de planeacion y desarrollo</t>
  </si>
  <si>
    <t>Concluida</t>
  </si>
  <si>
    <t>Victor Manuel</t>
  </si>
  <si>
    <t xml:space="preserve">Lomelí </t>
  </si>
  <si>
    <t>Leos</t>
  </si>
  <si>
    <t>-</t>
  </si>
  <si>
    <t>DOPI-MUN-R33-AP-LP-231-2015</t>
  </si>
  <si>
    <t>Equipamiento y tanques de almacenamiento de agua en el pozo profundo San Rafael, ubicado en camino a la Azucena y calle San Rafael, en la colonia San Rafael, municipio de Zapopan, Jalisco.</t>
  </si>
  <si>
    <t>Colonia San Rafael zona RN</t>
  </si>
  <si>
    <t>1 PIEZA</t>
  </si>
  <si>
    <t>DOPI-MUN-R33-IE-LP-232-2015</t>
  </si>
  <si>
    <t>Construcción de barda perimetral en la escuela secundaria mixta 61 Francisco de Jesús Ayón Zester, ubicada en Av. Del Vergel s/n, en la colonia Nuevo Vergel 1ra. Sección, municipio de Zapopan, Jalisco.</t>
  </si>
  <si>
    <t>Colonia Nuevo Vergel zona 2A</t>
  </si>
  <si>
    <t>José Omar</t>
  </si>
  <si>
    <t>Fernández</t>
  </si>
  <si>
    <t>Vázquez</t>
  </si>
  <si>
    <t>Extra Construcciones S.A. de C.V.  ZAP-1184</t>
  </si>
  <si>
    <t>ECO0908115Z7</t>
  </si>
  <si>
    <t>1410 M2</t>
  </si>
  <si>
    <t>Gerardo</t>
  </si>
  <si>
    <t>Arceo</t>
  </si>
  <si>
    <t>Arizaga</t>
  </si>
  <si>
    <t>Adjudicación Directa</t>
  </si>
  <si>
    <t>Municipal</t>
  </si>
  <si>
    <t>Colonia Villa de Guadalupe zona 2B</t>
  </si>
  <si>
    <t>31 ML</t>
  </si>
  <si>
    <t>Jacob</t>
  </si>
  <si>
    <t>Tejeda</t>
  </si>
  <si>
    <t>Álvarez</t>
  </si>
  <si>
    <t>Colonia Parques de Tesistán zona RS</t>
  </si>
  <si>
    <t>1815 M2</t>
  </si>
  <si>
    <t>Alhelí</t>
  </si>
  <si>
    <t>Rubio</t>
  </si>
  <si>
    <t>Villa</t>
  </si>
  <si>
    <t>Colonia Mesa Colorada Poniente zona 2B</t>
  </si>
  <si>
    <t>53 ML</t>
  </si>
  <si>
    <t>Jorge Adriel</t>
  </si>
  <si>
    <t>Guzmán</t>
  </si>
  <si>
    <t>Cervantes</t>
  </si>
  <si>
    <t>Colonia Jardines de Nuevo México</t>
  </si>
  <si>
    <t>315 ML</t>
  </si>
  <si>
    <t>Roberto Carlos</t>
  </si>
  <si>
    <t>Martínez</t>
  </si>
  <si>
    <t>De la Torre</t>
  </si>
  <si>
    <t>360 ML</t>
  </si>
  <si>
    <t>Colonia Vista Hermosa</t>
  </si>
  <si>
    <t>120 M2</t>
  </si>
  <si>
    <t>Carlos Gerardo</t>
  </si>
  <si>
    <t>Peña</t>
  </si>
  <si>
    <t>Ortega</t>
  </si>
  <si>
    <t>Colonia Lomas de Tabachines</t>
  </si>
  <si>
    <t>440 ML</t>
  </si>
  <si>
    <t>José Pablo</t>
  </si>
  <si>
    <t>Villaseñor</t>
  </si>
  <si>
    <t>Padilla</t>
  </si>
  <si>
    <t>Colonia Vicente Guerrero</t>
  </si>
  <si>
    <t>43 ML</t>
  </si>
  <si>
    <t>Miguel Ángel</t>
  </si>
  <si>
    <t>Estrada</t>
  </si>
  <si>
    <t>Gloria</t>
  </si>
  <si>
    <t>Colonia Lomas del Bosque</t>
  </si>
  <si>
    <t>1960 M2</t>
  </si>
  <si>
    <t>Fernando</t>
  </si>
  <si>
    <t>Chávez</t>
  </si>
  <si>
    <t>Pinto</t>
  </si>
  <si>
    <t>Colonia San José del Bajío</t>
  </si>
  <si>
    <t>6,297 M2</t>
  </si>
  <si>
    <t>6,297 M3</t>
  </si>
  <si>
    <t>Ramo 33 (Fortamun)</t>
  </si>
  <si>
    <t>Colonia Jardines del Centinela</t>
  </si>
  <si>
    <t>781 M2</t>
  </si>
  <si>
    <t>Colonia Las Aguilas</t>
  </si>
  <si>
    <t>850 M2</t>
  </si>
  <si>
    <t>Localidad de Nextipac</t>
  </si>
  <si>
    <t>1,007.23 M2</t>
  </si>
  <si>
    <t>Juan José</t>
  </si>
  <si>
    <t>Quirarte</t>
  </si>
  <si>
    <t>Olmos</t>
  </si>
  <si>
    <t>Colonia Centro</t>
  </si>
  <si>
    <t>12 M2</t>
  </si>
  <si>
    <t>Indirectos</t>
  </si>
  <si>
    <t>N/A</t>
  </si>
  <si>
    <t>No aplica</t>
  </si>
  <si>
    <t xml:space="preserve">Martín </t>
  </si>
  <si>
    <t>Laguna</t>
  </si>
  <si>
    <t>Salazar</t>
  </si>
  <si>
    <t>Pablo</t>
  </si>
  <si>
    <t>Gutiérrez</t>
  </si>
  <si>
    <t>Hernández</t>
  </si>
  <si>
    <t>Marco Antonio</t>
  </si>
  <si>
    <t>Lozano</t>
  </si>
  <si>
    <t>Pérez</t>
  </si>
  <si>
    <t>Emmanuel</t>
  </si>
  <si>
    <t>Valle</t>
  </si>
  <si>
    <t>Rafael</t>
  </si>
  <si>
    <t>Neri</t>
  </si>
  <si>
    <t>Jacobo</t>
  </si>
  <si>
    <t>Colonia Guadalajarita</t>
  </si>
  <si>
    <t>2546.52 M2</t>
  </si>
  <si>
    <t>García</t>
  </si>
  <si>
    <t>Licitación por Invitación Restringida</t>
  </si>
  <si>
    <t>DOPI-MUN-RP-EP-CI-016-2016</t>
  </si>
  <si>
    <t>Construcción de andadores, instalación de equipos de gimnasio al aire libre, juegos infantiles, piso amortiguante, electrificación, iluminación, mobiliario, fuente y arbolado en el parque El Polvorin II, municipio de Zapopan, Jalisco.</t>
  </si>
  <si>
    <t>Colonia Emiliano Zapata</t>
  </si>
  <si>
    <t>Cortés</t>
  </si>
  <si>
    <t>González</t>
  </si>
  <si>
    <t>Grupo Taube de México, S.A. de C.V.</t>
  </si>
  <si>
    <t>GTM050418384</t>
  </si>
  <si>
    <t>525 M2</t>
  </si>
  <si>
    <t xml:space="preserve">Juan José </t>
  </si>
  <si>
    <t xml:space="preserve">Garcia </t>
  </si>
  <si>
    <t>Peréz</t>
  </si>
  <si>
    <t>DOPI-MUN- R33FORTA-PROY-CI-017-2016</t>
  </si>
  <si>
    <t>Proyecto ejecutivo para la construcción de Nodo Vial en 5 de Mayo y Periférico Poniente, en San Juan de Ocotán, municipio de Zapopan, Jalisco.</t>
  </si>
  <si>
    <t>San Juan de Ocotán</t>
  </si>
  <si>
    <t>Álvaro Salvador</t>
  </si>
  <si>
    <t>Morales</t>
  </si>
  <si>
    <t>Metro Arquitectura, S.A. de C.V.</t>
  </si>
  <si>
    <t>MAR970702FC6</t>
  </si>
  <si>
    <t xml:space="preserve">Julio </t>
  </si>
  <si>
    <t>de la Peña</t>
  </si>
  <si>
    <t xml:space="preserve"> Rodríguez</t>
  </si>
  <si>
    <t>DOPI-MUN-RP-PROY-CI-019-2016</t>
  </si>
  <si>
    <t>Actualización del proyecto ejecutivo de Av. Inglaterra, de Av. Patria a Av. Aviación, en el municipio de Zapopan, Jalisco.</t>
  </si>
  <si>
    <t>Colonias Puertas del Tule y San Juan de Ocotán</t>
  </si>
  <si>
    <t>José Manuel</t>
  </si>
  <si>
    <t>Gómez</t>
  </si>
  <si>
    <t>Castellanos</t>
  </si>
  <si>
    <t>GVA Desarrollos Integrales, S.A. de C.V.</t>
  </si>
  <si>
    <t>GDI020122D2A</t>
  </si>
  <si>
    <t xml:space="preserve">Norberto Esaú </t>
  </si>
  <si>
    <t>Romero</t>
  </si>
  <si>
    <t xml:space="preserve"> Joya</t>
  </si>
  <si>
    <t>DOPI-MUN-RP-PAV-LP-020-2016</t>
  </si>
  <si>
    <t>Sustitución de losas de concreto, reposición de guarnición, nivelación de pozos de visita, cajas de válvulas, rejillas pluviales, bocas de tormenta y elementos estructurales que sobresalen de la rasante de la vialidad, calafateos, señaletica horizontal; en calle Orion de Av. Sierra de Mazamitla a Av. López Mateos, de Av. Sierra de Mazamitla de Valle de Atemajac a Límite Municipal (Av. Las Fuentes) municipio de Zapopan, Jalisco.</t>
  </si>
  <si>
    <t>Colonias Pinar de la Calma y Las Águilas</t>
  </si>
  <si>
    <t>Francisco Javier</t>
  </si>
  <si>
    <t>Díaz</t>
  </si>
  <si>
    <t>Ruiz</t>
  </si>
  <si>
    <t>Constructora Diru, S.A. de C.V.</t>
  </si>
  <si>
    <t>CDI950714B79</t>
  </si>
  <si>
    <t>1,943 M2</t>
  </si>
  <si>
    <t xml:space="preserve">Carlos Gerardo </t>
  </si>
  <si>
    <t xml:space="preserve">Peña </t>
  </si>
  <si>
    <t>DOPI-MUN-RP-PAV-LP-021-2016</t>
  </si>
  <si>
    <t>Sustitución de losas de concreto, reposición de guarnición, nivelación de pozos de visita, cajas de válvulas, rejillas pluviales, bocas de tormenta y elementos estructurales que sobresalen de la rasante de la vialidad, calafateos, señaletica horizontal en Av. Naciones Unidas de Tomas Fuller a Glorieta del Paso del Prado, municipio de Zapopan, Jalisco.</t>
  </si>
  <si>
    <t>Colonia Loma Real</t>
  </si>
  <si>
    <t>Oscar</t>
  </si>
  <si>
    <t>Rodríguez</t>
  </si>
  <si>
    <t>Cadaco Construcciones, S.A. de C.V.</t>
  </si>
  <si>
    <t>CCO070612CT2</t>
  </si>
  <si>
    <t>3,528 M2</t>
  </si>
  <si>
    <t xml:space="preserve">Jacob </t>
  </si>
  <si>
    <t xml:space="preserve">Tejeda </t>
  </si>
  <si>
    <t>Alvarez</t>
  </si>
  <si>
    <t>DOPI-MUN-RP-PAV-LP-022-2016</t>
  </si>
  <si>
    <t>Renivelación con mezcla asfáltica y sello con mortero asfáltico, nivelación de pozos de visita, cajas de válvulas, rejillas pluviales, bocas de tormenta y elementos estructurales que sobresalen de la rasante de la vialidad, calafateos, señaletica horizontal en Av. Central de Periferico Poniente a Av. Vallarta y en Av. Calzada Nueva de Av. Central a Av. Vallarta, en la colonia Ciudad Granja, municipio de Zapopan, Jalisco.</t>
  </si>
  <si>
    <t>Colonia Ciudad Granja</t>
  </si>
  <si>
    <t>José Francisco</t>
  </si>
  <si>
    <t>Llaguno</t>
  </si>
  <si>
    <t>Yzabal</t>
  </si>
  <si>
    <t>Emulsiones, Sellos y Pavimentos Asfálticos, S.A. de C.V.</t>
  </si>
  <si>
    <t>ESP940311A26</t>
  </si>
  <si>
    <t>45,550 M2</t>
  </si>
  <si>
    <t xml:space="preserve">Victor Manuel </t>
  </si>
  <si>
    <t xml:space="preserve">Lomeli </t>
  </si>
  <si>
    <t>DOPI-MUN-RP-PAV-LP-023-2016</t>
  </si>
  <si>
    <t>Reencarpetamiento de la vialidad, desbastado de la carpeta existente, nivelación de pozos de visita, cajas de válvulas, rejillas pluviales, bocas de tormenta y elementos estructurales que sobresalen de la rasante de la vialidad, calafateos, señaletica horizontal de la Av. Sierra de Mazamitla de Valle de Atemajac a calle Orión;  y Renivelación de carpeta asfaltica, reposición de guarnición, nivelación de pozos de visita, cajas de válvulas, rejillas pluviales, bocas de tormenta y elementos estructurales que sobresalen de la rasante de la vialidad, calafateos, señaletica horizontal en Av. Paseo del Prado de la Glorieta Paseo del Prado al limíte Municipal, municipio de Zapopan, Jalisco.</t>
  </si>
  <si>
    <t>Colonias Loma del Valle y Las Águilas</t>
  </si>
  <si>
    <t>Rosalba Edilia</t>
  </si>
  <si>
    <t>Sandoval</t>
  </si>
  <si>
    <t>Huizar</t>
  </si>
  <si>
    <t>Infraestructura San Miguel, S.A. de C.V.</t>
  </si>
  <si>
    <t>ISM0112209Y5</t>
  </si>
  <si>
    <t>24,196 M2</t>
  </si>
  <si>
    <t>DOPI-MUN-RP-PAV-LP-024-2016</t>
  </si>
  <si>
    <t>Reencarpetamiento de la vialidad, desbastado de la carpeta existente, nivelación de pozos de visita, cajas de válvulas, rejillas pluviales, bocas de tormenta y elementos estructurales que sobresalen de la rasante de la vialidad, calafateos, señaletica horizontal en Av. Pablo Neruda de Av. Patria a límite Municipal, municipio de Zapopan, Jalisco.</t>
  </si>
  <si>
    <t>Colonia Colinas de San Javier</t>
  </si>
  <si>
    <t>Carlos Felipe</t>
  </si>
  <si>
    <t>Guerra</t>
  </si>
  <si>
    <t>Urbanizadora Vázquez Guerra, S.A. de C.V.</t>
  </si>
  <si>
    <t>UVG841211G22</t>
  </si>
  <si>
    <t>14,500 M2</t>
  </si>
  <si>
    <t>DOPI-MUN-RP-PAV-LP-025-2016</t>
  </si>
  <si>
    <t>Sustitución de losas de concreto, reposición de guarnición, nivelación de pozos de visita, cajas de válvulas, rejillas pluviales, bocas de tormenta y elementos estructurales que sobresalen de la rasante de la vialidad, calafateos, señaletica horizontal; en Av. Patria de Av. Guadalupe a Av. López Mateos tramo 1, en el municipio de Zapopan, Jalisco</t>
  </si>
  <si>
    <t>Colonias Mirador del Sol, l Colli Urbano y La Calma</t>
  </si>
  <si>
    <t>Blanca Estela</t>
  </si>
  <si>
    <t>Moreno</t>
  </si>
  <si>
    <t>Lemus</t>
  </si>
  <si>
    <t xml:space="preserve">Estudios, Proyectos y Construcciones de Guadalajara, S.A. de C.V. </t>
  </si>
  <si>
    <t>EPC7107236R1</t>
  </si>
  <si>
    <t>4,855 M2</t>
  </si>
  <si>
    <t xml:space="preserve">José Rafael </t>
  </si>
  <si>
    <t xml:space="preserve">Aguayo </t>
  </si>
  <si>
    <t>Cortes</t>
  </si>
  <si>
    <t>DOPI-MUN-RP-PAV-LP-026-2016</t>
  </si>
  <si>
    <t>Sustitución de losas de concreto, reposición de guarnición, nivelación de pozos de visita, cajas de válvulas, rejillas pluviales, bocas de tormenta y elementos estructurales que sobresalen de la rasante de la vialidad, calafateos, señaletica horizontal; en Av. Patria de Av. Guadalupe a Av. López Mateos tramo 2, en el municipio de Zapopan, Jalisco</t>
  </si>
  <si>
    <t>Arturo</t>
  </si>
  <si>
    <t>Montufar</t>
  </si>
  <si>
    <t>Núñez</t>
  </si>
  <si>
    <t>Velero Pavimentación y Construcción S.A. de C.V.</t>
  </si>
  <si>
    <t>VPC0012148K0</t>
  </si>
  <si>
    <t>3,883 M2</t>
  </si>
  <si>
    <t xml:space="preserve">Jose Rafael </t>
  </si>
  <si>
    <t>DOPI-MUN-RP-PAV-LP-027-2016</t>
  </si>
  <si>
    <t>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centrales), tramo 1, de Av. Angel Leaño a carretera Colotlán, municipio de Zapopan, Jalisco.</t>
  </si>
  <si>
    <t>Colonia Nuevo México</t>
  </si>
  <si>
    <t>Ignacio Javier</t>
  </si>
  <si>
    <t>Curiel</t>
  </si>
  <si>
    <t>Dueñas</t>
  </si>
  <si>
    <t>TC Construcción y Mantenimiento, S.A. de C.V.</t>
  </si>
  <si>
    <t>TCM100915HA1</t>
  </si>
  <si>
    <t>32,145 M2</t>
  </si>
  <si>
    <t xml:space="preserve">Miguel </t>
  </si>
  <si>
    <t xml:space="preserve">Frausto </t>
  </si>
  <si>
    <t>Rivera</t>
  </si>
  <si>
    <t>DOPI-MUN-RP-PAV-LP-028-2016</t>
  </si>
  <si>
    <t>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centrales), tramo 2, de Av. Angel Leaño a carretera Colotlán, municipio de Zapopan, Jalisco.</t>
  </si>
  <si>
    <t>30,824 M2</t>
  </si>
  <si>
    <t>DOPI-MUN-RP-PAV-LP-029-2016</t>
  </si>
  <si>
    <t>Reencarpetamiento de la vialidad, desbastado de la carpeta existente, nivelación de pozos de visita, cajas de válvulas, rejillas pluviales, bocas de tormenta y elementos estructurales que sobresalen de la rasante de la vialidad, calafateos, señaletica horizontal en Av. Juan Gil Preciado (carriles laterales), tramo 1, de la Av. Angel Leaño a la carretera Colotlán, municipio de Zapopan, Jalisco</t>
  </si>
  <si>
    <t>Rodrigo</t>
  </si>
  <si>
    <t>Ramos</t>
  </si>
  <si>
    <t>Garibi</t>
  </si>
  <si>
    <t>Metro Asfaltos, S.A. de C.V.</t>
  </si>
  <si>
    <t>CMA070307RU6</t>
  </si>
  <si>
    <t>17,667 M2</t>
  </si>
  <si>
    <t>DOPI-MUN-RP-PAV-LP-030-2016</t>
  </si>
  <si>
    <t>Reencarpetamiento de la vialidad, desbastado de la carpeta existente, nivelación de pozos de visita, cajas de válvulas, rejillas pluviales, bocas de tormenta y elementos estructurales que sobresalen de la rasante de la vialidad, calafateos, señaletica horizontal en Av. Juan Gil Preciado (carriles laterales), tramo 2, de la Av. Angel Leaño a la carretera Colotlán, municipio de Zapopan, Jalisco</t>
  </si>
  <si>
    <t>Braulia</t>
  </si>
  <si>
    <t>Colmenares</t>
  </si>
  <si>
    <t>Aldsanbm Constructora, S.A. de C.V.</t>
  </si>
  <si>
    <t>ACO070606CY5</t>
  </si>
  <si>
    <t>16,932 M2</t>
  </si>
  <si>
    <t>Colonias: Miramar, Royal Country y Puerta Plata</t>
  </si>
  <si>
    <t>44,265 M2</t>
  </si>
  <si>
    <t>Aguayo</t>
  </si>
  <si>
    <t xml:space="preserve"> Cortés</t>
  </si>
  <si>
    <t>Santa Ana Tepetitlán</t>
  </si>
  <si>
    <t>248 M2</t>
  </si>
  <si>
    <t xml:space="preserve">Jorge Adriel </t>
  </si>
  <si>
    <t xml:space="preserve">Guzmán </t>
  </si>
  <si>
    <t>Colonias: Periodistas, El Mante y El Briseño</t>
  </si>
  <si>
    <t>37,800 M2</t>
  </si>
  <si>
    <t xml:space="preserve"> Peña </t>
  </si>
  <si>
    <t>Colonias: Altagracia, La Martinica y Arroyo Hondo</t>
  </si>
  <si>
    <t>44,056 M2</t>
  </si>
  <si>
    <t>Edificio de Servicios Públicos Municipales</t>
  </si>
  <si>
    <t>23 M2</t>
  </si>
  <si>
    <t>DIF Laureles</t>
  </si>
  <si>
    <t>125 M2</t>
  </si>
  <si>
    <t xml:space="preserve">Alhelí </t>
  </si>
  <si>
    <t xml:space="preserve">Rubio </t>
  </si>
  <si>
    <t>Colonias: La Florida y Primavera</t>
  </si>
  <si>
    <t>216 ML</t>
  </si>
  <si>
    <t>Colonia La Limera</t>
  </si>
  <si>
    <t>735 ML</t>
  </si>
  <si>
    <t xml:space="preserve">Fernando  </t>
  </si>
  <si>
    <t xml:space="preserve">Adame </t>
  </si>
  <si>
    <t>Tornel</t>
  </si>
  <si>
    <t>Colonias: Rio Blanco y Lomas del Refugio</t>
  </si>
  <si>
    <t>1543 ML</t>
  </si>
  <si>
    <t>Colonia Lomas del Refugio</t>
  </si>
  <si>
    <t xml:space="preserve">Héctor </t>
  </si>
  <si>
    <t xml:space="preserve">Flores </t>
  </si>
  <si>
    <t>Franco</t>
  </si>
  <si>
    <t>Colonias: Valle de Atemajac, Villa de Guadalupe, Arenales Tapatios, Unidad Fovissste y Santa Margarita Primera Sección</t>
  </si>
  <si>
    <t>5 PLANTELES</t>
  </si>
  <si>
    <t xml:space="preserve">Gerardo </t>
  </si>
  <si>
    <t xml:space="preserve">Arceo </t>
  </si>
  <si>
    <t>Colonia Villa de Guadalupe</t>
  </si>
  <si>
    <t xml:space="preserve">José Antonio </t>
  </si>
  <si>
    <t xml:space="preserve">García </t>
  </si>
  <si>
    <t>López</t>
  </si>
  <si>
    <t>DOPI-MUN-AMP-PAV-CI-044-2016</t>
  </si>
  <si>
    <t>Julio Eduardo</t>
  </si>
  <si>
    <t>Proyectos e Insumos Industriales Jelp, S.A. de C.V.</t>
  </si>
  <si>
    <t>PEI020208RW0</t>
  </si>
  <si>
    <t>750 M2</t>
  </si>
  <si>
    <t xml:space="preserve">Ing. Jacob </t>
  </si>
  <si>
    <t>DOPI-MUN-AMP-PAV-CI-045-2016</t>
  </si>
  <si>
    <t>José Antonio</t>
  </si>
  <si>
    <t>Urcoma 1970, S.A. de C.V.</t>
  </si>
  <si>
    <t>UMN160125869</t>
  </si>
  <si>
    <t>2,466 M2</t>
  </si>
  <si>
    <t xml:space="preserve">Ing.Rafael </t>
  </si>
  <si>
    <t>DOPI-MUN-AMP-PAV-CI-046-2016</t>
  </si>
  <si>
    <t>Orlando</t>
  </si>
  <si>
    <t>Hijar</t>
  </si>
  <si>
    <t>Casillas</t>
  </si>
  <si>
    <t>Constructora y Urbanizadora Ceda, S.A. de C.V.</t>
  </si>
  <si>
    <t>CUC121107NV2</t>
  </si>
  <si>
    <t>2,014 M2</t>
  </si>
  <si>
    <t xml:space="preserve">Ing. Juan José </t>
  </si>
  <si>
    <t xml:space="preserve">Quirarte </t>
  </si>
  <si>
    <t>DOPI-MUN-AMP-AP-CI-047-2016</t>
  </si>
  <si>
    <t>Rogelio</t>
  </si>
  <si>
    <t>Arballo</t>
  </si>
  <si>
    <t>Luján</t>
  </si>
  <si>
    <t>Maquiobras, S.A. de C.V.</t>
  </si>
  <si>
    <t>MAQ980415GF0</t>
  </si>
  <si>
    <t>2,390 ML</t>
  </si>
  <si>
    <t>DOPI-MUN-AMP-AP-CI-048-2016</t>
  </si>
  <si>
    <t>Lugo</t>
  </si>
  <si>
    <t>Obras y Comercialización de la Construcción, S.A. de C.V.</t>
  </si>
  <si>
    <t>OCC940714PB0</t>
  </si>
  <si>
    <t>808 ML</t>
  </si>
  <si>
    <t xml:space="preserve">Ing. Alfonso </t>
  </si>
  <si>
    <t xml:space="preserve">Cuevas </t>
  </si>
  <si>
    <t>Murillo</t>
  </si>
  <si>
    <t>DOPI-MUN-AMP-AP-CI-049-2016</t>
  </si>
  <si>
    <t>Loza</t>
  </si>
  <si>
    <t>Promotores Inmobiliarios y Constructores de Jalisco, S.A. de C.V.</t>
  </si>
  <si>
    <t>PIC101216TL9</t>
  </si>
  <si>
    <t>561 ML</t>
  </si>
  <si>
    <t>2,010 M2</t>
  </si>
  <si>
    <t>4,400 M2</t>
  </si>
  <si>
    <t>3,090 M2</t>
  </si>
  <si>
    <t>510 M2</t>
  </si>
  <si>
    <t>3,045 M2</t>
  </si>
  <si>
    <t xml:space="preserve">Ing. Rafael </t>
  </si>
  <si>
    <t>13,005 M2</t>
  </si>
  <si>
    <t xml:space="preserve">Ing. Juan Santiago </t>
  </si>
  <si>
    <t xml:space="preserve">Ramos </t>
  </si>
  <si>
    <t>Ozuna</t>
  </si>
  <si>
    <t>8,610 M2</t>
  </si>
  <si>
    <t>13,445 M2</t>
  </si>
  <si>
    <t>11,700 M2</t>
  </si>
  <si>
    <t>Colonia Las Águilas</t>
  </si>
  <si>
    <t>38,846 M2</t>
  </si>
  <si>
    <t>Ing. Víctor Alfonso</t>
  </si>
  <si>
    <t>Ramírez</t>
  </si>
  <si>
    <t>Reyes</t>
  </si>
  <si>
    <t>Varias colonias del Municipio</t>
  </si>
  <si>
    <t>95,806 M2</t>
  </si>
  <si>
    <t>En Proceso</t>
  </si>
  <si>
    <t>40,328 M2</t>
  </si>
  <si>
    <t xml:space="preserve">Ing. Miguel </t>
  </si>
  <si>
    <t>24,640 M2</t>
  </si>
  <si>
    <t>6,073 M2</t>
  </si>
  <si>
    <t>Col. Residencial Poniente</t>
  </si>
  <si>
    <t>855 ML</t>
  </si>
  <si>
    <t xml:space="preserve">Arq. Víctor Manuel </t>
  </si>
  <si>
    <t>Col. Fraccionamiento Tabachines</t>
  </si>
  <si>
    <t>462 M2</t>
  </si>
  <si>
    <t xml:space="preserve">Arq. Joel </t>
  </si>
  <si>
    <t xml:space="preserve">Olivares </t>
  </si>
  <si>
    <t>Duarte</t>
  </si>
  <si>
    <t>Localidad de Santa Lucía</t>
  </si>
  <si>
    <t>1,137 m2</t>
  </si>
  <si>
    <t>Col. Parque Industrial Belenes</t>
  </si>
  <si>
    <t>112 M2</t>
  </si>
  <si>
    <t>Colonia Agua Fría</t>
  </si>
  <si>
    <t>680 M2</t>
  </si>
  <si>
    <t>San Juan de Ocotán y Col. Miramar</t>
  </si>
  <si>
    <t>312 M2</t>
  </si>
  <si>
    <t xml:space="preserve">Arq. Jorge Adriel </t>
  </si>
  <si>
    <t>Colonia Santa Monica de los Chorritos y Santa Lucia</t>
  </si>
  <si>
    <t>4,700 M3</t>
  </si>
  <si>
    <t>Municipio de Zapopan</t>
  </si>
  <si>
    <t>30,700 M2</t>
  </si>
  <si>
    <t>2,495 M2</t>
  </si>
  <si>
    <t>Col. El Paraiso</t>
  </si>
  <si>
    <t>812 M2</t>
  </si>
  <si>
    <t xml:space="preserve">Arq. José Antonio </t>
  </si>
  <si>
    <t xml:space="preserve">Ing. Fernando </t>
  </si>
  <si>
    <t xml:space="preserve">Chavez </t>
  </si>
  <si>
    <t>Colonia El Batán</t>
  </si>
  <si>
    <t>768 M2</t>
  </si>
  <si>
    <t>Colonia Puerta del Valle</t>
  </si>
  <si>
    <t>925 M2</t>
  </si>
  <si>
    <t>Colonia Las Higueras</t>
  </si>
  <si>
    <t>5,324 M2</t>
  </si>
  <si>
    <t>Federal</t>
  </si>
  <si>
    <t>28,562 M2</t>
  </si>
  <si>
    <t xml:space="preserve">Ing. Oscar Ivan </t>
  </si>
  <si>
    <t xml:space="preserve">Barcena </t>
  </si>
  <si>
    <t>Galindo</t>
  </si>
  <si>
    <t>22,150 M2</t>
  </si>
  <si>
    <t>10,640 M2</t>
  </si>
  <si>
    <t>7,380 M2</t>
  </si>
  <si>
    <t>840 M2</t>
  </si>
  <si>
    <t>4,015 M2</t>
  </si>
  <si>
    <t>1,885 M2</t>
  </si>
  <si>
    <t>3,796 M2</t>
  </si>
  <si>
    <t>4,847 M2</t>
  </si>
  <si>
    <t>11,696 M2</t>
  </si>
  <si>
    <t>14,923 M2</t>
  </si>
  <si>
    <t>13,168 M2</t>
  </si>
  <si>
    <t>7,750 M2</t>
  </si>
  <si>
    <t>5,500 M2</t>
  </si>
  <si>
    <t>3,802.5 M2</t>
  </si>
  <si>
    <t>1,240 M2</t>
  </si>
  <si>
    <t xml:space="preserve">Arq. Alheli Guadalupe </t>
  </si>
  <si>
    <t>Estatal</t>
  </si>
  <si>
    <t>315 M2</t>
  </si>
  <si>
    <t xml:space="preserve">Arq. Carlos Gerardo </t>
  </si>
  <si>
    <t>1,222 M2</t>
  </si>
  <si>
    <t>375 M2</t>
  </si>
  <si>
    <t>5,067 M2</t>
  </si>
  <si>
    <t>16,200 M2</t>
  </si>
  <si>
    <t>Ing. Juan Santiago</t>
  </si>
  <si>
    <t xml:space="preserve"> Ramos </t>
  </si>
  <si>
    <t>1,894 M2</t>
  </si>
  <si>
    <t>2,001 M2</t>
  </si>
  <si>
    <t>7,601 M2</t>
  </si>
  <si>
    <t xml:space="preserve">Ing. Luís Erazmo </t>
  </si>
  <si>
    <t xml:space="preserve">Durán </t>
  </si>
  <si>
    <t>Godina</t>
  </si>
  <si>
    <t>177 M3</t>
  </si>
  <si>
    <t>2,130 M2</t>
  </si>
  <si>
    <t xml:space="preserve">Ing.Arq. Karina Fabiola </t>
  </si>
  <si>
    <t xml:space="preserve">Mireles </t>
  </si>
  <si>
    <t>Delgado</t>
  </si>
  <si>
    <t>846 M2</t>
  </si>
  <si>
    <t>3,876 M2</t>
  </si>
  <si>
    <t>420 M2</t>
  </si>
  <si>
    <t>3,503 M2</t>
  </si>
  <si>
    <t>720 M2</t>
  </si>
  <si>
    <t>240 M2</t>
  </si>
  <si>
    <t>16,290 M2</t>
  </si>
  <si>
    <t>4,814 M2</t>
  </si>
  <si>
    <t>3,015 M2</t>
  </si>
  <si>
    <t>6,069 M2</t>
  </si>
  <si>
    <t>14,859.03 M2</t>
  </si>
  <si>
    <t xml:space="preserve">Arq. Héctor </t>
  </si>
  <si>
    <t>816.76 M2</t>
  </si>
  <si>
    <t xml:space="preserve">L.u.m.a. Juan José </t>
  </si>
  <si>
    <t xml:space="preserve"> Pérez</t>
  </si>
  <si>
    <t>4,876.75 M2</t>
  </si>
  <si>
    <t>Colonia Prados Providencia</t>
  </si>
  <si>
    <t>1,236 M2</t>
  </si>
  <si>
    <t>1,224 M2</t>
  </si>
  <si>
    <t>Colonia Constitución</t>
  </si>
  <si>
    <t>621 M2</t>
  </si>
  <si>
    <t xml:space="preserve">Ing. Arq. Oscar Iván </t>
  </si>
  <si>
    <t>653 M2</t>
  </si>
  <si>
    <t>558 M2</t>
  </si>
  <si>
    <t>Colonia Lomas Altas</t>
  </si>
  <si>
    <t>1,844 M2</t>
  </si>
  <si>
    <t>Colonia La Martinica</t>
  </si>
  <si>
    <t>513 M2</t>
  </si>
  <si>
    <t>Colonia Real del Valle</t>
  </si>
  <si>
    <t>1302 M2</t>
  </si>
  <si>
    <t>Localidad Santa Lucía</t>
  </si>
  <si>
    <t>4,468 M3</t>
  </si>
  <si>
    <t xml:space="preserve">Chávez </t>
  </si>
  <si>
    <t>Localidad de Milpillas</t>
  </si>
  <si>
    <t>1,280 ML</t>
  </si>
  <si>
    <t xml:space="preserve">Arq. José Pablo </t>
  </si>
  <si>
    <t xml:space="preserve">Villaseñor </t>
  </si>
  <si>
    <t>735 M2</t>
  </si>
  <si>
    <t xml:space="preserve">Ing. Jorge Adriel </t>
  </si>
  <si>
    <t xml:space="preserve">Guzman </t>
  </si>
  <si>
    <t>Localidad de Atemajac</t>
  </si>
  <si>
    <t>244 M2</t>
  </si>
  <si>
    <t>Recurso Propio</t>
  </si>
  <si>
    <t>JAIME ANDRÉS
ARMANDO</t>
  </si>
  <si>
    <t>RAMAL
GONZÁLEZ</t>
  </si>
  <si>
    <t>ABOUMRAD
FARAH</t>
  </si>
  <si>
    <t>CSS8303089S9
DVV121012433</t>
  </si>
  <si>
    <t>19,257 M2</t>
  </si>
  <si>
    <t xml:space="preserve">Ing. Victor </t>
  </si>
  <si>
    <t xml:space="preserve">Ramirez </t>
  </si>
  <si>
    <t>3,891 ML</t>
  </si>
  <si>
    <t>1 PZA</t>
  </si>
  <si>
    <t>382 M2</t>
  </si>
  <si>
    <t xml:space="preserve">Arq. Claudio Manuel </t>
  </si>
  <si>
    <t xml:space="preserve">Gomez </t>
  </si>
  <si>
    <t>Ortiz</t>
  </si>
  <si>
    <t>1,988 ML</t>
  </si>
  <si>
    <t>3,597 M2</t>
  </si>
  <si>
    <t>300 ML</t>
  </si>
  <si>
    <t>Ramo 33 (Coplademun)</t>
  </si>
  <si>
    <t>1,150 ML</t>
  </si>
  <si>
    <t>Tornell</t>
  </si>
  <si>
    <t>1,349.88 ML</t>
  </si>
  <si>
    <t>7,500 M2</t>
  </si>
  <si>
    <t>3,201 M2</t>
  </si>
  <si>
    <t>16,033 M2</t>
  </si>
  <si>
    <t>3,682 M2</t>
  </si>
  <si>
    <t>1,598 M2</t>
  </si>
  <si>
    <t>6,512 M2</t>
  </si>
  <si>
    <t>3,208 M2</t>
  </si>
  <si>
    <t>2,548 M2</t>
  </si>
  <si>
    <t>2,378 M2</t>
  </si>
  <si>
    <t>15 PZAS</t>
  </si>
  <si>
    <t>5,625 M2</t>
  </si>
  <si>
    <t xml:space="preserve">Ing. Camilo </t>
  </si>
  <si>
    <t xml:space="preserve">Carbajal </t>
  </si>
  <si>
    <t>Ruvalcaba</t>
  </si>
  <si>
    <t>5,612 M2</t>
  </si>
  <si>
    <t>5,721 M2</t>
  </si>
  <si>
    <t>5,725 M2</t>
  </si>
  <si>
    <t>5,731 M2</t>
  </si>
  <si>
    <t>5,645 M2</t>
  </si>
  <si>
    <t>5,733 M2</t>
  </si>
  <si>
    <t>5,614 M2</t>
  </si>
  <si>
    <t>5,591 M2</t>
  </si>
  <si>
    <t>5,608 M2</t>
  </si>
  <si>
    <t>584 ML</t>
  </si>
  <si>
    <t>3,100 M2</t>
  </si>
  <si>
    <t>1 PARTIDA</t>
  </si>
  <si>
    <t xml:space="preserve">Lic. Sandra Patricia </t>
  </si>
  <si>
    <t xml:space="preserve">Sánchez </t>
  </si>
  <si>
    <t>Valdéz</t>
  </si>
  <si>
    <t>9,461.16 M2</t>
  </si>
  <si>
    <t>9,461.16 M3</t>
  </si>
  <si>
    <t>254 M2</t>
  </si>
  <si>
    <t xml:space="preserve">Ing. José Federico </t>
  </si>
  <si>
    <t xml:space="preserve">Luna </t>
  </si>
  <si>
    <t>13,099.16 M2</t>
  </si>
  <si>
    <t>8,180.41 M2</t>
  </si>
  <si>
    <t>1,718 M2</t>
  </si>
  <si>
    <t>2,265 M2</t>
  </si>
  <si>
    <t>249 M3</t>
  </si>
  <si>
    <t>4,153 ML</t>
  </si>
  <si>
    <t>Colonia Bajío</t>
  </si>
  <si>
    <t>231 ML</t>
  </si>
  <si>
    <t>Ing. Jacob</t>
  </si>
  <si>
    <t>Localidad de Tesistán</t>
  </si>
  <si>
    <t>222 ML</t>
  </si>
  <si>
    <t>Col. Gustavo Diaz Ordaz</t>
  </si>
  <si>
    <t>684 M2</t>
  </si>
  <si>
    <t xml:space="preserve"> Villa</t>
  </si>
  <si>
    <t>1,601 M2</t>
  </si>
  <si>
    <t>4,215 M2</t>
  </si>
  <si>
    <t>1,440 M2</t>
  </si>
  <si>
    <t>6,183 M2</t>
  </si>
  <si>
    <t>5,521 M2</t>
  </si>
  <si>
    <t>898 M2</t>
  </si>
  <si>
    <t>47,361.07 M2</t>
  </si>
  <si>
    <t>417.4 M2</t>
  </si>
  <si>
    <t>767.32 M2</t>
  </si>
  <si>
    <t>3,642.95 M2</t>
  </si>
  <si>
    <t>1,200 M2</t>
  </si>
  <si>
    <t>9,522.21 M2</t>
  </si>
  <si>
    <t>5,960 M2</t>
  </si>
  <si>
    <t>Estatal Consejo Metropolitano</t>
  </si>
  <si>
    <t>8,833 M2</t>
  </si>
  <si>
    <t>Mireles</t>
  </si>
  <si>
    <t xml:space="preserve"> Delgado</t>
  </si>
  <si>
    <t>8,401 M2</t>
  </si>
  <si>
    <t>30,276 M2</t>
  </si>
  <si>
    <t>14,220 M2</t>
  </si>
  <si>
    <t>10,786 M2</t>
  </si>
  <si>
    <t>4,585 M2</t>
  </si>
  <si>
    <t>12,433 M2</t>
  </si>
  <si>
    <t>3,911.58 M2</t>
  </si>
  <si>
    <t>6,300 M2</t>
  </si>
  <si>
    <t xml:space="preserve">Ing.Carlos Manuel </t>
  </si>
  <si>
    <t xml:space="preserve">Bautista </t>
  </si>
  <si>
    <t>671.12 ML</t>
  </si>
  <si>
    <t>Colonia San Isidro</t>
  </si>
  <si>
    <t>132 ML</t>
  </si>
  <si>
    <t xml:space="preserve">Gómez </t>
  </si>
  <si>
    <t>426 M2</t>
  </si>
  <si>
    <t>Invitación a Cuando Menos Tres Personas</t>
  </si>
  <si>
    <t>Hábitat 2016</t>
  </si>
  <si>
    <t>3,200 M2</t>
  </si>
  <si>
    <t>796,102 M2</t>
  </si>
  <si>
    <t xml:space="preserve">Neri </t>
  </si>
  <si>
    <t>8,510 M2</t>
  </si>
  <si>
    <t>115 M2</t>
  </si>
  <si>
    <t>1,010 M2</t>
  </si>
  <si>
    <t>5,752 ML</t>
  </si>
  <si>
    <t>Colonia Unidad Fovissste y Colonia Santa Margarita I sección</t>
  </si>
  <si>
    <t>1,035 M2</t>
  </si>
  <si>
    <t xml:space="preserve">Arq. Gerardo </t>
  </si>
  <si>
    <t xml:space="preserve"> Arizaga</t>
  </si>
  <si>
    <t>Colonia La Arboleda</t>
  </si>
  <si>
    <t>3,033 M2</t>
  </si>
  <si>
    <t xml:space="preserve">Arq. Eduardo </t>
  </si>
  <si>
    <t xml:space="preserve">Laguna </t>
  </si>
  <si>
    <t>Evangelista</t>
  </si>
  <si>
    <t>822 M2</t>
  </si>
  <si>
    <t xml:space="preserve"> Ortiz</t>
  </si>
  <si>
    <t>2,982.85 M2</t>
  </si>
  <si>
    <t>Colonia Santa Margarita</t>
  </si>
  <si>
    <t>6,380 M2</t>
  </si>
  <si>
    <t>1 ESTUDIO</t>
  </si>
  <si>
    <t>Ing. Pablo</t>
  </si>
  <si>
    <t>3,200 ML</t>
  </si>
  <si>
    <t>733 ML</t>
  </si>
  <si>
    <t>2,918 ML</t>
  </si>
  <si>
    <t>1,921.33 M2</t>
  </si>
  <si>
    <t>1,754.05 M2</t>
  </si>
  <si>
    <t>1 LOTE</t>
  </si>
  <si>
    <t>Colonia Camichines Vallarta</t>
  </si>
  <si>
    <t>96 M2</t>
  </si>
  <si>
    <t xml:space="preserve">Ing. Martín </t>
  </si>
  <si>
    <t>Colonia El Tigre II</t>
  </si>
  <si>
    <t>796 M2</t>
  </si>
  <si>
    <t>1,502.75 M2</t>
  </si>
  <si>
    <t>Lomelí</t>
  </si>
  <si>
    <t>Col. Villas Perisur</t>
  </si>
  <si>
    <t>263 M2</t>
  </si>
  <si>
    <t xml:space="preserve"> Ortega</t>
  </si>
  <si>
    <t>3,000 M2</t>
  </si>
  <si>
    <t>Col. Constitución</t>
  </si>
  <si>
    <t>343 M2</t>
  </si>
  <si>
    <t>Col. Valle de Atemajac y Col. Villa de Guadalupe</t>
  </si>
  <si>
    <t>4,053 M2</t>
  </si>
  <si>
    <t>Col. El Colli y Col. Tabachines</t>
  </si>
  <si>
    <t>1,519 M2</t>
  </si>
  <si>
    <t>Col. Santa Ana Tepetitlán y Col. La Higuera</t>
  </si>
  <si>
    <t>148 ML</t>
  </si>
  <si>
    <t>Col. Colinas de San Javier</t>
  </si>
  <si>
    <t>3,244 M2</t>
  </si>
  <si>
    <t>Col. Santa Lucia</t>
  </si>
  <si>
    <t>50 M2</t>
  </si>
  <si>
    <t>Localidad Cerca Morada</t>
  </si>
  <si>
    <t>Colonia El Tizate</t>
  </si>
  <si>
    <t>515.8 ML</t>
  </si>
  <si>
    <t>Localidad Los Patios</t>
  </si>
  <si>
    <t>3,240 ML</t>
  </si>
  <si>
    <t>Colonia La Coronilla</t>
  </si>
  <si>
    <t>362.52 ML</t>
  </si>
  <si>
    <t>Colonia Indígena de Mezquitán I sección</t>
  </si>
  <si>
    <t>318.38 ML</t>
  </si>
  <si>
    <t>841.71 ML</t>
  </si>
  <si>
    <t>1,013.31 M2</t>
  </si>
  <si>
    <t>819.2 M2</t>
  </si>
  <si>
    <t>1,033.62 M2</t>
  </si>
  <si>
    <t>1,210 ML</t>
  </si>
  <si>
    <t>Colonia Arenales Tapatios</t>
  </si>
  <si>
    <t>870 ML</t>
  </si>
  <si>
    <t>Colonia Floresta del Colli y Colonia Nuevo México</t>
  </si>
  <si>
    <t>112 ML</t>
  </si>
  <si>
    <t>1,114.44 ML</t>
  </si>
  <si>
    <t>727.89 M2</t>
  </si>
  <si>
    <t>Colonia Cabañitas</t>
  </si>
  <si>
    <t>20 ML</t>
  </si>
  <si>
    <t>Localidad San Esteban</t>
  </si>
  <si>
    <t>1,285 ML</t>
  </si>
  <si>
    <t>Localidad Milpillas</t>
  </si>
  <si>
    <t>Colonia Fovissste</t>
  </si>
  <si>
    <t>1,380 M2</t>
  </si>
  <si>
    <t>Colonia Jardines del Sol</t>
  </si>
  <si>
    <t>1,461.14 M2</t>
  </si>
  <si>
    <t xml:space="preserve">Ing. Pablo </t>
  </si>
  <si>
    <t xml:space="preserve">Gutiérrez </t>
  </si>
  <si>
    <t>Colonia El Vergel, Colonia Santa Margarita y Localidad Santa Ana Tepatitlán</t>
  </si>
  <si>
    <t>1,270 M2</t>
  </si>
  <si>
    <t>Colonia Mesa Colorada</t>
  </si>
  <si>
    <t>660 ML</t>
  </si>
  <si>
    <t>Colonia Marcelino García Barragán</t>
  </si>
  <si>
    <t>447 ML</t>
  </si>
  <si>
    <t>1 SERVICIO</t>
  </si>
  <si>
    <t xml:space="preserve">Arq. Emmanuel </t>
  </si>
  <si>
    <t xml:space="preserve">Martínez </t>
  </si>
  <si>
    <t>Col. Prados de Santa Lucia</t>
  </si>
  <si>
    <t>564 ML</t>
  </si>
  <si>
    <t>Col. Agua Fría</t>
  </si>
  <si>
    <t>1,031 M2</t>
  </si>
  <si>
    <t>1,027 M2</t>
  </si>
  <si>
    <t>Col. Indígena de Mezquitán Sección I</t>
  </si>
  <si>
    <t>355 ML</t>
  </si>
  <si>
    <t>Localidad de Copalita</t>
  </si>
  <si>
    <t>17,660 M2</t>
  </si>
  <si>
    <t>Ing. Fernando</t>
  </si>
  <si>
    <t>1,700 ML</t>
  </si>
  <si>
    <t>Arq. Alheli Guadalupe</t>
  </si>
  <si>
    <t>691 M2</t>
  </si>
  <si>
    <t>Fortamun 2017</t>
  </si>
  <si>
    <t>21 PZAS</t>
  </si>
  <si>
    <t>Colonia El Tigre</t>
  </si>
  <si>
    <t>600 ML</t>
  </si>
  <si>
    <t>Ing. Camilo</t>
  </si>
  <si>
    <t xml:space="preserve">Ing. Fernando  </t>
  </si>
  <si>
    <t>Colonia Chapalita</t>
  </si>
  <si>
    <t>1 PROYECTO</t>
  </si>
  <si>
    <t>490 M2</t>
  </si>
  <si>
    <t>Arq. Eduardo</t>
  </si>
  <si>
    <t>80 ML</t>
  </si>
  <si>
    <t>L.u.m.a. Juan José</t>
  </si>
  <si>
    <t>40 PIEZAS</t>
  </si>
  <si>
    <t>504 M2</t>
  </si>
  <si>
    <t>1,136 M2</t>
  </si>
  <si>
    <t>Ing.Arq. Karina Fabiola</t>
  </si>
  <si>
    <t>5,662 M2</t>
  </si>
  <si>
    <t>Ing. Oscar Ivan</t>
  </si>
  <si>
    <t>6,946 M2</t>
  </si>
  <si>
    <t>Colonias Villas Universidad, Royal Country y Puerta Plata</t>
  </si>
  <si>
    <t>2,162 ML</t>
  </si>
  <si>
    <t xml:space="preserve">Villa </t>
  </si>
  <si>
    <t>Colonia Las Agujas</t>
  </si>
  <si>
    <t>3,645 ML</t>
  </si>
  <si>
    <t>Ing. Juan José</t>
  </si>
  <si>
    <t>260 ML</t>
  </si>
  <si>
    <t>Colonia El Briseño</t>
  </si>
  <si>
    <t>4,523 ML</t>
  </si>
  <si>
    <t xml:space="preserve">Ing. José Rafael </t>
  </si>
  <si>
    <t>Colonia Colomos II</t>
  </si>
  <si>
    <t>643 ML</t>
  </si>
  <si>
    <t>Relleno Sanitario de Picachos</t>
  </si>
  <si>
    <t>3 PIEZAS</t>
  </si>
  <si>
    <t>Colonias Las Aguilas y Las Fuentes</t>
  </si>
  <si>
    <t>93 ML</t>
  </si>
  <si>
    <t>Arq. Daniel</t>
  </si>
  <si>
    <t xml:space="preserve">Torres </t>
  </si>
  <si>
    <t>Covarrubias</t>
  </si>
  <si>
    <t>Colonias Arcos de Zapopan y Loma Bonita Ejidal</t>
  </si>
  <si>
    <t>963 M2</t>
  </si>
  <si>
    <t>Suministro y colocación de estructuras de protección de rayos ultravioleta en los planteles educativos: Secundaria José Antonio Torres (14DE50017T) y Carlos González Peña (14EPR1341C), municipio de Zapopan, Jalisco.</t>
  </si>
  <si>
    <t>975 M2</t>
  </si>
  <si>
    <t>Arq. Joel</t>
  </si>
  <si>
    <t>Colonia Villas Torremolinos</t>
  </si>
  <si>
    <t>4,800 ML</t>
  </si>
  <si>
    <t>Colonia Loma Bonita Ejidal</t>
  </si>
  <si>
    <t>4,000 M2</t>
  </si>
  <si>
    <t>4,232 M2</t>
  </si>
  <si>
    <t>Arq. Carlos Gerardo</t>
  </si>
  <si>
    <t>3,976 M2</t>
  </si>
  <si>
    <t>Clonia San Isidro Ejidal</t>
  </si>
  <si>
    <t>905 M2</t>
  </si>
  <si>
    <t>Colonia Industrial El Colli</t>
  </si>
  <si>
    <t>250 M2</t>
  </si>
  <si>
    <t>Ing. José Rafael</t>
  </si>
  <si>
    <t>Colonia Rinconada Del Parque</t>
  </si>
  <si>
    <t>950 M2</t>
  </si>
  <si>
    <t>129 M2</t>
  </si>
  <si>
    <t>Colonia Arcos de Guadalupe</t>
  </si>
  <si>
    <t>428 ML</t>
  </si>
  <si>
    <t xml:space="preserve">Arq. Sarahí </t>
  </si>
  <si>
    <t>Barnard</t>
  </si>
  <si>
    <t>Román</t>
  </si>
  <si>
    <t>2,633 M2</t>
  </si>
  <si>
    <t>2,533 M2</t>
  </si>
  <si>
    <t>845 M3</t>
  </si>
  <si>
    <t>145 ML</t>
  </si>
  <si>
    <t>6,141 M2</t>
  </si>
  <si>
    <t>Ing. Fernando            </t>
  </si>
  <si>
    <t>3,764 M2</t>
  </si>
  <si>
    <t>2,711 M2</t>
  </si>
  <si>
    <t>90 chorros</t>
  </si>
  <si>
    <t>1,152 m2</t>
  </si>
  <si>
    <t>1,137.6 m2</t>
  </si>
  <si>
    <t>Col. San Juan de Ocotán</t>
  </si>
  <si>
    <t>4,070 M2</t>
  </si>
  <si>
    <t>Arq. Jorge Adriel</t>
  </si>
  <si>
    <t xml:space="preserve"> Guzmán </t>
  </si>
  <si>
    <t>157 ML</t>
  </si>
  <si>
    <t>823 M2</t>
  </si>
  <si>
    <t>Colonia San Juan de Ocotán</t>
  </si>
  <si>
    <t>6,829 M2</t>
  </si>
  <si>
    <t>12,250 m2</t>
  </si>
  <si>
    <t>Col. El Zapote I y Col. Hogares de Nuevo México</t>
  </si>
  <si>
    <t>2,800 ML</t>
  </si>
  <si>
    <t>Col. Paseos del Briseño</t>
  </si>
  <si>
    <t>2,492 M2</t>
  </si>
  <si>
    <t xml:space="preserve">Arq. Daniel </t>
  </si>
  <si>
    <t xml:space="preserve">Covarrubias     </t>
  </si>
  <si>
    <t>Col. Loma Chica</t>
  </si>
  <si>
    <t>Col. Villa de Guadalupe</t>
  </si>
  <si>
    <t>1,029 M2</t>
  </si>
  <si>
    <t>5,110 M2</t>
  </si>
  <si>
    <t>1,780 M2</t>
  </si>
  <si>
    <t>2,124 M2</t>
  </si>
  <si>
    <t>3,690 M2</t>
  </si>
  <si>
    <t>Col. Santa Maria del Pueblito</t>
  </si>
  <si>
    <t>500 ML</t>
  </si>
  <si>
    <t xml:space="preserve">Col. Los Paraisos, Col. Santa Margarita 1a sección y Col. Nuevo México </t>
  </si>
  <si>
    <t>6 MÓDULOS</t>
  </si>
  <si>
    <t>Col. Lomas de Tabachines</t>
  </si>
  <si>
    <t>960 M2</t>
  </si>
  <si>
    <t xml:space="preserve">Ing. Álvaro </t>
  </si>
  <si>
    <t xml:space="preserve">Orozco </t>
  </si>
  <si>
    <t>Col. Mesa Colorada</t>
  </si>
  <si>
    <t>123 ML</t>
  </si>
  <si>
    <t>Col. Miguel de la Madrid</t>
  </si>
  <si>
    <t xml:space="preserve">Ing. Jose Rafael </t>
  </si>
  <si>
    <t>295.7 M3</t>
  </si>
  <si>
    <t>Col. El Tigre II</t>
  </si>
  <si>
    <t>2,604 M2</t>
  </si>
  <si>
    <t>Col. Lomas de Tabachines I</t>
  </si>
  <si>
    <t>504 ML</t>
  </si>
  <si>
    <t xml:space="preserve"> Román</t>
  </si>
  <si>
    <t>1,517 M2</t>
  </si>
  <si>
    <t xml:space="preserve">Ing. Guillermo Joel </t>
  </si>
  <si>
    <t xml:space="preserve">Quintero </t>
  </si>
  <si>
    <t>1,422 M2</t>
  </si>
  <si>
    <t>419 M2</t>
  </si>
  <si>
    <t>Arq. Víctor Manuel</t>
  </si>
  <si>
    <t xml:space="preserve"> Lomelí </t>
  </si>
  <si>
    <t>5,106 M2</t>
  </si>
  <si>
    <t>400 ML</t>
  </si>
  <si>
    <t xml:space="preserve">Ing. Juan Pablo </t>
  </si>
  <si>
    <t xml:space="preserve">Romo </t>
  </si>
  <si>
    <t>1,670 ML</t>
  </si>
  <si>
    <t xml:space="preserve">Velasco </t>
  </si>
  <si>
    <t>555 ML</t>
  </si>
  <si>
    <t>1,360 M2</t>
  </si>
  <si>
    <t>1,712 M2</t>
  </si>
  <si>
    <t>945 ML</t>
  </si>
  <si>
    <t>31 PZA</t>
  </si>
  <si>
    <t>350 ML</t>
  </si>
  <si>
    <t>505,839 M2</t>
  </si>
  <si>
    <t>Remanentes FAISM 2010 - 2015</t>
  </si>
  <si>
    <t>663 ML</t>
  </si>
  <si>
    <t xml:space="preserve">Barnard </t>
  </si>
  <si>
    <t>715 ML</t>
  </si>
  <si>
    <t>155 ML</t>
  </si>
  <si>
    <t>812 M3</t>
  </si>
  <si>
    <t>Covarrubias </t>
  </si>
  <si>
    <t>7,080 M2</t>
  </si>
  <si>
    <t>5,225 M2</t>
  </si>
  <si>
    <t>8,317 M2</t>
  </si>
  <si>
    <t>7,420 M2</t>
  </si>
  <si>
    <t>1,734 M2</t>
  </si>
  <si>
    <t>2,120 M2</t>
  </si>
  <si>
    <t xml:space="preserve">Ing. Arq. Karina Fabiola </t>
  </si>
  <si>
    <t>4,746 M2</t>
  </si>
  <si>
    <t>441 M2</t>
  </si>
  <si>
    <t>3,145 M2</t>
  </si>
  <si>
    <t>2,112 M2</t>
  </si>
  <si>
    <t>2,238 M2</t>
  </si>
  <si>
    <t>1,973 M2</t>
  </si>
  <si>
    <t>3,358 M2</t>
  </si>
  <si>
    <t>Construcción de sistema de saneamiento primario y red de drenaje en las calles: Esmeralda, Turquesa, Obsidiana, Rubí, Roca, Zafiro, Jade y Cantera en la colonia Pedregal de Milpillas, municipio de Zapopan, Jalisco.</t>
  </si>
  <si>
    <t>536 ML</t>
  </si>
  <si>
    <t>Construcción de red de Agua Potable y Drenaje en las calles Privada Ignacio Allende, Emiliano Zapata, Revolución, Hidalgo, Venustiano Carranza y Libertad en la colonia Revolución, municipio de Zapopan, Jalisco.</t>
  </si>
  <si>
    <t>384 ML</t>
  </si>
  <si>
    <t>1,316 M2</t>
  </si>
  <si>
    <t xml:space="preserve"> García </t>
  </si>
  <si>
    <t>957 M3</t>
  </si>
  <si>
    <t>Arq. Daniel           </t>
  </si>
  <si>
    <t>Construcción de Colector y red de drenaje sanitario en las calles Naranjo, Mandarina, Chabacano, Limón, Manzano, Mango, Las Torres, Guamúchil y Capulín en la colonia Colinas del Rio, municipio de Zapopan, Jalisco. Frente 2.</t>
  </si>
  <si>
    <t>1,100 ML</t>
  </si>
  <si>
    <t>Pavimentación con concreto hidráulico y complemento de las redes de agua potable y drenaje sanitario en calles de la colonia El Fresno, incluye: guarniciones, banquetas, servicios complementarios y señalética, en el municipio de Zapopan, Jalisco, primera etapa, frente 2.</t>
  </si>
  <si>
    <t>1,703 M2</t>
  </si>
  <si>
    <t>774 M2</t>
  </si>
  <si>
    <t xml:space="preserve">Arq. Maria Elena </t>
  </si>
  <si>
    <t xml:space="preserve">Zamago </t>
  </si>
  <si>
    <t>Osuna</t>
  </si>
  <si>
    <t>12,047 M2</t>
  </si>
  <si>
    <t>Ing. Miguel</t>
  </si>
  <si>
    <t xml:space="preserve"> Frausto </t>
  </si>
  <si>
    <t>1,504 M2</t>
  </si>
  <si>
    <t>Colonia Paseos del Sol</t>
  </si>
  <si>
    <t>14,736 M2</t>
  </si>
  <si>
    <t>Colonia Lomas del Centinela</t>
  </si>
  <si>
    <t>99 M2</t>
  </si>
  <si>
    <t>340 ML</t>
  </si>
  <si>
    <t>130 M2</t>
  </si>
  <si>
    <t>1,620 M2</t>
  </si>
  <si>
    <t>562 M2</t>
  </si>
  <si>
    <t>265 M3</t>
  </si>
  <si>
    <t>269 M3</t>
  </si>
  <si>
    <t>Colonias Constitución, El Colli y Villa de Guadalupe</t>
  </si>
  <si>
    <t>100 M2</t>
  </si>
  <si>
    <t>Colonia Atemajac del Valle</t>
  </si>
  <si>
    <t>Colonia Diaz Ordaz</t>
  </si>
  <si>
    <t>268 M3</t>
  </si>
  <si>
    <t>Colonias San Wenceslao y Villa Universitaria</t>
  </si>
  <si>
    <t>172 M3</t>
  </si>
  <si>
    <t>Colonia Loma Chica</t>
  </si>
  <si>
    <t>180 M3</t>
  </si>
  <si>
    <t>266 M3</t>
  </si>
  <si>
    <t>Flores</t>
  </si>
  <si>
    <t xml:space="preserve"> Franco</t>
  </si>
  <si>
    <t>920 M2</t>
  </si>
  <si>
    <t>608 M2</t>
  </si>
  <si>
    <t>Col. Los Cajetes</t>
  </si>
  <si>
    <t>450 ML</t>
  </si>
  <si>
    <t>Arenales Tapatios</t>
  </si>
  <si>
    <t>1,063 M2</t>
  </si>
  <si>
    <t>1,335 M2</t>
  </si>
  <si>
    <t xml:space="preserve"> Peña</t>
  </si>
  <si>
    <t>Col. La Coronilla</t>
  </si>
  <si>
    <t>248 M3</t>
  </si>
  <si>
    <t>281 M3</t>
  </si>
  <si>
    <t>210 M3</t>
  </si>
  <si>
    <t>184 M3</t>
  </si>
  <si>
    <t>1,010 ML</t>
  </si>
  <si>
    <t>650 ML</t>
  </si>
  <si>
    <t>Ing. Guillermo Joel</t>
  </si>
  <si>
    <t xml:space="preserve"> Quintero </t>
  </si>
  <si>
    <t>1,045 ML</t>
  </si>
  <si>
    <t>3,205 ML</t>
  </si>
  <si>
    <t>2,122 ML</t>
  </si>
  <si>
    <t>1,709 M2</t>
  </si>
  <si>
    <t>1,897 M2</t>
  </si>
  <si>
    <t>98 ML</t>
  </si>
  <si>
    <t xml:space="preserve"> Velasco </t>
  </si>
  <si>
    <t>2,086 M2</t>
  </si>
  <si>
    <t>789 ML</t>
  </si>
  <si>
    <t>760 ML</t>
  </si>
  <si>
    <t>282 ML</t>
  </si>
  <si>
    <t>1,475 ML</t>
  </si>
  <si>
    <t>Fondo para la Infraestructura Social Municipal 2017</t>
  </si>
  <si>
    <t>Col. Lomas del Centinela 2</t>
  </si>
  <si>
    <t>740 ML</t>
  </si>
  <si>
    <t>5,692 ML</t>
  </si>
  <si>
    <t>568 M2</t>
  </si>
  <si>
    <t>16 PZA</t>
  </si>
  <si>
    <t>6 PZA</t>
  </si>
  <si>
    <t>2,640 M2</t>
  </si>
  <si>
    <t>Ing. Fernando         </t>
  </si>
  <si>
    <t>López          </t>
  </si>
  <si>
    <t>2,013 M2</t>
  </si>
  <si>
    <t>3,584 M2</t>
  </si>
  <si>
    <t xml:space="preserve"> Evangelista</t>
  </si>
  <si>
    <t>3,615 M2</t>
  </si>
  <si>
    <t>3,475 M2</t>
  </si>
  <si>
    <t>3,454 M2</t>
  </si>
  <si>
    <t>2,933 M2</t>
  </si>
  <si>
    <t>2,720 M2</t>
  </si>
  <si>
    <t>1,361 M2</t>
  </si>
  <si>
    <t>1,438 M2</t>
  </si>
  <si>
    <t>Zona de Las Mesas</t>
  </si>
  <si>
    <t>660 M2</t>
  </si>
  <si>
    <t>Cuevas</t>
  </si>
  <si>
    <t xml:space="preserve"> Murillo</t>
  </si>
  <si>
    <t>Ejido Copalita</t>
  </si>
  <si>
    <t>392 ML</t>
  </si>
  <si>
    <t>Remanentes del FAISM 2010-2015</t>
  </si>
  <si>
    <t>Colonias: La Granja, Las Agujas y Vista Hermosa</t>
  </si>
  <si>
    <t>489 ML</t>
  </si>
  <si>
    <t>Quintero</t>
  </si>
  <si>
    <t xml:space="preserve"> Padilla</t>
  </si>
  <si>
    <t>28 M2</t>
  </si>
  <si>
    <t xml:space="preserve"> Quirarte </t>
  </si>
  <si>
    <t>Colonia Miguel Hidalgo</t>
  </si>
  <si>
    <t>512 ML</t>
  </si>
  <si>
    <t>619 M2</t>
  </si>
  <si>
    <t>1,296 M2</t>
  </si>
  <si>
    <t>1,015 M2</t>
  </si>
  <si>
    <t>4,885 M2</t>
  </si>
  <si>
    <t>676 M2</t>
  </si>
  <si>
    <t>722 ML</t>
  </si>
  <si>
    <t>934 ML</t>
  </si>
  <si>
    <t>3,975.00 M2</t>
  </si>
  <si>
    <t>Arq. Maria Elena</t>
  </si>
  <si>
    <t xml:space="preserve"> Zamago </t>
  </si>
  <si>
    <t>1,370.33 M2</t>
  </si>
  <si>
    <t>956.47 M2</t>
  </si>
  <si>
    <t>1,941.61 M2</t>
  </si>
  <si>
    <t>1,461 M2</t>
  </si>
  <si>
    <t>870 M2</t>
  </si>
  <si>
    <t>115 M3</t>
  </si>
  <si>
    <t>919 M2</t>
  </si>
  <si>
    <t>2,673 M2</t>
  </si>
  <si>
    <t>2,650.00 M2</t>
  </si>
  <si>
    <t>Cusmax 2017</t>
  </si>
  <si>
    <t>Cruz Verde Federalismo</t>
  </si>
  <si>
    <t>55 M2</t>
  </si>
  <si>
    <t>Colonia Pedregal de Zapopan</t>
  </si>
  <si>
    <t>176 M2</t>
  </si>
  <si>
    <t>Velasco</t>
  </si>
  <si>
    <t>Colonia Agrícola</t>
  </si>
  <si>
    <t>365 ML</t>
  </si>
  <si>
    <t xml:space="preserve">Ing. Alvaro </t>
  </si>
  <si>
    <t>Gutierrez</t>
  </si>
  <si>
    <t>Colonia El Mante</t>
  </si>
  <si>
    <t>82 M3</t>
  </si>
  <si>
    <t>Credito estatal 92 mdp</t>
  </si>
  <si>
    <t>297 M2</t>
  </si>
  <si>
    <t>Colonia Tepeyac</t>
  </si>
  <si>
    <t>800 ML</t>
  </si>
  <si>
    <t>Colonia Villa de los Belenes</t>
  </si>
  <si>
    <t>640 ML</t>
  </si>
  <si>
    <t>Villa               </t>
  </si>
  <si>
    <t>López    </t>
  </si>
  <si>
    <t>Mesa Colorada</t>
  </si>
  <si>
    <t>489 M2</t>
  </si>
  <si>
    <t>1,051.32 M2</t>
  </si>
  <si>
    <t>Arq. Daniel                 </t>
  </si>
  <si>
    <t>Covarrubias  </t>
  </si>
  <si>
    <t>985.00 ML</t>
  </si>
  <si>
    <t>585.92 M2</t>
  </si>
  <si>
    <t>1,232.00 M2</t>
  </si>
  <si>
    <t>1,435.29 M2</t>
  </si>
  <si>
    <t>1,675.59 M2</t>
  </si>
  <si>
    <t>1,023.75 M2</t>
  </si>
  <si>
    <t>952.15 ML</t>
  </si>
  <si>
    <t>835.81 ML</t>
  </si>
  <si>
    <t>1,581.66 M2</t>
  </si>
  <si>
    <t>1,369.44 M2</t>
  </si>
  <si>
    <t>18,735.50 M2</t>
  </si>
  <si>
    <t>Colonia La Tuzania Ejidal</t>
  </si>
  <si>
    <t>1,298 M2</t>
  </si>
  <si>
    <t>Ciudad Granja</t>
  </si>
  <si>
    <t>1,201 M2</t>
  </si>
  <si>
    <t>Colonia Los Pinos</t>
  </si>
  <si>
    <t>1186.00 M2</t>
  </si>
  <si>
    <t>Colonia Hacienda de las Lomas</t>
  </si>
  <si>
    <t>1,194.00 M2</t>
  </si>
  <si>
    <t>Arq. Daniel            </t>
  </si>
  <si>
    <t xml:space="preserve"> Torres       </t>
  </si>
  <si>
    <t>Colonia Jarfdines de San Ignacio</t>
  </si>
  <si>
    <t>1,150 M2</t>
  </si>
  <si>
    <t>2,856.00 M2</t>
  </si>
  <si>
    <t>1,510.01 M2</t>
  </si>
  <si>
    <t>1,941.69 M2</t>
  </si>
  <si>
    <t>4,778.50 M2</t>
  </si>
  <si>
    <t>Colonia Puerta de Hierro</t>
  </si>
  <si>
    <t>120.20 M2</t>
  </si>
  <si>
    <t>Colonia La Tarjea</t>
  </si>
  <si>
    <t>134.13 ML</t>
  </si>
  <si>
    <t>Colonia El Alamo</t>
  </si>
  <si>
    <t>348.00 ML</t>
  </si>
  <si>
    <t>1,210.23 M2</t>
  </si>
  <si>
    <t>Zapopan</t>
  </si>
  <si>
    <t>Colonia Parque Industrial Los Belenes</t>
  </si>
  <si>
    <t>512.00 M2</t>
  </si>
  <si>
    <t>320.08 ML</t>
  </si>
  <si>
    <t>Localidad Venta del Astillero y Atemajac</t>
  </si>
  <si>
    <t>18.00 M2</t>
  </si>
  <si>
    <t>Colonia Jardines del Álamo</t>
  </si>
  <si>
    <t>206.00 ML</t>
  </si>
  <si>
    <t>250.00 ML</t>
  </si>
  <si>
    <t>7,316 M2</t>
  </si>
  <si>
    <t>Ing. Fernando </t>
  </si>
  <si>
    <t xml:space="preserve"> Villa </t>
  </si>
  <si>
    <t>13,920 M2</t>
  </si>
  <si>
    <t>12,112 M2</t>
  </si>
  <si>
    <t>3,608 M2</t>
  </si>
  <si>
    <t>3,013 M2</t>
  </si>
  <si>
    <t>3,372 M2</t>
  </si>
  <si>
    <t>1,653.81 M2</t>
  </si>
  <si>
    <t>2,670.00 M2</t>
  </si>
  <si>
    <t>1,402.53 M2</t>
  </si>
  <si>
    <t>1,896.15 M2</t>
  </si>
  <si>
    <t>872.01 M2</t>
  </si>
  <si>
    <t>950.24 M2</t>
  </si>
  <si>
    <t>Colonia Rancho El Centinela</t>
  </si>
  <si>
    <t>828.00 M2</t>
  </si>
  <si>
    <t>Zona Andares</t>
  </si>
  <si>
    <t>Colonia Miramar y Relleno Sanitario Picachos</t>
  </si>
  <si>
    <t>8 PZA</t>
  </si>
  <si>
    <t>Localidad de Santa Ana Tepetitlán</t>
  </si>
  <si>
    <t>265.00 M2</t>
  </si>
  <si>
    <t>Arq. Gerardo</t>
  </si>
  <si>
    <t xml:space="preserve"> Arceo </t>
  </si>
  <si>
    <t>Colonia Hacienda la Herradura</t>
  </si>
  <si>
    <t>1,264 M2</t>
  </si>
  <si>
    <t>464 M2</t>
  </si>
  <si>
    <t>1,365 M2</t>
  </si>
  <si>
    <t>4,098 M2</t>
  </si>
  <si>
    <t>3,892 M2</t>
  </si>
  <si>
    <t>1,560 M2</t>
  </si>
  <si>
    <t>3,158 M2</t>
  </si>
  <si>
    <t>1,230 M2</t>
  </si>
  <si>
    <t>5,300 M2</t>
  </si>
  <si>
    <t>3,028 M2</t>
  </si>
  <si>
    <t>5,507 M2</t>
  </si>
  <si>
    <t>1,910 ML</t>
  </si>
  <si>
    <t>436 ML</t>
  </si>
  <si>
    <t>2,150 M2</t>
  </si>
  <si>
    <t>326 M2</t>
  </si>
  <si>
    <t>642 M2</t>
  </si>
  <si>
    <t>3,150 M2</t>
  </si>
  <si>
    <t>1,654 M2</t>
  </si>
  <si>
    <t>2,280 M2</t>
  </si>
  <si>
    <t>1,307 M2</t>
  </si>
  <si>
    <t>2,291 M2</t>
  </si>
  <si>
    <t>3,524 M2</t>
  </si>
  <si>
    <t>210 M2</t>
  </si>
  <si>
    <t>3,750 M2</t>
  </si>
  <si>
    <t>3,492 M2</t>
  </si>
  <si>
    <t>435 M2</t>
  </si>
  <si>
    <t>6,136 M2</t>
  </si>
  <si>
    <t>543 M2</t>
  </si>
  <si>
    <t>1,850 M2</t>
  </si>
  <si>
    <t>478 M2</t>
  </si>
  <si>
    <t>4,492 M2</t>
  </si>
  <si>
    <t>722 M2</t>
  </si>
  <si>
    <t>2,436 M2</t>
  </si>
  <si>
    <t>Colonias Misión del Bosque, San Francisco de Ixcatán, Rio Blanco y Ampliación Copala</t>
  </si>
  <si>
    <t>1,865 M2</t>
  </si>
  <si>
    <t>143 ML</t>
  </si>
  <si>
    <t>2,191 M2</t>
  </si>
  <si>
    <t>1,052 M2</t>
  </si>
  <si>
    <t>Colonias Girasoles Elite y Las Casitas</t>
  </si>
  <si>
    <t>4,356 M2</t>
  </si>
  <si>
    <t>Colonia El Colli CTM</t>
  </si>
  <si>
    <t>2,400 M2</t>
  </si>
  <si>
    <t>Colonia Tabachines</t>
  </si>
  <si>
    <t>2,300 M2</t>
  </si>
  <si>
    <t>Colonia Atemajac</t>
  </si>
  <si>
    <t>540 M2</t>
  </si>
  <si>
    <t>25 ESTUDIOS</t>
  </si>
  <si>
    <t>Colonia Lagos del Country</t>
  </si>
  <si>
    <t>724 M2</t>
  </si>
  <si>
    <t>Colonia Constituyentes</t>
  </si>
  <si>
    <t>328 M2</t>
  </si>
  <si>
    <t>1,750 M2</t>
  </si>
  <si>
    <t>4 PROYECTOS</t>
  </si>
  <si>
    <t>368 M2</t>
  </si>
  <si>
    <t>Localidad Pedregal de Milpillas</t>
  </si>
  <si>
    <t>262 ML</t>
  </si>
  <si>
    <t>Fondo para la Infraestructura Social Municipal 2018</t>
  </si>
  <si>
    <t>259 ML</t>
  </si>
  <si>
    <t>Fondo para la Infraestructura Social Municipal 2019</t>
  </si>
  <si>
    <t>Fondo para la Infraestructura Social Municipal 2020</t>
  </si>
  <si>
    <t>Colonia El Zapote II</t>
  </si>
  <si>
    <t>988 M2</t>
  </si>
  <si>
    <t>Fondo para la Infraestructura Social Municipal 2021</t>
  </si>
  <si>
    <t>994 M2</t>
  </si>
  <si>
    <t>1,021 M2</t>
  </si>
  <si>
    <t>Colonia La Loma</t>
  </si>
  <si>
    <t>Colonias: Centro, El Vigia, Santa Ana Tepetitlán, Jardines del Valle, Lomas de Tabachines, Paraisos del Colli y Vicente Guerrero</t>
  </si>
  <si>
    <t>1,633 M2</t>
  </si>
  <si>
    <t>Colonias: Pinar de la Calma, Los Cajetes, El Briseño, Mariano Otero y Paseos del Briseño.</t>
  </si>
  <si>
    <t>1,648 M2</t>
  </si>
  <si>
    <t>Colonia El Fresno</t>
  </si>
  <si>
    <t>624 M2</t>
  </si>
  <si>
    <t>615 m2</t>
  </si>
  <si>
    <t>1,158 M2</t>
  </si>
  <si>
    <t>432 M2</t>
  </si>
  <si>
    <t>120 ML</t>
  </si>
  <si>
    <t>Colonia El Colli</t>
  </si>
  <si>
    <t>403 M2</t>
  </si>
  <si>
    <t>896 M2</t>
  </si>
  <si>
    <t>625M2</t>
  </si>
  <si>
    <t>Ing. Fernando   </t>
  </si>
  <si>
    <t>Villa     </t>
  </si>
  <si>
    <t>Colonia Agua Fria</t>
  </si>
  <si>
    <t>1,890 M2</t>
  </si>
  <si>
    <t>Colonia Tuzania Ejidal</t>
  </si>
  <si>
    <t>2,005 M2</t>
  </si>
  <si>
    <t>290 ML</t>
  </si>
  <si>
    <t>180 M2</t>
  </si>
  <si>
    <t>Venta del Astillero</t>
  </si>
  <si>
    <t>412 ML</t>
  </si>
  <si>
    <t>Colonia Paseos del Briseño</t>
  </si>
  <si>
    <t>Arq. Daniel  </t>
  </si>
  <si>
    <t>Colonia Valle de los Molinos</t>
  </si>
  <si>
    <t>38 ESTUDIOS</t>
  </si>
  <si>
    <t>46 ESTUDIOS</t>
  </si>
  <si>
    <t>692 ML</t>
  </si>
  <si>
    <t>Colonia Miguel de la Madrid</t>
  </si>
  <si>
    <t>482 M2</t>
  </si>
  <si>
    <t>125 ML</t>
  </si>
  <si>
    <t>115 ML</t>
  </si>
  <si>
    <t>1,206 M2</t>
  </si>
  <si>
    <t>Colonia Parfques de Zapopan</t>
  </si>
  <si>
    <t>229 ML</t>
  </si>
  <si>
    <t>7,059 M2</t>
  </si>
  <si>
    <t>116 M2</t>
  </si>
  <si>
    <t>Nixticuitl</t>
  </si>
  <si>
    <t>88 M2</t>
  </si>
  <si>
    <t>Villa       </t>
  </si>
  <si>
    <t xml:space="preserve"> López</t>
  </si>
  <si>
    <t>Colonia Altamira</t>
  </si>
  <si>
    <t>7,960 M2</t>
  </si>
  <si>
    <t>622 M2</t>
  </si>
  <si>
    <t>9,186 M2</t>
  </si>
  <si>
    <t xml:space="preserve"> Aguayo </t>
  </si>
  <si>
    <t>1,284 M2</t>
  </si>
  <si>
    <t>3,165 ML</t>
  </si>
  <si>
    <t>Colonia Belenes Norte</t>
  </si>
  <si>
    <t>524 ML</t>
  </si>
  <si>
    <t>4,758 M2</t>
  </si>
  <si>
    <t xml:space="preserve"> Laguna </t>
  </si>
  <si>
    <t>303 M2</t>
  </si>
  <si>
    <t>Localidad San Juan de Ocotán</t>
  </si>
  <si>
    <t>97 ML</t>
  </si>
  <si>
    <t>Colonia Miramar</t>
  </si>
  <si>
    <t>Colonia Jardines del Valle</t>
  </si>
  <si>
    <t>779 M2</t>
  </si>
  <si>
    <t>Colonia Francisco Villa</t>
  </si>
  <si>
    <t>175 M2</t>
  </si>
  <si>
    <t>700 M2</t>
  </si>
  <si>
    <t>550 M2</t>
  </si>
  <si>
    <t>Colonia La Palmita y Colonia Parques de Tesistán</t>
  </si>
  <si>
    <t>1,605 M2</t>
  </si>
  <si>
    <t>22,834 M2</t>
  </si>
  <si>
    <t>3,838 M2</t>
  </si>
  <si>
    <t>2,100 M2</t>
  </si>
  <si>
    <t xml:space="preserve"> Leos</t>
  </si>
  <si>
    <t>38.9 ML</t>
  </si>
  <si>
    <t>1,413 M2</t>
  </si>
  <si>
    <t>965 M2</t>
  </si>
  <si>
    <t>65 PZA</t>
  </si>
  <si>
    <t>39 PZA</t>
  </si>
  <si>
    <t>48 PZA</t>
  </si>
  <si>
    <t>22 PZA</t>
  </si>
  <si>
    <t>18 PZA</t>
  </si>
  <si>
    <t>21 PZA</t>
  </si>
  <si>
    <t>199 ML</t>
  </si>
  <si>
    <t>192 ML</t>
  </si>
  <si>
    <t>186 ML</t>
  </si>
  <si>
    <t>1,990 M2</t>
  </si>
  <si>
    <t>867 ML</t>
  </si>
  <si>
    <t>4,662 M2</t>
  </si>
  <si>
    <t>5,023 M2</t>
  </si>
  <si>
    <t>4,870 M2</t>
  </si>
  <si>
    <t>4,463 M2</t>
  </si>
  <si>
    <t>3,562 M2</t>
  </si>
  <si>
    <t>2,555 M2</t>
  </si>
  <si>
    <t>1,611 M2</t>
  </si>
  <si>
    <t>3,302 M2</t>
  </si>
  <si>
    <t>1,091 M2</t>
  </si>
  <si>
    <t>2,347 M2</t>
  </si>
  <si>
    <t>2,027 M2</t>
  </si>
  <si>
    <t>101 M3</t>
  </si>
  <si>
    <t>467 M2</t>
  </si>
  <si>
    <t>530 M2</t>
  </si>
  <si>
    <t>323 M2</t>
  </si>
  <si>
    <t>469 M2</t>
  </si>
  <si>
    <t>425 M2</t>
  </si>
  <si>
    <t>1,044 M2</t>
  </si>
  <si>
    <t>2,716 M2</t>
  </si>
  <si>
    <t>678 M2</t>
  </si>
  <si>
    <t>360 M2</t>
  </si>
  <si>
    <t>532 M2</t>
  </si>
  <si>
    <t>Romo</t>
  </si>
  <si>
    <t>531 M2</t>
  </si>
  <si>
    <t>924 M2</t>
  </si>
  <si>
    <t>418 M2</t>
  </si>
  <si>
    <t>390 ML</t>
  </si>
  <si>
    <t>273 ML</t>
  </si>
  <si>
    <t>1,820 M2</t>
  </si>
  <si>
    <t>1,635 M2</t>
  </si>
  <si>
    <t>1,367 M2</t>
  </si>
  <si>
    <t>320 ML</t>
  </si>
  <si>
    <t>900 M2</t>
  </si>
  <si>
    <t>3,400 M2</t>
  </si>
  <si>
    <t>990 M2</t>
  </si>
  <si>
    <t>27,919 PZA</t>
  </si>
  <si>
    <t xml:space="preserve"> Tejeda </t>
  </si>
  <si>
    <t>421 M2</t>
  </si>
  <si>
    <t>970 M2</t>
  </si>
  <si>
    <t>815 M2</t>
  </si>
  <si>
    <t xml:space="preserve"> Ozuna</t>
  </si>
  <si>
    <t>1,395 M2</t>
  </si>
  <si>
    <t>1,065 M2</t>
  </si>
  <si>
    <t>610 M2</t>
  </si>
  <si>
    <t>4,100 M2</t>
  </si>
  <si>
    <t>3,650 M2</t>
  </si>
  <si>
    <t>4,050 M2</t>
  </si>
  <si>
    <t>3,890 M2</t>
  </si>
  <si>
    <t>2,088 M2</t>
  </si>
  <si>
    <t>1,536 M2</t>
  </si>
  <si>
    <t>24,311 M2</t>
  </si>
  <si>
    <t>1,955 M2</t>
  </si>
  <si>
    <t>6 proyectos</t>
  </si>
  <si>
    <t>367 M3</t>
  </si>
  <si>
    <t>46,662 ML</t>
  </si>
  <si>
    <t>1,240 ML</t>
  </si>
  <si>
    <t>105 M2</t>
  </si>
  <si>
    <t>Colonia Juan Gil Preciado</t>
  </si>
  <si>
    <t>838 M2</t>
  </si>
  <si>
    <t>612 M2</t>
  </si>
  <si>
    <t>Ing. Fernando  </t>
  </si>
  <si>
    <t xml:space="preserve">López </t>
  </si>
  <si>
    <t>Colonia Los Paraisos</t>
  </si>
  <si>
    <t>1,318 M2</t>
  </si>
  <si>
    <t>1,021.5 M2</t>
  </si>
  <si>
    <t>Colonia El Vigía</t>
  </si>
  <si>
    <t>Localidad de San Juan de Ocotan</t>
  </si>
  <si>
    <t>855 m2</t>
  </si>
  <si>
    <t>385 ML</t>
  </si>
  <si>
    <t>Zona Sur Poniente</t>
  </si>
  <si>
    <t>6,185 M2</t>
  </si>
  <si>
    <t>6,439 M2</t>
  </si>
  <si>
    <t>Zona Norponiente</t>
  </si>
  <si>
    <t>6,343 M2</t>
  </si>
  <si>
    <t>Zona Centro</t>
  </si>
  <si>
    <t>6,596 M2</t>
  </si>
  <si>
    <t>36,185 ML</t>
  </si>
  <si>
    <t>Zona Surponiente</t>
  </si>
  <si>
    <t>34,476 ML</t>
  </si>
  <si>
    <t>Colonia Paraisos del Colli</t>
  </si>
  <si>
    <t>2,856 ml</t>
  </si>
  <si>
    <t>Localidad San Juan de Ocotan</t>
  </si>
  <si>
    <t>628 M2</t>
  </si>
  <si>
    <t>Colonia Puerta del Bosque</t>
  </si>
  <si>
    <t>250 ML</t>
  </si>
  <si>
    <t>Colonia Mariano Otero</t>
  </si>
  <si>
    <t>170 ML</t>
  </si>
  <si>
    <t>Colonia California y Localidad San Juan de Ocotán</t>
  </si>
  <si>
    <t>Localidad La Venta del Astillero</t>
  </si>
  <si>
    <t>2,164 M2</t>
  </si>
  <si>
    <t>Colonia La Palmira</t>
  </si>
  <si>
    <t>5,602 M2</t>
  </si>
  <si>
    <t>Colonia El Centinela</t>
  </si>
  <si>
    <t>269 ML</t>
  </si>
  <si>
    <t>253 ML</t>
  </si>
  <si>
    <t>Colonia Indigena de Mezquitán 1ra sección</t>
  </si>
  <si>
    <t>110 ML</t>
  </si>
  <si>
    <t>3,255 M2</t>
  </si>
  <si>
    <t>4,775 M2</t>
  </si>
  <si>
    <t>Zona de La Mojonera</t>
  </si>
  <si>
    <t>4,782 M2</t>
  </si>
  <si>
    <t>2,562 M2</t>
  </si>
  <si>
    <t>9,124 ML</t>
  </si>
  <si>
    <t>860 M2</t>
  </si>
  <si>
    <t>Colonia Jardines de Santa Ana</t>
  </si>
  <si>
    <t>326 ML</t>
  </si>
  <si>
    <t>Colonia Rancho Contento</t>
  </si>
  <si>
    <t>2,023 KG</t>
  </si>
  <si>
    <t>Colonia Jardines de Los Alamos</t>
  </si>
  <si>
    <t>485 ML</t>
  </si>
  <si>
    <t>17,000 KG</t>
  </si>
  <si>
    <t>25 PZA</t>
  </si>
  <si>
    <t>1,200 ML</t>
  </si>
  <si>
    <t>Colonia Santa Maria del Pueblito</t>
  </si>
  <si>
    <t>2,400 ML</t>
  </si>
  <si>
    <t>Colonia Arcos de Zapopan</t>
  </si>
  <si>
    <t>300 M2</t>
  </si>
  <si>
    <t>Colonias Poniente y Puerta del Valle</t>
  </si>
  <si>
    <t>Colonia Seattle</t>
  </si>
  <si>
    <t>Área(s) o unidad(es) administrativa(s) responsable(s) de la información: Jefatura de Informes y Control Presupuestal</t>
  </si>
  <si>
    <t>Zapopan Centro</t>
  </si>
  <si>
    <t>https://www.zapopan.gob.mx/repositorio/view/file/jcvj0b1brww4ppm2eyfa/CONVENIO_MODIFICATORIO_004_2016.pdf</t>
  </si>
  <si>
    <t>https://www.zapopan.gob.mx/repositorio/view/file/c0htrdagwdrk9k0tqtzc/CONVENIO_MODIFICATORIO_008_2016.pdf</t>
  </si>
  <si>
    <t>https://www.zapopan.gob.mx/repositorio/view/file/moaj4gkmghna9mi9kdqs/CONVENIO_MODIFICATORIO_013_2016.pdf</t>
  </si>
  <si>
    <t>https://www.zapopan.gob.mx/repositorio/view/file/d4hhjrh5uex4cgnhoecb/DOPI-MUN-RP-PAV-LP-020-2016.pdf</t>
  </si>
  <si>
    <t>https://www.zapopan.gob.mx/repositorio/view/file/dzy718ijibeoa9m8zwce/022-2016.pdf</t>
  </si>
  <si>
    <t>https://www.zapopan.gob.mx/repositorio/view/file/apgfiif5q0qzx9ddih2w/023-2016.pdf</t>
  </si>
  <si>
    <t>https://www.zapopan.gob.mx/repositorio/view/file/qbfefgs1dr5l7gp2pewa/DOPI-MUN-RP-PAV-LP-030-2016.pdf</t>
  </si>
  <si>
    <t>http://www.zapopan.gob.mx/repositorio/view/file/uwnua37cntci3ixv2lfd/CONTRATO_001_2017.pdf</t>
  </si>
  <si>
    <t>http://www.zapopan.gob.mx/repositorio/view/file/8iav2c45ookhgd26e7dx/CONTRATO_002_2017.pdf</t>
  </si>
  <si>
    <t>http://www.zapopan.gob.mx/repositorio/view/file/xoxlpjakhanbqlnirllo/CONTRATO_003_2017.pdf</t>
  </si>
  <si>
    <t>https://www.zapopan.gob.mx/repositorio/view/file/5r7k0rfoifq6wvpa33ba/041-2017</t>
  </si>
  <si>
    <t>https://www.zapopan.gob.mx/repositorio/view/file/8wzxof96krd6skldytrq/042-2017.pdf</t>
  </si>
  <si>
    <t>http://www.zapopan.gob.mx/repositorio/view/file/vdgv1waqfjzau4xisdf2/CONTRATO_043_2017.pdf</t>
  </si>
  <si>
    <t>https://www.zapopan.gob.mx/repositorio/view/file/gji0ymmwdkck0rrdze74/CONTRATO-44-2017.pdf</t>
  </si>
  <si>
    <t>https://www.zapopan.gob.mx/repositorio/view/file/5kn3pckqshobwajqezhy/045-2017.pdf</t>
  </si>
  <si>
    <t>http://www.zapopan.gob.mx/repositorio/view/file/j4ppb6arhydwdyqyeo5x/CONTRATO_046_2017.pdf</t>
  </si>
  <si>
    <t>http://www.zapopan.gob.mx/repositorio/view/file/jbmv7fmapnjvuz4okorc/CONTRATO_047_2017.pdf</t>
  </si>
  <si>
    <t>https://www.zapopan.gob.mx/repositorio/view/file/sy0jkiv0yunj1alkcfex/048-2017.pdf</t>
  </si>
  <si>
    <t>https://www.zapopan.gob.mx/repositorio/view/file/uduwhmspolmhffhjxvnl/049-2017</t>
  </si>
  <si>
    <t>http://www.zapopan.gob.mx/repositorio/view/file/vtobkzc56cps2gnlajhl/CONTRATO_050_2017.pdf</t>
  </si>
  <si>
    <t>https://www.zapopan.gob.mx/repositorio/view/file/06b1rzkwtgllgxksg23t/051-2017.pdf</t>
  </si>
  <si>
    <t>http://www.zapopan.gob.mx/repositorio/view/file/8en7e8vpbxgi40kxbhoa/CONTRATO-063-2017.pdf</t>
  </si>
  <si>
    <t>http://www.zapopan.gob.mx/repositorio/view/file/azwddqmxitfozpk66p0b/CONTRATO-064-2017.pdf</t>
  </si>
  <si>
    <t>http://www.zapopan.gob.mx/repositorio/view/file/6o14hqlpktgp7vdpgrgu/CONTRATO-065-2017.pdf</t>
  </si>
  <si>
    <t>http://www.zapopan.gob.mx/repositorio/view/file/7oxh0pchv7pqhezf8pij/CONTRATO-066-2017.pdf</t>
  </si>
  <si>
    <t>https://www.zapopan.gob.mx/repositorio/view/file/lez5kkykzed08sf5vawy/077-2017.pdf</t>
  </si>
  <si>
    <t>https://www.zapopan.gob.mx/repositorio/view/file/vzaws7rw4cpm3onyhvvw/078-2017.pdf</t>
  </si>
  <si>
    <t>https://www.zapopan.gob.mx/repositorio/view/file/wcpftuxd1n2bchduzlup/079-2017.pdf</t>
  </si>
  <si>
    <t>https://www.zapopan.gob.mx/repositorio/view/file/cagtgybevul03monn5yw/082-2017.pdf</t>
  </si>
  <si>
    <t>http://www.zapopan.gob.mx/repositorio/view/file/mdt4n90kjjjxrsmm8sqo/CONTRATO_084_2017.pdf</t>
  </si>
  <si>
    <t>http://www.zapopan.gob.mx/repositorio/view/file/oty3ts7yyu5zep9rigtt/CONTRATO_086_2017.pdf</t>
  </si>
  <si>
    <t>http://www.zapopan.gob.mx/repositorio/view/file/geboz7zgtrokrrypwxts/CONTRATO_087_2017.pdf</t>
  </si>
  <si>
    <t>http://www.zapopan.gob.mx/repositorio/view/file/xfmvxrz3joz4jc9ttvzt/CONTRATO_088_2017.pdf</t>
  </si>
  <si>
    <t>http://www.zapopan.gob.mx/repositorio/view/file/u6ngrehpjuvqbuhkddvh/CONTRATO_089_2017.pdf</t>
  </si>
  <si>
    <t>http://www.zapopan.gob.mx/repositorio/view/file/4f5si70jp7qudzc7e67h/CONTRATO_090_2017.pdf</t>
  </si>
  <si>
    <t>http://www.zapopan.gob.mx/repositorio/view/file/vo0s0ayoryeklonfgprv/CONTRATO_091_2017.pdf</t>
  </si>
  <si>
    <t>http://www.zapopan.gob.mx/repositorio/view/file/tpebvltfnq5dadn8ugmo/CONTRATO_092_2017.pdf</t>
  </si>
  <si>
    <t>http://www.zapopan.gob.mx/repositorio/view/file/4kdxf6p06rq1ejzwo4fz/CONTRATO_093_2017.pdf</t>
  </si>
  <si>
    <t>http://www.zapopan.gob.mx/repositorio/view/file/3i8uokjkgqicgoonco44/CONTRATO_095_2017.pdf</t>
  </si>
  <si>
    <t>http://www.zapopan.gob.mx/repositorio/view/file/p1gatfbc6yxsvl8eamcn/CONTRATO_096_2017.pdf</t>
  </si>
  <si>
    <t>http://www.zapopan.gob.mx/repositorio/view/file/e8gttfl6ttnsbk50bvgy/CONTRATO_097_2017.pdf</t>
  </si>
  <si>
    <t>https://www.zapopan.gob.mx/repositorio/view/file/swznkoe43gvde5y8cziz/098-2017.pdf</t>
  </si>
  <si>
    <t>http://www.zapopan.gob.mx/repositorio/view/file/rbzyvdfhztfcixp9en42/CONTRATO-099-2017.pdf</t>
  </si>
  <si>
    <t>http://www.zapopan.gob.mx/repositorio/view/file/37dl7s98ds8ouqp2vpky/CONTRATO-100-2017.pdf</t>
  </si>
  <si>
    <t>http://www.zapopan.gob.mx/repositorio/view/file/9oe8pshiyp3ymhzaysmp/CONTRATO-101-2017.pdf</t>
  </si>
  <si>
    <t>http://www.zapopan.gob.mx/repositorio/view/file/jmabbgotufyevei85sfu/CONTRATO-102-2017.pdf</t>
  </si>
  <si>
    <t>http://www.zapopan.gob.mx/repositorio/view/file/udqdpptwecod6ikoy7kq/CONTRATO-103-2017.pdf</t>
  </si>
  <si>
    <t>http://www.zapopan.gob.mx/repositorio/view/file/kap0z77wtqlaafm1kukz/CONTRATO-104-2017.pdf</t>
  </si>
  <si>
    <t>http://www.zapopan.gob.mx/repositorio/view/file/keow5pk425bc8mgjqdrg/CONTRATO-105-2017.pdf</t>
  </si>
  <si>
    <t>http://www.zapopan.gob.mx/repositorio/view/file/vxd6bmqcdmraxdjk69z8/CONTRATO-106-2017.pdf</t>
  </si>
  <si>
    <t>http://www.zapopan.gob.mx/repositorio/view/file/d4sjfeuhmihc8lahhmll/CONTRATO-107-2017.pdf</t>
  </si>
  <si>
    <t>http://www.zapopan.gob.mx/repositorio/view/file/a2to2bm1bgikyo1terth/CONTRATO-108-2017.pdf</t>
  </si>
  <si>
    <t>http://www.zapopan.gob.mx/repositorio/view/file/wwvv2uyh8cgcpjun5d2v/CONTRATO-109-2017.pdf</t>
  </si>
  <si>
    <t>http://www.zapopan.gob.mx/repositorio/view/file/xutnoaxrhdwhsypgyamf/CONTRATO-111-2017.pdf</t>
  </si>
  <si>
    <t>http://www.zapopan.gob.mx/repositorio/view/file/hlbpfwjrt2ddknhnqyvq/CONTRATO_112_2017.pdf</t>
  </si>
  <si>
    <t>http://www.zapopan.gob.mx/repositorio/view/file/lzt2wgav1olzl6bfedvt/CONTRATO_113_2017.pdf</t>
  </si>
  <si>
    <t>http://www.zapopan.gob.mx/repositorio/view/file/fguj3jliwffsx4n78qec/CONTRATO-114-2017.pdf</t>
  </si>
  <si>
    <t>http://www.zapopan.gob.mx/repositorio/view/file/ouqw5obv3bk6cj3dcgn2/CONTRATO-115-2017.pdf</t>
  </si>
  <si>
    <t>http://www.zapopan.gob.mx/repositorio/view/file/epsa2cqaxkexxklct6sd/CONTRATO-116-2017.pdf</t>
  </si>
  <si>
    <t>http://www.zapopan.gob.mx/repositorio/view/file/yaahkq2r8otl2vz6ysf0/CONTRATO_117_2017.pdf</t>
  </si>
  <si>
    <t>http://www.zapopan.gob.mx/repositorio/view/file/obd67taknpdtqztoxnem/CONTRATO_118_2017.pdf</t>
  </si>
  <si>
    <t>https://www.zapopan.gob.mx/repositorio/view/file/zqa0fakp0ip2vhsbjajm/145-2017.pdf</t>
  </si>
  <si>
    <t>https://www.zapopan.gob.mx/repositorio/view/file/86nw97xvyke1ee7zkzz1/146-2017.pdf</t>
  </si>
  <si>
    <t>https://www.zapopan.gob.mx/repositorio/view/file/ihgkdqybxtvvvommnppx/147-2017.pdf</t>
  </si>
  <si>
    <t>https://www.zapopan.gob.mx/repositorio/view/file/6rkctkwpmwct2epjcqfl/148-2017.pdf</t>
  </si>
  <si>
    <t>http://www.zapopan.gob.mx/repositorio/view/file/9wotxg1p1os0lginzrik/CONTRATO_149_2017.pdf</t>
  </si>
  <si>
    <t>http://www.zapopan.gob.mx/repositorio/view/file/bk2ddxeoq9ddycojeplz/CONTRATO_150_2017.pdf</t>
  </si>
  <si>
    <t>http://www.zapopan.gob.mx/repositorio/view/file/19e2hk4agqfndmnlfxvy/CONTRATO_151_2017.pdf</t>
  </si>
  <si>
    <t>http://www.zapopan.gob.mx/repositorio/view/file/pqh7zej0cpgedc0uevdu/CONTRATO_152_2017.pdf</t>
  </si>
  <si>
    <t>http://www.zapopan.gob.mx/repositorio/view/file/qiuxvfwir8lcgwygduki/CONTRATO_153_2017.pdf</t>
  </si>
  <si>
    <t>http://www.zapopan.gob.mx/repositorio/view/file/7vjcen1gypmvispkrqvq/CONTRATO_154_2017.pdf</t>
  </si>
  <si>
    <t>http://www.zapopan.gob.mx/repositorio/view/file/pflyhczghs6tjpwndzhy/CONTRATO_155_2017.pdf</t>
  </si>
  <si>
    <t>http://www.zapopan.gob.mx/repositorio/view/file/8sktucmitajsnwcuwqv2/CONTRATO_157_2017.pdf</t>
  </si>
  <si>
    <t>http://www.zapopan.gob.mx/repositorio/view/file/dqmjx8g81d4mhuvdm4sq/CONTRATO_158_2017.pdf</t>
  </si>
  <si>
    <t>http://www.zapopan.gob.mx/repositorio/view/file/hxngmexfx1b1cj4rdr0q/CONTRATO_159_2017.pdf</t>
  </si>
  <si>
    <t>http://www.zapopan.gob.mx/repositorio/view/file/t8zoyrinrx3hqzioz7ud/CONTRATO_160_2017.pdf</t>
  </si>
  <si>
    <t>http://www.zapopan.gob.mx/repositorio/view/file/ebesxggcygi6q0nuy3sr/CONTRATO_161_2017.pdf</t>
  </si>
  <si>
    <t>http://www.zapopan.gob.mx/repositorio/view/file/noc7mvjzkqvo13ahdhsn/CONTRATO_162_2017.pdf</t>
  </si>
  <si>
    <t>http://www.zapopan.gob.mx/repositorio/view/file/ra2sukclwvkthqkt5qbw/CONTRATO-164-2017.pdf</t>
  </si>
  <si>
    <t>http://www.zapopan.gob.mx/repositorio/view/file/gnk2jgiajem9jrnv5ycq/CONTRATO-165-2017.pdf</t>
  </si>
  <si>
    <t>http://www.zapopan.gob.mx/repositorio/view/file/m4as3l0mxtmoos9uerkn/CONTRATO-166-2017.pdf</t>
  </si>
  <si>
    <t>http://www.zapopan.gob.mx/repositorio/view/file/beiicihsmkdzn89lelxv/CONTRATO-167-2017.pdf</t>
  </si>
  <si>
    <t>http://www.zapopan.gob.mx/repositorio/view/file/jk1bcasez2m4phvbmuzu/CONTRATO-168-2017.pdf</t>
  </si>
  <si>
    <t>http://www.zapopan.gob.mx/repositorio/view/file/jptvn3cwyipany3kvrhy/CONTRATO-169-2017.pdf</t>
  </si>
  <si>
    <t>http://www.zapopan.gob.mx/repositorio/view/file/4ryop4cajtn98ddpvyzl/CONTRATO-170-2017.pdf</t>
  </si>
  <si>
    <t>http://www.zapopan.gob.mx/repositorio/view/file/wrake1txkk8u9q4yly8c/CONTRATO-171-2017.pdf</t>
  </si>
  <si>
    <t>http://www.zapopan.gob.mx/repositorio/view/file/q5jhqwimeuqyuomjobzw/CONTRATO-172-2017.pdf</t>
  </si>
  <si>
    <t>http://www.zapopan.gob.mx/repositorio/view/file/1eehilf0ptpcswdd8d8p/CONTRATO-173-2017.pdf</t>
  </si>
  <si>
    <t>https://www.zapopan.gob.mx/repositorio/view/file/31jg0xsu9tsoj7gcoxtu/174-2017.pdf</t>
  </si>
  <si>
    <t>http://www.zapopan.gob.mx/repositorio/view/file/t1upsahx2wqx0qv3ubyt/CONTRATO-175-2017.pdf</t>
  </si>
  <si>
    <t>http://www.zapopan.gob.mx/repositorio/view/file/lymdhcsrriy4adyq1gul/CONTRATO-176-2017.pdf</t>
  </si>
  <si>
    <t>http://www.zapopan.gob.mx/repositorio/view/file/00wlzwzafmuhaecgynke/CONTRATO-177-2017.pdf</t>
  </si>
  <si>
    <t>http://www.zapopan.gob.mx/repositorio/view/file/usobpnurkniyv8cd9khf/CONTRATO-178-2017.pdf</t>
  </si>
  <si>
    <t>https://www.zapopan.gob.mx/repositorio/view/file/eqa8h3ozvcgwnliherar/184-2017.pdf</t>
  </si>
  <si>
    <t>http://www.zapopan.gob.mx/repositorio/view/file/bnifkcf6xgwatldqxmsj/CONTRATO-185-2017.pdf</t>
  </si>
  <si>
    <t>http://www.zapopan.gob.mx/repositorio/view/file/eebh6ghsgayqyilepqbo/CONTRATO-186-2017.pdf</t>
  </si>
  <si>
    <t>http://www.zapopan.gob.mx/repositorio/view/file/oz7drhr5ae15fvjvrjgv/CONTRATO-187-2017.pdf</t>
  </si>
  <si>
    <t>http://www.zapopan.gob.mx/repositorio/view/file/3jyq7dakweo66dkrxwcu/CONTRATO-188-2017.pdf</t>
  </si>
  <si>
    <t>http://www.zapopan.gob.mx/repositorio/view/file/a5tbbhhqdwjwsvwdylht/CONTRATO-189-2017.pdf</t>
  </si>
  <si>
    <t>http://www.zapopan.gob.mx/repositorio/view/file/4rqhz0amyldczcpuvm4h/CONTRATO-190-2017.pdf</t>
  </si>
  <si>
    <t>http://www.zapopan.gob.mx/repositorio/view/file/jpfvw5wdcdxr9fz7tf5r/CONTRATO-191-2017.pdf</t>
  </si>
  <si>
    <t>http://www.zapopan.gob.mx/repositorio/view/file/xwwgre4axxwddudgwqu5/CONTRATO-197-2017.pdf</t>
  </si>
  <si>
    <t>http://www.zapopan.gob.mx/repositorio/view/file/s5ekpyk8wer2rgtcfuq4/CONTRATO-198-2017.pdf</t>
  </si>
  <si>
    <t>http://www.zapopan.gob.mx/repositorio/view/file/lnbhgfc4uwheq8isg0dw/CONTRATO-199-2017.pdf</t>
  </si>
  <si>
    <t>http://www.zapopan.gob.mx/repositorio/view/file/s26gce1h0yopzlnnob5w/CONTRATO-200-2017.pdf</t>
  </si>
  <si>
    <t>http://www.zapopan.gob.mx/repositorio/view/file/xaeoui4kvfnw2wznirzr/CONTRATO-201-2017.pdf</t>
  </si>
  <si>
    <t>https://www.zapopan.gob.mx/repositorio/view/file/qqjbmu70h9tfmokz12e6/203-2017.pdf</t>
  </si>
  <si>
    <t>https://www.zapopan.gob.mx/repositorio/view/file/hbaabf1jw4btf5qbaown/CONTRATO-216-2017.pdf</t>
  </si>
  <si>
    <t>https://www.zapopan.gob.mx/repositorio/view/file/gcfivqcqwy3ev7crha2i/217-2017.pdf</t>
  </si>
  <si>
    <t>https://www.zapopan.gob.mx/repositorio/view/file/nuzeqsd4wqxrfzrdrgfa/218-2017.pdf</t>
  </si>
  <si>
    <t>https://www.zapopan.gob.mx/repositorio/view/file/gkgoto0rm1wtuftjzi6n/219-2017.pdf</t>
  </si>
  <si>
    <t>https://www.zapopan.gob.mx/repositorio/view/file/qd93ai6lr614ezvcxnhh/220-2017.pdf</t>
  </si>
  <si>
    <t>https://www.zapopan.gob.mx/repositorio/view/file/ndsgxm2ka51oqm8o82ru/221-2017.pdf</t>
  </si>
  <si>
    <t>https://www.zapopan.gob.mx/repositorio/view/file/81rwgmah2ji6cqot9pyn/CONTRATO-222-2017-FF.pdf</t>
  </si>
  <si>
    <t>https://www.zapopan.gob.mx/repositorio/view/file/ikv2qeevcsqfycmr7ocw/CONTRATO-224-2017.pdf</t>
  </si>
  <si>
    <t>https://www.zapopan.gob.mx/repositorio/view/file/irpy9dsupik3yrwnd5bc/CONTRATO-225-2017.pdf</t>
  </si>
  <si>
    <t>https://www.zapopan.gob.mx/repositorio/view/file/ohpyomhiiaeb9wzfmh1a/CONTRATO-226-2017-FF.pdf</t>
  </si>
  <si>
    <t>https://www.zapopan.gob.mx/repositorio/view/file/rhr32y9bbdd5qpjbnklo/CONTRATO-227-2017.pdf</t>
  </si>
  <si>
    <t>https://www.zapopan.gob.mx/repositorio/view/file/k2voxvrmcdkxp1cteafl/228-2017.pdf</t>
  </si>
  <si>
    <t>https://www.zapopan.gob.mx/repositorio/view/file/ibytp8seozbth0ewhmqi/235-2017.pdf</t>
  </si>
  <si>
    <t>https://www.zapopan.gob.mx/repositorio/view/file/bc8bftckphtrhawfobsn/236-2017.pdf</t>
  </si>
  <si>
    <t>https://www.zapopan.gob.mx/repositorio/view/file/yhtcegdsjfr6mughvjxz/237-2017.pdf</t>
  </si>
  <si>
    <t>https://www.zapopan.gob.mx/repositorio/view/file/1pu1l8alnpe1kbjldk0r/238-2017.pdf</t>
  </si>
  <si>
    <t>https://www.zapopan.gob.mx/repositorio/view/file/guh3msym7bvmb2d1nzxv/239-2017.pdf</t>
  </si>
  <si>
    <t>https://www.zapopan.gob.mx/repositorio/view/file/ileenilxit7j6qbqhl3i/CONTRATO-255-2017.pdf</t>
  </si>
  <si>
    <t>https://www.zapopan.gob.mx/repositorio/view/file/ob4xzhh71z9ysp3idt1d/256-2017.pdf</t>
  </si>
  <si>
    <t>https://www.zapopan.gob.mx/repositorio/view/file/saws8i8lhuo1sxqdltn2/CONTRATO-257-2017.pdf</t>
  </si>
  <si>
    <t>https://www.zapopan.gob.mx/repositorio/view/file/fv7wqvakagdue3ewgmar/CONTRATO-258-2017.pdf</t>
  </si>
  <si>
    <t>https://www.zapopan.gob.mx/repositorio/view/file/ugj8slwb15nksn5mczrr/259-2017.pdf</t>
  </si>
  <si>
    <t>https://www.zapopan.gob.mx/repositorio/view/file/tiuqp3iodkipiaa8dcbe/CONTRATO-260-2017.pdf</t>
  </si>
  <si>
    <t>https://www.zapopan.gob.mx/repositorio/view/file/vz2z8wgbf54rk3zs6bwv/CONTRATO-261-2017.pdf</t>
  </si>
  <si>
    <t>https://www.zapopan.gob.mx/repositorio/view/file/6vb4zelzgeff4ethszvk/CONTRATO-262-2017.pdf</t>
  </si>
  <si>
    <t>https://www.zapopan.gob.mx/repositorio/view/file/p2pfemtbdeqe8cxebqjo/267-2017.pdf</t>
  </si>
  <si>
    <t>https://www.zapopan.gob.mx/repositorio/view/file/0jvz58tnvmkv5bnmogar/268-2017.pdf</t>
  </si>
  <si>
    <t>https://www.zapopan.gob.mx/repositorio/view/file/mb9xsbdezhuknid9kxkf/CONTRATO-269-2017-FF.pdf</t>
  </si>
  <si>
    <t>https://www.zapopan.gob.mx/repositorio/view/file/hdngzweximwotcpxsvgt/270-2017.pdf</t>
  </si>
  <si>
    <t>https://www.zapopan.gob.mx/repositorio/view/file/niyrbrjimb1g9dkklgqv/CONTRATO-271-2017.pdf</t>
  </si>
  <si>
    <t>https://www.zapopan.gob.mx/repositorio/view/file/ufkv1uujhookhscnymio/272-2017.pdf</t>
  </si>
  <si>
    <t>https://www.zapopan.gob.mx/repositorio/view/file/1tvwakqgehcrn8o652st/CONTRATO-284-2017.pdf</t>
  </si>
  <si>
    <t>https://www.zapopan.gob.mx/repositorio/view/file/bad4dlyqicftabnmwv32/285-2017.pdf</t>
  </si>
  <si>
    <t>https://www.zapopan.gob.mx/repositorio/view/file/uke7rcx8t1ifkgwcizdv/286-2017.pdf</t>
  </si>
  <si>
    <t>https://www.zapopan.gob.mx/repositorio/view/file/slzflhcxtg63bmxnxk2n/287-2017.pdf</t>
  </si>
  <si>
    <t>https://www.zapopan.gob.mx/repositorio/view/file/uc3orbpfyrx1by5vwdo2/288-2017.pdf</t>
  </si>
  <si>
    <t>https://www.zapopan.gob.mx/repositorio/view/file/0ystucgamdwjoiov9b7z/290-2017.pdf</t>
  </si>
  <si>
    <t>https://www.zapopan.gob.mx/repositorio/view/file/xxkaxuw0kwvliagotfvb/291-2017.pdf</t>
  </si>
  <si>
    <t>https://www.zapopan.gob.mx/repositorio/view/file/62fxlibt88a4mpafcqtv/292-2017.pdf</t>
  </si>
  <si>
    <t>https://www.zapopan.gob.mx/repositorio/view/file/j2dxrvlriosretybuiqa/293-2017.pdf</t>
  </si>
  <si>
    <t>https://www.zapopan.gob.mx/repositorio/view/file/qmmxs4pzqo0kkmz2mgr9/CONTRATO-294-2017.pdf</t>
  </si>
  <si>
    <t>https://www.zapopan.gob.mx/repositorio/view/file/nzzll1lhlx3eb8bmaadk/CONTRATO-295-2017.pdf</t>
  </si>
  <si>
    <t>https://www.zapopan.gob.mx/repositorio/view/file/titdhfpi5z5ewjmxv4iw/296-2017.pdf</t>
  </si>
  <si>
    <t>https://www.zapopan.gob.mx/repositorio/view/file/fyufwqxbgdpzy2esbxj7/297-2017.pdf</t>
  </si>
  <si>
    <t>https://www.zapopan.gob.mx/repositorio/view/file/trz3x9lzoawipeket89g/298-2017.pdf</t>
  </si>
  <si>
    <t>https://www.zapopan.gob.mx/repositorio/view/file/xk8eyoafrugvborkhqeq/CONTRATO-299-2017.pdf</t>
  </si>
  <si>
    <t>https://www.zapopan.gob.mx/repositorio/view/file/p5q2jypmzhzwfbmbcgxv/CONTRATO-300-2017.pdf</t>
  </si>
  <si>
    <t>https://www.zapopan.gob.mx/repositorio/view/file/ltwhvwqievv40g8zkxhy/301-2017.pdf</t>
  </si>
  <si>
    <t>https://www.zapopan.gob.mx/repositorio/view/file/hskgvpmrzjvg34oft54f/302-2017.pdf</t>
  </si>
  <si>
    <t>https://www.zapopan.gob.mx/repositorio/view/file/yyeamvhn8qccntjftjse/303-2017.pdf</t>
  </si>
  <si>
    <t>https://www.zapopan.gob.mx/repositorio/view/file/k9yvvliao2o3uok0ti0d/CONTRATO-304-2017.pdf</t>
  </si>
  <si>
    <t>https://www.zapopan.gob.mx/repositorio/view/file/pnrzenklk6aevji25xg7/305-2017.pdf</t>
  </si>
  <si>
    <t>https://www.zapopan.gob.mx/repositorio/view/file/ji405jicwvhviqjlx73a/CONTRATO-307-2017.pdf</t>
  </si>
  <si>
    <t>https://www.zapopan.gob.mx/repositorio/view/file/zpnqgwvowqlxodpncjq7/308-2017.pdf</t>
  </si>
  <si>
    <t>https://www.zapopan.gob.mx/repositorio/view/file/dhifvttjsyy7txm4ieyc/309-2017.pdf</t>
  </si>
  <si>
    <t>https://www.zapopan.gob.mx/repositorio/view/file/bvo6fpombfm8encyk88p/CONTRATO-310-2017-FF.pdf</t>
  </si>
  <si>
    <t>https://www.zapopan.gob.mx/repositorio/view/file/frhobljejsffdd8orwxc/311-2017.pdf</t>
  </si>
  <si>
    <t>https://www.zapopan.gob.mx/repositorio/view/file/jioloilcqggr6wnwijme/312-2017.pdf</t>
  </si>
  <si>
    <t>https://www.zapopan.gob.mx/repositorio/view/file/b5ww6fdkxdnoudpswlsp/313-2017.pdf</t>
  </si>
  <si>
    <t>https://www.zapopan.gob.mx/repositorio/view/file/sxzinhivyudsco74x9pk/314-2017.pdf</t>
  </si>
  <si>
    <t>https://www.zapopan.gob.mx/repositorio/view/file/awns4cbyhjizzo8pcwwn/315-2017.pdf</t>
  </si>
  <si>
    <t>https://www.zapopan.gob.mx/repositorio/view/file/jw2e24yfqx5lqyxohnnh/316-2017.pdf</t>
  </si>
  <si>
    <t>https://www.zapopan.gob.mx/repositorio/view/file/lo0b5pt9r88jbdlxsfc7/317-2017.pdf</t>
  </si>
  <si>
    <t>https://www.zapopan.gob.mx/repositorio/view/file/nuib9s7qjqjpctizktqv/320-2017.pdf</t>
  </si>
  <si>
    <t>https://www.zapopan.gob.mx/repositorio/view/file/d5j1bq6bwd7n5qdiwpki/CONTRATO-321-2017-FF.pdf</t>
  </si>
  <si>
    <t>https://www.zapopan.gob.mx/repositorio/view/file/zaqn7z4by50lpnrvamyh/192_2017.pdf</t>
  </si>
  <si>
    <t>https://www.zapopan.gob.mx/repositorio/view/file/n0jure9r4k5mca48m5k4/193_2017.pdf</t>
  </si>
  <si>
    <t>https://www.zapopan.gob.mx/repositorio/view/file/ksqikkjw6u8abqk3kgl1/194_2017.pdf</t>
  </si>
  <si>
    <t>https://www.zapopan.gob.mx/repositorio/view/file/0rhcasrgfz8yrdnqvcc0/195_2017.pdf</t>
  </si>
  <si>
    <t>http://www.zapopan.gob.mx/repositorio/view/file/ogcpqzklanzsxanomjow/CONTRATO_008_2017.pdf</t>
  </si>
  <si>
    <t>http://www.zapopan.gob.mx/repositorio/view/file/dsts0ie22ymzltns5zwc/CONTRATO_010_2017.pdf</t>
  </si>
  <si>
    <t>http://www.zapopan.gob.mx/repositorio/view/file/gnchhgie5y3hzfuqtcip/CONTRATO_011_2017.pdf</t>
  </si>
  <si>
    <t>http://www.zapopan.gob.mx/repositorio/view/file/qz4cmvzlgyad4amm79hx/CONTRATO_012_2017.pdf</t>
  </si>
  <si>
    <t>http://www.zapopan.gob.mx/repositorio/view/file/vfkubexvbukcifpnwvop/CONTRATO_013_2017.pdf</t>
  </si>
  <si>
    <t>http://www.zapopan.gob.mx/repositorio/view/file/mjitlvivhf8lq81lbfoc/CONTRATO_014_2017.pdf</t>
  </si>
  <si>
    <t>http://www.zapopan.gob.mx/repositorio/view/file/mnqb9zoyvujga6wrocsc/CONTRATO_016_2017.pdf</t>
  </si>
  <si>
    <t>http://www.zapopan.gob.mx/repositorio/view/file/er7jjwtfzedzratg57pz/CONTRATO_017_2017.pdf</t>
  </si>
  <si>
    <t>http://www.zapopan.gob.mx/repositorio/view/file/eqb9hos0mbihcykmndpf/CONTRATO_018_2017.pdf</t>
  </si>
  <si>
    <t>http://www.zapopan.gob.mx/repositorio/view/file/i0yzyeuq0ybq4hng4k8k/CONTRATO_019_2017.pdf</t>
  </si>
  <si>
    <t>http://www.zapopan.gob.mx/repositorio/view/file/flszvi4z9a3s5p0y48nk/CONTRATO_020_2017.pdf</t>
  </si>
  <si>
    <t>http://www.zapopan.gob.mx/repositorio/view/file/wiyehytic52wfyhnsvqo/CONTRATO_023_2017.pdf</t>
  </si>
  <si>
    <t>http://www.zapopan.gob.mx/repositorio/view/file/neqvnwudrfwwzh2yfugg/CONTRATO_024_2017.pdf</t>
  </si>
  <si>
    <t>http://www.zapopan.gob.mx/repositorio/view/file/l8hodwi9znvlzddtxldc/CONTRATO_025_2017.pdf</t>
  </si>
  <si>
    <t>http://www.zapopan.gob.mx/repositorio/view/file/ivlzsqwpkimrw1laaioy/CONTRATO_026_2017.pdf</t>
  </si>
  <si>
    <t>http://www.zapopan.gob.mx/repositorio/view/file/2gujksgcaeawqnuqm3u4/CONTRATO_027_2017.pdf</t>
  </si>
  <si>
    <t>http://www.zapopan.gob.mx/repositorio/view/file/ws2appyu0kbcvkrddmbx/CONTRATO_028_2017.pdf</t>
  </si>
  <si>
    <t>http://www.zapopan.gob.mx/repositorio/view/file/ltshv0qtiyeizti1hfr5/CONTRATO_029_2017.pdf</t>
  </si>
  <si>
    <t>http://www.zapopan.gob.mx/repositorio/view/file/cpgfsshwfsh1zqcknxyr/CONTRATO_030_2017.pdf</t>
  </si>
  <si>
    <t>http://www.zapopan.gob.mx/repositorio/view/file/hfyyhdmeodmdjfizqdw9/CONTRATO_031_2017.pdf</t>
  </si>
  <si>
    <t>http://www.zapopan.gob.mx/repositorio/view/file/lkebqyug8fqjrik4lfh3/CONTRATO_033_2017.pdf</t>
  </si>
  <si>
    <t>http://www.zapopan.gob.mx/repositorio/view/file/99bkkrexvmtstfilzav9/CONTRATO_034_2017.pdf</t>
  </si>
  <si>
    <t>http://www.zapopan.gob.mx/repositorio/view/file/dasdaqzrchccvjdw5t5e/CONTRATO_036_2017.pdf</t>
  </si>
  <si>
    <t>http://www.zapopan.gob.mx/repositorio/view/file/neeaaj4wzjpguqzjetmv/CONTRATO_037_2017.pdf</t>
  </si>
  <si>
    <t>http://www.zapopan.gob.mx/repositorio/view/file/kpkcqvqytzpaay4i3weq/CONTRATO_039_2017.pdf</t>
  </si>
  <si>
    <t>http://www.zapopan.gob.mx/repositorio/view/file/2qilmken4eaalmaoimet/CONTRATO_040_2017.pdf</t>
  </si>
  <si>
    <t>http://www.zapopan.gob.mx/repositorio/view/file/0ejq0q9qygofzj5rzghb/CONTRATO_123_2017.pdf</t>
  </si>
  <si>
    <t>http://www.zapopan.gob.mx/repositorio/view/file/wx416wevpa1zrawmxik7/CONTRATO_140_2017.pdf</t>
  </si>
  <si>
    <t>http://www.zapopan.gob.mx/repositorio/view/file/d6ula6yxh5nwoywlkuh8/CONTRATO_144_2017.pdf</t>
  </si>
  <si>
    <t>http://www.zapopan.gob.mx/repositorio/view/file/qyvucwrudolmjeuqzpdx/CONTRATO_163_2017.pdf</t>
  </si>
  <si>
    <t>http://www.zapopan.gob.mx/repositorio/view/file/ysebegxemsk7nhr4prui/CONTRATO-179-2017.pdf</t>
  </si>
  <si>
    <t>http://www.zapopan.gob.mx/repositorio/view/file/smofgwaftc6wwkscrxjm/CONTRATO_181_2017.pdf</t>
  </si>
  <si>
    <t>http://www.zapopan.gob.mx/repositorio/view/file/voau7ziqmtq0xojcd1k3/CONTRATO_183_2017.pdf</t>
  </si>
  <si>
    <t>http://www.zapopan.gob.mx/repositorio/view/file/ruo5ukhwk7zln2s1ygkf/CONTRATO_207_2017.pdf</t>
  </si>
  <si>
    <t>http://www.zapopan.gob.mx/repositorio/view/file/ypot26emq4feo94zdc89/CONTRATO_211_2017.pdf</t>
  </si>
  <si>
    <t>http://www.zapopan.gob.mx/repositorio/view/file/izkcwwpbye4yjwp6anuc/CONTRATO_243_2017.pdf</t>
  </si>
  <si>
    <t>http://www.zapopan.gob.mx/repositorio/view/file/ec2vt14vnnuk083usrfs/CONTRATO_247_2017.pdf</t>
  </si>
  <si>
    <t>http://www.zapopan.gob.mx/repositorio/view/file/hnx4ron7x3wbqtyvaaub/CONTRATO_252_2017.pdf</t>
  </si>
  <si>
    <t>http://www.zapopan.gob.mx/repositorio/view/file/qnv3rf4ac8w4yvo1r3hr/CONTRATO_253_2017.pdf</t>
  </si>
  <si>
    <t>http://www.zapopan.gob.mx/repositorio/view/file/uacchowus21vpylzevyt/CONTRATO_341_2017.pdf</t>
  </si>
  <si>
    <t>https://www.zapopan.gob.mx/repositorio/view/file/7iwd6devdnbp2s13uscq/230-2015.pdf</t>
  </si>
  <si>
    <t>https://www.zapopan.gob.mx/repositorio/view/file/svbyzdlrke42vep4q15u/231-2015.pdf</t>
  </si>
  <si>
    <t>https://www.zapopan.gob.mx/repositorio/view/file/ida27i9j96klkbzavynv/DOPI-MUN-R33-IE-LP-232-2015.pdf</t>
  </si>
  <si>
    <t>https://www.zapopan.gob.mx/repositorio/view/file/tnxz6oimx96ix4vqkdqd/232-2015.pdf</t>
  </si>
  <si>
    <t>Nota</t>
  </si>
  <si>
    <t xml:space="preserve">Los valores que se advierten en el costo final corresponden al costo inicial,  la obra aun no see considera como concluida por lo que  a la fecha no se tienen modificaciones en la calculo inicial. </t>
  </si>
  <si>
    <t>http://www.zapopan.gob.mx/wp-content/uploads/2017/06/DOPI_236_2015.pdf</t>
  </si>
  <si>
    <t>http://www.zapopan.gob.mx/wp-content/uploads/2017/06/DOPI_237_2015.pdf</t>
  </si>
  <si>
    <t>http://www.zapopan.gob.mx/wp-content/uploads/2017/06/DOPI_239_2015.pdf</t>
  </si>
  <si>
    <t>http://www.zapopan.gob.mx/wp-content/uploads/2017/06/DOPI_240_2015.pdf</t>
  </si>
  <si>
    <t>http://www.zapopan.gob.mx/wp-content/uploads/2017/06/DOPI_241_2015.pdf</t>
  </si>
  <si>
    <t>http://www.zapopan.gob.mx/wp-content/uploads/2017/06/DOPI_243_2015.pdf</t>
  </si>
  <si>
    <t>http://www.zapopan.gob.mx/wp-content/uploads/2017/06/DOPI_005_2016.pdf</t>
  </si>
  <si>
    <t>http://www.zapopan.gob.mx/wp-content/uploads/2017/05/Contrato_007_2016.pdf</t>
  </si>
  <si>
    <t>http://www.zapopan.gob.mx/wp-content/uploads/2017/06/DOPI_012_2016.pdf</t>
  </si>
  <si>
    <t>http://www.zapopan.gob.mx/wp-content/uploads/2017/05/Contrato_019_2016.pdf</t>
  </si>
  <si>
    <t>http://www.zapopan.gob.mx/wp-content/uploads/2017/05/Contrato_024_2016.pdf</t>
  </si>
  <si>
    <t>http://www.zapopan.gob.mx/wp-content/uploads/2017/05/Contrato_035_2016.pdf</t>
  </si>
  <si>
    <t>http://www.zapopan.gob.mx/wp-content/uploads/2017/05/Contrato_033_2016.pdf</t>
  </si>
  <si>
    <t>http://www.zapopan.gob.mx/wp-content/uploads/2017/06/DOPI_054_2016.pdf</t>
  </si>
  <si>
    <t>http://www.zapopan.gob.mx/wp-content/uploads/2017/05/Contrato_064_2016.pdf</t>
  </si>
  <si>
    <t>http://www.zapopan.gob.mx/wp-content/uploads/2017/06/DOPI_102_2016.pdf</t>
  </si>
  <si>
    <t>http://www.zapopan.gob.mx/wp-content/uploads/2017/06/DOPI_105_2016.pdf</t>
  </si>
  <si>
    <t>http://www.zapopan.gob.mx/wp-content/uploads/2017/06/DOPI_107_2016.pdf</t>
  </si>
  <si>
    <t>http://www.zapopan.gob.mx/wp-content/uploads/2017/05/Contrato_108_2016.pdf</t>
  </si>
  <si>
    <t>http://www.zapopan.gob.mx/wp-content/uploads/2017/06/DOPI_119_2016.pdf</t>
  </si>
  <si>
    <t>http://www.zapopan.gob.mx/wp-content/uploads/2017/09/076-17.pdf</t>
  </si>
  <si>
    <t>http://www.zapopan.gob.mx/wp-content/uploads/2017/09/001_16.pdf</t>
  </si>
  <si>
    <t>http://www.zapopan.gob.mx/wp-content/uploads/2017/09/03_16.pdf</t>
  </si>
  <si>
    <t>http://www.zapopan.gob.mx/wp-content/uploads/2017/09/006_16.pdf</t>
  </si>
  <si>
    <t>http://www.zapopan.gob.mx/wp-content/uploads/2017/09/10_16.pdf</t>
  </si>
  <si>
    <t>http://www.zapopan.gob.mx/wp-content/uploads/2017/09/11_16.pdf</t>
  </si>
  <si>
    <t>https://www.zapopan.gob.mx/wp-content/uploads/2017/05/Contrato_013_2016.pdf</t>
  </si>
  <si>
    <t>http://www.zapopan.gob.mx/wp-content/uploads/2017/01/015_16.pdf</t>
  </si>
  <si>
    <t>http://www.zapopan.gob.mx/wp-content/uploads/2017/02/DOPI_MUN_RP_PROY_CI_017_16.pdf</t>
  </si>
  <si>
    <t>https://www.zapopan.gob.mx/wp-content/uploads/2017/05/Contrato_020_2016.pdf</t>
  </si>
  <si>
    <t>http://www.zapopan.gob.mx/wp-content/uploads/2017/01/021_16.pdf</t>
  </si>
  <si>
    <t>http://www.zapopan.gob.mx/wp-content/uploads/2017/05/Contrato_022_2016.pdf</t>
  </si>
  <si>
    <t>http://www.zapopan.gob.mx/wp-content/uploads/2017/02/DOPI_MUN_RP_PAV_LP_023_16.pdf</t>
  </si>
  <si>
    <t>http://www.zapopan.gob.mx/wp-content/uploads/2017/02/DOPI_MUN_RP_PAV_LP_025_16.pdf</t>
  </si>
  <si>
    <t>http://www.zapopan.gob.mx/wp-content/uploads/2017/02/DOPI_MUN_RP_PAV_LP_026_16.pdf</t>
  </si>
  <si>
    <t>http://www.zapopan.gob.mx/wp-content/uploads/2017/01/027_16.pdf</t>
  </si>
  <si>
    <t>http://www.zapopan.gob.mx/wp-content/uploads/2017/01/028_16.pdf</t>
  </si>
  <si>
    <t>http://www.zapopan.gob.mx/wp-content/uploads/2017/09/029_16.pdf</t>
  </si>
  <si>
    <t>http://www.zapopan.gob.mx/wp-content/uploads/2017/05/Contrato_030_2016.pdf</t>
  </si>
  <si>
    <t>http://www.zapopan.gob.mx/wp-content/uploads/2017/02/DOPI_MUN_RP_OC_AD_034_16.pdf</t>
  </si>
  <si>
    <t>http://www.zapopan.gob.mx/wp-content/uploads/2017/09/47_16.pdf</t>
  </si>
  <si>
    <t>http://www.zapopan.gob.mx/wp-content/uploads/2017/09/48_16.pdf</t>
  </si>
  <si>
    <t>http://www.zapopan.gob.mx/wp-content/uploads/2017/09/049-16.pdf</t>
  </si>
  <si>
    <t>http://www.zapopan.gob.mx/wp-content/uploads/2017/09/55_16.pdf</t>
  </si>
  <si>
    <t>http://www.zapopan.gob.mx/wp-content/uploads/2017/09/58_16.pdf</t>
  </si>
  <si>
    <t>http://www.zapopan.gob.mx/wp-content/uploads/2017/09/59_16.pdf</t>
  </si>
  <si>
    <t>http://www.zapopan.gob.mx/wp-content/uploads/2017/09/60_16.pdf</t>
  </si>
  <si>
    <t>http://www.zapopan.gob.mx/wp-content/uploads/2017/09/061_16.pdf</t>
  </si>
  <si>
    <t>http://www.zapopan.gob.mx/wp-content/uploads/2017/09/68_16.pdf</t>
  </si>
  <si>
    <t>http://www.zapopan.gob.mx/wp-content/uploads/2017/09/69_16-2.pdf</t>
  </si>
  <si>
    <t>http://www.zapopan.gob.mx/wp-content/uploads/2017/09/072_16.pdf</t>
  </si>
  <si>
    <t>http://www.zapopan.gob.mx/wp-content/uploads/2017/09/073-16.pdf</t>
  </si>
  <si>
    <t>http://www.zapopan.gob.mx/wp-content/uploads/2017/09/074-16.pdf</t>
  </si>
  <si>
    <t>http://www.zapopan.gob.mx/wp-content/uploads/2017/09/75_16.pdf</t>
  </si>
  <si>
    <t>http://www.zapopan.gob.mx/wp-content/uploads/2017/09/77-16.pdf</t>
  </si>
  <si>
    <t>http://www.zapopan.gob.mx/wp-content/uploads/2017/09/078-16.pdf</t>
  </si>
  <si>
    <t>http://www.zapopan.gob.mx/wp-content/uploads/2017/09/79-16.pdf</t>
  </si>
  <si>
    <t>http://www.zapopan.gob.mx/wp-content/uploads/2017/09/080-16.pdf</t>
  </si>
  <si>
    <t>http://www.zapopan.gob.mx/wp-content/uploads/2017/09/081_16.pdf</t>
  </si>
  <si>
    <t>http://www.zapopan.gob.mx/wp-content/uploads/2017/09/082-16.pdf</t>
  </si>
  <si>
    <t>http://www.zapopan.gob.mx/wp-content/uploads/2017/09/98-16.pdf</t>
  </si>
  <si>
    <t>http://www.zapopan.gob.mx/wp-content/uploads/2017/09/110_16.pdf</t>
  </si>
  <si>
    <t>http://www.zapopan.gob.mx/wp-content/uploads/2017/09/111_16.pdf</t>
  </si>
  <si>
    <t>http://www.zapopan.gob.mx/wp-content/uploads/2017/09/131_16.pdf</t>
  </si>
  <si>
    <t>http://www.zapopan.gob.mx/wp-content/uploads/2017/09/139-16.pdf</t>
  </si>
  <si>
    <t>http://www.zapopan.gob.mx/wp-content/uploads/2017/09/151_16.pdf</t>
  </si>
  <si>
    <t>http://www.zapopan.gob.mx/wp-content/uploads/2017/09/152_16.pdf</t>
  </si>
  <si>
    <t>http://www.zapopan.gob.mx/wp-content/uploads/2017/09/154-16.pdf</t>
  </si>
  <si>
    <t>http://www.zapopan.gob.mx/wp-content/uploads/2017/09/158-16.pdf</t>
  </si>
  <si>
    <t>http://www.zapopan.gob.mx/wp-content/uploads/2017/09/171-16.pdf</t>
  </si>
  <si>
    <t>http://www.zapopan.gob.mx/wp-content/uploads/2017/09/181-16.pdf</t>
  </si>
  <si>
    <t>http://www.zapopan.gob.mx/wp-content/uploads/2017/09/182-16.pdf</t>
  </si>
  <si>
    <t>http://www.zapopan.gob.mx/wp-content/uploads/2017/09/185-16.pdf</t>
  </si>
  <si>
    <t>http://www.zapopan.gob.mx/wp-content/uploads/2017/09/187-16.pdf</t>
  </si>
  <si>
    <t>http://www.zapopan.gob.mx/wp-content/uploads/2017/09/212-16.pdf</t>
  </si>
  <si>
    <t>http://www.zapopan.gob.mx/wp-content/uploads/2017/09/218-16.pdf</t>
  </si>
  <si>
    <t>http://www.zapopan.gob.mx/wp-content/uploads/2017/09/220-16.pdf</t>
  </si>
  <si>
    <t>http://www.zapopan.gob.mx/wp-content/uploads/2017/09/223-16.pdf</t>
  </si>
  <si>
    <t>http://www.zapopan.gob.mx/wp-content/uploads/2017/09/225-16.pdf</t>
  </si>
  <si>
    <t>http://www.zapopan.gob.mx/wp-content/uploads/2017/09/237-16.pdf</t>
  </si>
  <si>
    <t>http://www.zapopan.gob.mx/wp-content/uploads/2017/09/243-16.pdf</t>
  </si>
  <si>
    <t>http://www.zapopan.gob.mx/wp-content/uploads/2017/09/245-16.pdf</t>
  </si>
  <si>
    <t>http://www.zapopan.gob.mx/wp-content/uploads/2017/09/248-16.pdf</t>
  </si>
  <si>
    <t>http://www.zapopan.gob.mx/wp-content/uploads/2017/09/274-16.pdf</t>
  </si>
  <si>
    <t>$440,036.32 ACUMULADO A LA FECHA $1,458,997.16 $233,439.54 $1,692,436.70 $1,692,436.70</t>
  </si>
  <si>
    <t>Orden</t>
  </si>
  <si>
    <t>https://www.zapopan.gob.mx/repositorio/view/file/oo7sdf1xxnyoeoxcn96m/002_2016.pdf</t>
  </si>
  <si>
    <t>http://www.zapopan.gob.mx/repositorio/view/file/ml6cyhr824u5prhdkcyg/CONTRATO_016_2016.pdf</t>
  </si>
  <si>
    <t>https://www.zapopan.gob.mx/repositorio/view/file/sasi2xa4pg38irggmi1c/038-2016.pdf</t>
  </si>
  <si>
    <t>https://www.zapopan.gob.mx/repositorio/view/file/owwxswbjqfegi0b7ehkb/CONTRATO_039_2016.pdf</t>
  </si>
  <si>
    <t>https://www.zapopan.gob.mx/repositorio/view/file/qo5575boicuvbtwl4kje/CONTRATO_040_2016.pdf</t>
  </si>
  <si>
    <t>https://www.zapopan.gob.mx/repositorio/view/file/lt9fxykj4tsx6bs8dd12/CONTRATO_041_2016.pdf</t>
  </si>
  <si>
    <t>http://www.zapopan.gob.mx/repositorio/view/file/ewwnmjzpot47u7m35wnt/CONTRATO_046_2016.pdf</t>
  </si>
  <si>
    <t>https://www.zapopan.gob.mx/repositorio/view/file/xulowotvbfhupqrvrh4j/050-2016.pdf</t>
  </si>
  <si>
    <t>http://www.zapopan.gob.mx/repositorio/view/file/nm07t3xjnpr6dwdkb0ix/CONTRATO_052_2016.pdf</t>
  </si>
  <si>
    <t>http://www.zapopan.gob.mx/repositorio/view/file/esqyieojpdnfogqwljye/CONTRATO_057_2016.pdf</t>
  </si>
  <si>
    <t>https://www.zapopan.gob.mx/repositorio/view/file/8rt4dfqb5nxdqthndsmn/062-2016.pdf</t>
  </si>
  <si>
    <t>https://www.zapopan.gob.mx/repositorio/view/file/9brzyr2erzlh4odyfr9e/063-2016.pdf</t>
  </si>
  <si>
    <t>https://www.zapopan.gob.mx/repositorio/view/file/l8mcxyblheevyitqmucx/CONTRATO_070_2016.pdf</t>
  </si>
  <si>
    <t>https://www.zapopan.gob.mx/repositorio/view/file/bjohf0kgryiajv7ydj1q/076-2016.pdf</t>
  </si>
  <si>
    <t>https://www.zapopan.gob.mx/repositorio/view/file/4jx9fnzswguc1ikxeekz/083-2016.pdf</t>
  </si>
  <si>
    <t>http://www.zapopan.gob.mx/repositorio/view/file/tccgtp6j2qlnr1ozjij5/CONTRATO_084_2016.pdf</t>
  </si>
  <si>
    <t>https://www.zapopan.gob.mx/repositorio/view/file/exnlff9axnrut6hxzihi/085-2016.pdf</t>
  </si>
  <si>
    <t>https://www.zapopan.gob.mx/repositorio/view/file/ym14k2spmrhe3ur01u9k/086-2016.pdf</t>
  </si>
  <si>
    <t>https://www.zapopan.gob.mx/repositorio/view/file/zoa1fpf9rcimyxyhvjpr/087-2016.pdf</t>
  </si>
  <si>
    <t>https://www.zapopan.gob.mx/repositorio/view/file/3jofzynnugksyaci7i7p/088-2016.pdf</t>
  </si>
  <si>
    <t>https://www.zapopan.gob.mx/repositorio/view/file/iun46eusulxraf6hp4v1/090-2016.pdf</t>
  </si>
  <si>
    <t>https://www.zapopan.gob.mx/repositorio/view/file/qyelektu3i0fnztoole8/091-2016.pdf</t>
  </si>
  <si>
    <t>https://www.zapopan.gob.mx/repositorio/view/file/gsdj5oslpgfzaqx9vtat/093-2016.pdf</t>
  </si>
  <si>
    <t>https://www.zapopan.gob.mx/repositorio/view/file/mpmayq149o07tbr6rhla/094-2016.pdf</t>
  </si>
  <si>
    <t>https://www.zapopan.gob.mx/repositorio/view/file/0cxqzc9h0dvkmd4sl0w4/096-2016.pdf</t>
  </si>
  <si>
    <t>https://www.zapopan.gob.mx/repositorio/view/file/gmx0jli54dbolmwkhg0x/097-2016.pdf</t>
  </si>
  <si>
    <t>https://www.zapopan.gob.mx/repositorio/view/file/yovhrqctvdkebratxlq9/099-2016.pdf</t>
  </si>
  <si>
    <t>https://www.zapopan.gob.mx/repositorio/view/file/hi9kqrns62jmlj83tfxr/100-2016.pdf</t>
  </si>
  <si>
    <t>http://www.zapopan.gob.mx/repositorio/view/file/iosezlatdadom9xv9fi5/CONTRATO_101_2016.pdf</t>
  </si>
  <si>
    <t>https://www.zapopan.gob.mx/repositorio/view/file/qj9xjm5tx5bnkbubiesq/104-2016.pdf</t>
  </si>
  <si>
    <t>http://www.zapopan.gob.mx/repositorio/view/file/qbdbnxe7s8bvrlbzvdio/CONTRATO_106_2016.pdf</t>
  </si>
  <si>
    <t>https://www.zapopan.gob.mx/repositorio/view/file/ylf2f2qrui6zwltejrze/109-2016.pdf</t>
  </si>
  <si>
    <t>http://www.zapopan.gob.mx/repositorio/view/file/7k7vn53l2qg0vppkz7qx/CONTRATO_112_2016.pdf</t>
  </si>
  <si>
    <t>https://www.zapopan.gob.mx/repositorio/view/file/gwgq3gwrp4cfupwpf8l9/113-2016.pdf</t>
  </si>
  <si>
    <t>https://www.zapopan.gob.mx/repositorio/view/file/a0zocqieu8rwlsi7b2zo/114-2016.pdf</t>
  </si>
  <si>
    <t>https://www.zapopan.gob.mx/repositorio/view/file/bi4nb4gzhkpoh9qa9bqi/118-2016.pdf</t>
  </si>
  <si>
    <t>https://www.zapopan.gob.mx/repositorio/view/file/otmumdd7oqbkzqrzjkz1/120-2016.pdf</t>
  </si>
  <si>
    <t>http://www.zapopan.gob.mx/repositorio/view/file/bh1fuwneesrk9qqnytqh/CONTRATO_121_2016.pdf</t>
  </si>
  <si>
    <t>http://www.zapopan.gob.mx/repositorio/view/file/aillwp0cbhyfzpgmmnbh/CONTRATO_122_2016.pdf</t>
  </si>
  <si>
    <t>https://www.zapopan.gob.mx/repositorio/view/file/ctt1aaglk3f6xoqjb1d7/123-2016.pdf</t>
  </si>
  <si>
    <t>https://www.zapopan.gob.mx/repositorio/view/file/tqpcoem77mdnefmg3kde/125-2016.pdf</t>
  </si>
  <si>
    <t>https://www.zapopan.gob.mx/repositorio/view/file/ciqcgpxexva5w2f3o1pg/126-2016.pdf</t>
  </si>
  <si>
    <t>https://www.zapopan.gob.mx/repositorio/view/file/yvpsorndgdvurxotxn3m/CONTRATO_127_2016.pdf</t>
  </si>
  <si>
    <t>https://www.zapopan.gob.mx/repositorio/view/file/maxkm9xg1ikktwxptnzb/CONTRATO_129_2016.pdf</t>
  </si>
  <si>
    <t>https://www.zapopan.gob.mx/repositorio/view/file/uh8ny6khayl57s56unp7/CONTRATO_130_2016.pdf</t>
  </si>
  <si>
    <t>https://www.zapopan.gob.mx/repositorio/view/file/ogyocsuolgm2gdqoprku/CONTRATO_133_2016.pdf</t>
  </si>
  <si>
    <t>https://www.zapopan.gob.mx/repositorio/view/file/l7zyxh2dzzpnxq65t4uw/CONTRATO_134_2016.pdf</t>
  </si>
  <si>
    <t>https://www.zapopan.gob.mx/repositorio/view/file/4hg4oneoi99d72b62eas/136-2016.pdf</t>
  </si>
  <si>
    <t>https://www.zapopan.gob.mx/repositorio/view/file/f8on540dogjw2dgo0kze/CONTRATO_137_2016.pdf</t>
  </si>
  <si>
    <t>https://www.zapopan.gob.mx/repositorio/view/file/t3f63hnopc9y3olhk7hq/138-2016.pdf</t>
  </si>
  <si>
    <t>https://www.zapopan.gob.mx/repositorio/view/file/kig02awdm9hyq3ox47dx/146-2016.pdf</t>
  </si>
  <si>
    <t>https://www.zapopan.gob.mx/repositorio/view/file/eweycg3xqxqvbg4awinv/147-2016.pdf</t>
  </si>
  <si>
    <t>https://www.zapopan.gob.mx/repositorio/view/file/09ilkevkdcobrfzsxomu/148-2016.pdf</t>
  </si>
  <si>
    <t>https://www.zapopan.gob.mx/repositorio/view/file/lc1wweh1rg8uyqm58cxz/149-2016.pdf</t>
  </si>
  <si>
    <t>https://www.zapopan.gob.mx/repositorio/view/file/og0jldibtbr4ynzsf0vr/155-2016.pdf</t>
  </si>
  <si>
    <t>https://www.zapopan.gob.mx/repositorio/view/file/j7znfp959xb1it2ci9nh/156-2016.pdf</t>
  </si>
  <si>
    <t>https://www.zapopan.gob.mx/repositorio/view/file/zw1yecqkvkotkuus5vu2/159-2016.pdf</t>
  </si>
  <si>
    <t>https://www.zapopan.gob.mx/repositorio/view/file/089ufkzgtxogukm8d0qm/CONTRATO_160_2016.pdf</t>
  </si>
  <si>
    <t>https://www.zapopan.gob.mx/repositorio/view/file/e58fst2wrnbgdadxwrgu/CONTRATO_161_2016.pdf</t>
  </si>
  <si>
    <t>https://www.zapopan.gob.mx/repositorio/view/file/jtgknoklljdnumlm1bfx/162-2016.pdf</t>
  </si>
  <si>
    <t>https://www.zapopan.gob.mx/repositorio/view/file/oqvm1xhot3ujqc5gppqp/CONTRATO_163_2016.pdf</t>
  </si>
  <si>
    <t>https://www.zapopan.gob.mx/repositorio/view/file/ismoxqh1xchsgbkqa0tp/164-2016.pdf</t>
  </si>
  <si>
    <t>https://www.zapopan.gob.mx/repositorio/view/file/iypz4xyddrrikkiqcydt/CONTRATO_165_2016.pdf</t>
  </si>
  <si>
    <t>https://www.zapopan.gob.mx/repositorio/view/file/gfbraue6kcv4mcgzp4ct/CONTRATO_166_2016.pdf</t>
  </si>
  <si>
    <t>https://www.zapopan.gob.mx/repositorio/view/file/inpiuc4lamyxt4jpunbh/168-2016.pdf</t>
  </si>
  <si>
    <t>https://www.zapopan.gob.mx/repositorio/view/file/2rxyogyffdy3aeev8pv5/170-2016.pdf</t>
  </si>
  <si>
    <t>http://www.zapopan.gob.mx/repositorio/view/file/wgtfgf0n8cxrmkev5ib7/CONTRATO_176_2016.pdf</t>
  </si>
  <si>
    <t>http://www.zapopan.gob.mx/repositorio/view/file/snopnvcsktgcn5hyt5at/CONTRATO_177_2016.pdf</t>
  </si>
  <si>
    <t>https://www.zapopan.gob.mx/repositorio/view/file/zco6nm3d2u3nrhw0yvfe/189-2016.pdf</t>
  </si>
  <si>
    <t>https://www.zapopan.gob.mx/repositorio/view/file/qdwrkmr707ildulyndxz/202-2016.pdf</t>
  </si>
  <si>
    <t>https://www.zapopan.gob.mx/repositorio/view/file/fop1lleg8bkbahqdcisx/206-2016.pdf</t>
  </si>
  <si>
    <t>https://www.zapopan.gob.mx/repositorio/view/file/21oyztxkvq5km6yiwrgk/208-2016.pdf</t>
  </si>
  <si>
    <t>https://www.zapopan.gob.mx/repositorio/view/file/duywrwty1ba7gwhhbnks/209-2016.pdf</t>
  </si>
  <si>
    <t>https://www.zapopan.gob.mx/repositorio/view/file/8rxxh5qxhjq54gqqpfti/210-2016.pdf</t>
  </si>
  <si>
    <t>https://www.zapopan.gob.mx/repositorio/view/file/jchdgwnqqtyzyu7bablq/213-2016.pdf</t>
  </si>
  <si>
    <t>https://www.zapopan.gob.mx/repositorio/view/file/x3l2kingira9mo366n1z/215-2016.pdf</t>
  </si>
  <si>
    <t>https://www.zapopan.gob.mx/repositorio/view/file/pdm4isnh9ybimfs5ccig/219-2016.pdf</t>
  </si>
  <si>
    <t>https://www.zapopan.gob.mx/repositorio/view/file/cc8etkdaey3hq5lkdrp0/221-2016.pdf</t>
  </si>
  <si>
    <t>https://www.zapopan.gob.mx/repositorio/view/file/kmpqqt1n71xhbvco7kre/226-2016.pdf</t>
  </si>
  <si>
    <t>https://www.zapopan.gob.mx/repositorio/view/file/eijowcrd0rr8jjddo9vg/228-2016.pdf</t>
  </si>
  <si>
    <t>https://www.zapopan.gob.mx/repositorio/view/file/8hgkcwvmyqymuneiqugs/229-2016.pdf</t>
  </si>
  <si>
    <t>https://www.zapopan.gob.mx/repositorio/view/file/qfrmvravtyyb60fek9fz/230-2016.pdf</t>
  </si>
  <si>
    <t>https://www.zapopan.gob.mx/repositorio/view/file/dceabvtfidihbqcmbkb0/231-2016.pdf</t>
  </si>
  <si>
    <t>https://www.zapopan.gob.mx/repositorio/view/file/vccej5o1m0cr77l2xvej/232-2016.pdf</t>
  </si>
  <si>
    <t>https://www.zapopan.gob.mx/repositorio/view/file/wdnywawmwowggjmfdkem/236-2016.pdf</t>
  </si>
  <si>
    <t>https://www.zapopan.gob.mx/repositorio/view/file/7xqafoxjmzhyx9hxxgnz/239-2016.pdf</t>
  </si>
  <si>
    <t>https://www.zapopan.gob.mx/repositorio/view/file/ymcqkyqvlrtgyamc4nnh/240-2016.pdf</t>
  </si>
  <si>
    <t>https://www.zapopan.gob.mx/repositorio/view/file/rgiywqk1emew15bzb8hk/241-2016.pdf</t>
  </si>
  <si>
    <t>https://www.zapopan.gob.mx/repositorio/view/file/7ublbz5ucapvrfrfjl6l/244-2016.pdf</t>
  </si>
  <si>
    <t>https://www.zapopan.gob.mx/repositorio/view/file/qcjqhlffttvvjiu9w3c5/249-2016.pdf</t>
  </si>
  <si>
    <t>https://www.zapopan.gob.mx/repositorio/view/file/m0pwpgo6v1mvvjyd2ifi/251-2016.pdf</t>
  </si>
  <si>
    <t>https://www.zapopan.gob.mx/repositorio/view/file/wofqkfn6nirlyf2bgv9s/252-2016.pdf</t>
  </si>
  <si>
    <t>https://www.zapopan.gob.mx/repositorio/view/file/qmjnukwddzuw4t6frrxv/253-2016.pdf</t>
  </si>
  <si>
    <t>https://www.zapopan.gob.mx/repositorio/view/file/tnxvkei7ov1lucrltjkt/254-2016.pdf</t>
  </si>
  <si>
    <t>https://www.zapopan.gob.mx/repositorio/view/file/kg1jw8ptzedetqziexjm/255-2016.pdf</t>
  </si>
  <si>
    <t>https://www.zapopan.gob.mx/repositorio/view/file/vno5yb09fdwm7gmkekay/256-2016.pdf</t>
  </si>
  <si>
    <t>https://www.zapopan.gob.mx/repositorio/view/file/mx6bw4p8wow5hmci6ezs/257-2016.pdf</t>
  </si>
  <si>
    <t>https://www.zapopan.gob.mx/repositorio/view/file/zuuyhmf8ytkpgtb3p8ff/258-2016.pdf</t>
  </si>
  <si>
    <t>https://www.zapopan.gob.mx/repositorio/view/file/xtegjocqkriijenbohrq/259-2016.pdf</t>
  </si>
  <si>
    <t>https://www.zapopan.gob.mx/repositorio/view/file/zyjjwy0x7fjireyu9ryk/260-2016.pdf</t>
  </si>
  <si>
    <t>https://www.zapopan.gob.mx/repositorio/view/file/vbxzifk53ha0sphygvfl/261-2016.pdf</t>
  </si>
  <si>
    <t>https://www.zapopan.gob.mx/repositorio/view/file/bdnj8gch88wtitc9wkny/262-2016.pdf</t>
  </si>
  <si>
    <t>https://www.zapopan.gob.mx/repositorio/view/file/2dxhih6knbkftspi1c5h/263-2016.pdf</t>
  </si>
  <si>
    <t>https://www.zapopan.gob.mx/repositorio/view/file/bqqjglqljxs5cnslywxl/264-2016.pdf</t>
  </si>
  <si>
    <t>https://www.zapopan.gob.mx/repositorio/view/file/a7qxwmy9xt8824oq7gnx/265-2016.pdf</t>
  </si>
  <si>
    <t>https://www.zapopan.gob.mx/repositorio/view/file/r71zmrbuhpzy4jwluhan/266-2016.pdf</t>
  </si>
  <si>
    <t>https://www.zapopan.gob.mx/repositorio/view/file/0rwr9jfm6wrfz0jnr91n/267-2016.pdf</t>
  </si>
  <si>
    <t>https://www.zapopan.gob.mx/repositorio/view/file/vwgbofuycaxut3zmh0v1/268-2016.pdf</t>
  </si>
  <si>
    <t>https://www.zapopan.gob.mx/repositorio/view/file/prbpuodnm0tnhuqawhhr/272-2016.pdf</t>
  </si>
  <si>
    <t>https://www.zapopan.gob.mx/repositorio/view/file/gcdmmlgvfar3933kvawv/275-2016.pdf</t>
  </si>
  <si>
    <t>https://www.zapopan.gob.mx/repositorio/view/file/m6dhj3nwcp2q8adwteav/277-2016.pdf</t>
  </si>
  <si>
    <t>https://www.zapopan.gob.mx/repositorio/view/file/o5hjwxmfcnqrvikeebdm/278-2016.pdf</t>
  </si>
  <si>
    <t>https://www.zapopan.gob.mx/repositorio/view/file/pryoo2kc134p8mzcxhiy/281-2016.pdf</t>
  </si>
  <si>
    <t>https://www.zapopan.gob.mx/repositorio/view/file/bchn8my7ltbhopt2zpjq/282-2016.pdf</t>
  </si>
  <si>
    <t>https://www.zapopan.gob.mx/repositorio/view/file/wikyazbzcumtvmubpcns/283-2016.pdf</t>
  </si>
  <si>
    <t>https://www.zapopan.gob.mx/repositorio/view/file/avdhmbgxf3h31kqnbgpq/CONTRATO_042_2016.pdf</t>
  </si>
  <si>
    <t>https://www.zapopan.gob.mx/repositorio/view/file/9axcwg3unergfmkqmcay/CONTRATO_043_2016.pdf</t>
  </si>
  <si>
    <t>https://www.zapopan.gob.mx/repositorio/view/file/juzi93x9aa8ucejhsxzb/022-2018.pdf</t>
  </si>
  <si>
    <t>https://www.zapopan.gob.mx/repositorio/view/file/kfbmbs8ybrwkxsxwbwjf/023-2018.pdf</t>
  </si>
  <si>
    <t>https://www.zapopan.gob.mx/repositorio/view/file/s027jehjizvnq0amcov4/024-2018.pdf</t>
  </si>
  <si>
    <t>https://www.zapopan.gob.mx/repositorio/view/file/j7a0qqstpcfvgir4kjdj/025-2018.pdf</t>
  </si>
  <si>
    <t>https://www.zapopan.gob.mx/repositorio/view/file/ekpesdglzrau49cfx3nq/026-2018.pdf</t>
  </si>
  <si>
    <t>https://www.zapopan.gob.mx/repositorio/view/file/5coymgo587rajbjw73dd/027-2018.pdf</t>
  </si>
  <si>
    <t>https://www.zapopan.gob.mx/repositorio/view/file/dqzkujq16hhtqgg9qwit/028-2018.pdf</t>
  </si>
  <si>
    <t>https://www.zapopan.gob.mx/repositorio/view/file/ungixxambuisw3ai45om/029-2018.pdf</t>
  </si>
  <si>
    <t>https://www.zapopan.gob.mx/repositorio/view/file/idthmovdduqfw8o6vdft/030-2018.pdf</t>
  </si>
  <si>
    <t>https://www.zapopan.gob.mx/repositorio/view/file/sxrdcwnz0m8gb9x8elmq/031-2018.pdf</t>
  </si>
  <si>
    <t>https://www.zapopan.gob.mx/repositorio/view/file/onerhbytoliuowidwoxa/032-2018.pdf</t>
  </si>
  <si>
    <t>https://www.zapopan.gob.mx/repositorio/view/file/qbhmshwktkb4jsyhwdlw/034-2018.pdf</t>
  </si>
  <si>
    <t>https://www.zapopan.gob.mx/repositorio/view/file/3t8slx7yylirwnpxyv4e/035-2018.pdf</t>
  </si>
  <si>
    <t>https://www.zapopan.gob.mx/repositorio/view/file/bmnapv8mlmfgih8w8bpa/036-2018.pdf</t>
  </si>
  <si>
    <t>https://www.zapopan.gob.mx/repositorio/view/file/nftkdouk0dquikewf7qa/038-2018.pdf</t>
  </si>
  <si>
    <t>https://www.zapopan.gob.mx/repositorio/view/file/qtr0bkr0xw3s6ra0mrxg/039-2018.pdf</t>
  </si>
  <si>
    <t>https://www.zapopan.gob.mx/repositorio/view/file/ioifpbjmgcfsxuq3dziz/041-2018.pdf</t>
  </si>
  <si>
    <t>https://www.zapopan.gob.mx/repositorio/view/file/nl5ewcfppttx8jzfienp/042-2018.pdf</t>
  </si>
  <si>
    <t>https://www.zapopan.gob.mx/repositorio/view/file/mzqesqsjg3dlyacdtg3i/044-2018.pdf</t>
  </si>
  <si>
    <t>https://www.zapopan.gob.mx/repositorio/view/file/xtcobvauxbbt6jiwp65i/045-2018.pdf</t>
  </si>
  <si>
    <t>https://www.zapopan.gob.mx/repositorio/view/file/iguxjja6yflysszeomig/046-2018.pdf</t>
  </si>
  <si>
    <t>https://www.zapopan.gob.mx/repositorio/view/file/qppwwegedxt8qzdssqxc/047-2018.pdf</t>
  </si>
  <si>
    <t>https://www.zapopan.gob.mx/repositorio/view/file/yqjqcil9kcwnccc1lwfz/048-2018.pdf</t>
  </si>
  <si>
    <t>https://www.zapopan.gob.mx/repositorio/view/file/suo3uvqonmvex4bgyhoo/049-2018.pdf</t>
  </si>
  <si>
    <t>https://www.zapopan.gob.mx/repositorio/view/file/ejflsm8k2wkwpmahfqof/051-2018.pdf</t>
  </si>
  <si>
    <t>https://www.zapopan.gob.mx/repositorio/view/file/6nbjo3iiumu8sejef941/052-2018.pdf</t>
  </si>
  <si>
    <t>https://www.zapopan.gob.mx/repositorio/view/file/76zyit8lclltevv0lbau/053-2018.pdf</t>
  </si>
  <si>
    <t>https://www.zapopan.gob.mx/repositorio/view/file/s4cs1fy3flpnbwyed9yu/054-2018.pdf</t>
  </si>
  <si>
    <t>https://www.zapopan.gob.mx/repositorio/view/file/tyndzysussvtz0apvpa2/055-2018.pdf</t>
  </si>
  <si>
    <t>https://www.zapopan.gob.mx/repositorio/view/file/o9b8bxcwq62qsh2uq3a2/056-2018.pdf</t>
  </si>
  <si>
    <t>https://www.zapopan.gob.mx/repositorio/view/file/invufuvvkouqecaitgdj/057-2018.pdf</t>
  </si>
  <si>
    <t>https://www.zapopan.gob.mx/repositorio/view/file/cczobsyv5lqycryr8c2j/058-2018.pdf</t>
  </si>
  <si>
    <t>https://www.zapopan.gob.mx/repositorio/view/file/gzppbx8sq1x4l8ec2rlm/060-2018.pdf</t>
  </si>
  <si>
    <t>https://www.zapopan.gob.mx/repositorio/view/file/ofnlfmaaxm1cjdyfc76m/061-2018.pdf</t>
  </si>
  <si>
    <t>https://www.zapopan.gob.mx/repositorio/view/file/jpw4x0a3wegee2lbm7n7/065-2018.pdf</t>
  </si>
  <si>
    <t>https://www.zapopan.gob.mx/repositorio/view/file/iqyfgc2a5ybs0ros59w5/066-2018.pdf</t>
  </si>
  <si>
    <t>https://www.zapopan.gob.mx/repositorio/view/file/ggfqlmikub71yds8vbea/067-2018.pdf</t>
  </si>
  <si>
    <t>https://www.zapopan.gob.mx/repositorio/view/file/2uq4ql6gudnh8jgnydoo/068-2018.pdf</t>
  </si>
  <si>
    <t>https://www.zapopan.gob.mx/repositorio/view/file/6toh88o2sksfrvyyvptp/070-2018.pdf</t>
  </si>
  <si>
    <t>https://www.zapopan.gob.mx/repositorio/view/file/chiemlwmtq644202tlwy/071-2018.pdf</t>
  </si>
  <si>
    <t>https://www.zapopan.gob.mx/repositorio/view/file/7kurrlzmh7jdj8e7txbx/072-2018.pdf</t>
  </si>
  <si>
    <t>https://www.zapopan.gob.mx/repositorio/view/file/45moqrk6aetqk52h86fi/074-2018.pdf</t>
  </si>
  <si>
    <t>https://www.zapopan.gob.mx/repositorio/view/file/qeprk2qh7bij35tckdvl/075-2018.pdf</t>
  </si>
  <si>
    <t>https://www.zapopan.gob.mx/repositorio/view/file/9paclzyt3j9jzf6f8vtz/076-2018.pdf</t>
  </si>
  <si>
    <t>https://www.zapopan.gob.mx/repositorio/view/file/ojyz234weed9oqmg8h2a/077-2018.pdf</t>
  </si>
  <si>
    <t>https://www.zapopan.gob.mx/repositorio/view/file/36ggnajioumfj4cxxmlg/078-2018.pdf</t>
  </si>
  <si>
    <t>https://www.zapopan.gob.mx/repositorio/view/file/k0xcrtb4ru0tgksxnxq7/079-2018.pdf</t>
  </si>
  <si>
    <t>https://www.zapopan.gob.mx/repositorio/view/file/emjgcv0goh5mwek2zkxf/080-2018.pdf</t>
  </si>
  <si>
    <t>https://www.zapopan.gob.mx/repositorio/view/file/7trf3mzcomac8etqkprt/081-2018.pdf</t>
  </si>
  <si>
    <t>https://www.zapopan.gob.mx/repositorio/view/file/rscnvjjlni7uo6metpsb/082-2018.pdf</t>
  </si>
  <si>
    <t>https://www.zapopan.gob.mx/repositorio/view/file/kddp1zxrbzuyyy0s7zv6/083-2018.pdf</t>
  </si>
  <si>
    <t>https://www.zapopan.gob.mx/repositorio/view/file/ier5zclx9gotzfb7x2ro/084-2018.pdf</t>
  </si>
  <si>
    <t>https://www.zapopan.gob.mx/repositorio/view/file/pcrjj9w4k94ab3w9dys8/085-2018.pdf</t>
  </si>
  <si>
    <t>https://www.zapopan.gob.mx/repositorio/view/file/vcfzyqfa4ssdrb6mehmn/086-2018.pdf</t>
  </si>
  <si>
    <t>https://www.zapopan.gob.mx/repositorio/view/file/6deiljlrajbre05kupfa/088-2018.pdf</t>
  </si>
  <si>
    <t>https://www.zapopan.gob.mx/repositorio/view/file/5ztjtvtqq3lqwmmpgrj6/089-2018.pdf</t>
  </si>
  <si>
    <t>https://www.zapopan.gob.mx/repositorio/view/file/shvpgpk64pqyxr7kwwmg/091-2018.pdf</t>
  </si>
  <si>
    <t>https://www.zapopan.gob.mx/repositorio/view/file/zsy6avl17xsj4rq0we63/092-2018.pdf</t>
  </si>
  <si>
    <t>https://www.zapopan.gob.mx/repositorio/view/file/h22chl8lkbnu6m842wtc/095-2018.pdf</t>
  </si>
  <si>
    <t>https://www.zapopan.gob.mx/repositorio/view/file/tya6dq8esfqpkwxq0yrn/096-2018.pdf</t>
  </si>
  <si>
    <t>https://www.zapopan.gob.mx/repositorio/view/file/3raqljjdxxk7qnhq1mud/097-2018.pdf</t>
  </si>
  <si>
    <t>https://www.zapopan.gob.mx/repositorio/view/file/j03koxokykyvluz1vmc4/098-2018.pdf</t>
  </si>
  <si>
    <t>https://www.zapopan.gob.mx/repositorio/view/file/fhzuz47hplfuzazyjy4f/099-2018.pdf</t>
  </si>
  <si>
    <t>https://www.zapopan.gob.mx/repositorio/view/file/ltzgcehhhebvo9wd7yc1/100-2018.pdf</t>
  </si>
  <si>
    <t>https://www.zapopan.gob.mx/repositorio/view/file/qpxk93eo4x4shws7bgdk/105-2018.pdf</t>
  </si>
  <si>
    <t>https://www.zapopan.gob.mx/repositorio/view/file/gkn9nkyxpuggoivpugmf/148-2018.pdf</t>
  </si>
  <si>
    <t>https://www.zapopan.gob.mx/repositorio/view/file/gxkg56wnxncvkgqo3aut/149-2018.pdf</t>
  </si>
  <si>
    <t>https://www.zapopan.gob.mx/repositorio/view/file/aomq3ugcllmsgny93ipi/150-2018.pdf</t>
  </si>
  <si>
    <t>https://www.zapopan.gob.mx/repositorio/view/file/anonlqq3jwwn127obewb/001_2018_FF.pdf</t>
  </si>
  <si>
    <t>https://www.zapopan.gob.mx/repositorio/view/file/ogcvxngyyuiuqjgc5ye0/002-2018.pdf</t>
  </si>
  <si>
    <t>https://www.zapopan.gob.mx/repositorio/view/file/uf9goxbgqj0bwh1xi5t0/003_2018_FF.pdf</t>
  </si>
  <si>
    <t>https://www.zapopan.gob.mx/repositorio/view/file/takwpobwlcb2immwpmku/004_2018_FF.pdf</t>
  </si>
  <si>
    <t>https://www.zapopan.gob.mx/repositorio/view/file/6zimzjeucj6b7ngmxufy/005_2018_FF.pdf</t>
  </si>
  <si>
    <t>https://www.zapopan.gob.mx/repositorio/view/file/y9ro1sn6gmxrjifoa0wv/006_2018_FF.pdf</t>
  </si>
  <si>
    <t>https://www.zapopan.gob.mx/repositorio/view/file/vliodrmkinfrl7g4vfrd/007_2018_FF.pdf</t>
  </si>
  <si>
    <t>https://www.zapopan.gob.mx/repositorio/view/file/wbfcwlt5p15j3ztzaomx/008_2018_FF.pdf</t>
  </si>
  <si>
    <t>https://www.zapopan.gob.mx/repositorio/view/file/ljok17p9prsxeho7w61n/009_2018_FF.pdf</t>
  </si>
  <si>
    <t>https://www.zapopan.gob.mx/repositorio/view/file/bhc32xz9jgjgq9wp2ynx/010-2018.pdf</t>
  </si>
  <si>
    <t>https://www.zapopan.gob.mx/repositorio/view/file/par6ssxpp6jkyugcq7f1/011_2018_FF.pdf</t>
  </si>
  <si>
    <t>https://www.zapopan.gob.mx/repositorio/view/file/epdyt1m2njzydrc9ziaj/013_2018_FF.pdf</t>
  </si>
  <si>
    <t>https://www.zapopan.gob.mx/repositorio/view/file/xytibwost0l9jxizxlvl/014_2018_FF.pdf</t>
  </si>
  <si>
    <t>https://www.zapopan.gob.mx/repositorio/view/file/r6yksdn9xkdxy7my2hbg/015-2018.pdf</t>
  </si>
  <si>
    <t>https://www.zapopan.gob.mx/repositorio/view/file/h50lyuougq40quedah43/017_2018_FF.pdf</t>
  </si>
  <si>
    <t>https://www.zapopan.gob.mx/repositorio/view/file/phllvbbxqdjx2kxj1fta/018_2018_FF.pdf</t>
  </si>
  <si>
    <t>https://www.zapopan.gob.mx/repositorio/view/file/oihppajmu4wezk2u8j6h/019-2018.pdf</t>
  </si>
  <si>
    <t>https://www.zapopan.gob.mx/repositorio/view/file/ax9qw4umo7xplfjclsym/021_2018_FF.pdf</t>
  </si>
  <si>
    <t>https://www.zapopan.gob.mx/repositorio/view/file/ybyw6bz0vg2msh7l6tcn/103-2018.pdf</t>
  </si>
  <si>
    <t>https://www.zapopan.gob.mx/repositorio/view/file/04jnzqcoynuhiokn2zlu/107-2018.pdf</t>
  </si>
  <si>
    <t>https://www.zapopan.gob.mx/repositorio/view/file/a8ojeh35ki7mbosgu9l5/109-2018.pdf</t>
  </si>
  <si>
    <t>https://www.zapopan.gob.mx/repositorio/view/file/ejj1tdrbcucab4zhv4gm/111-2018.pdf</t>
  </si>
  <si>
    <t>https://www.zapopan.gob.mx/repositorio/view/file/4z4s3ymspi8koauzopp1/113-2018.pdf</t>
  </si>
  <si>
    <t>https://www.zapopan.gob.mx/repositorio/view/file/waknxlag3zsi7bgplvoy/114-2018.pdf</t>
  </si>
  <si>
    <t>https://www.zapopan.gob.mx/repositorio/view/file/gfew5wlpkautwnhbsope/115-2018.pdf</t>
  </si>
  <si>
    <t>https://www.zapopan.gob.mx/repositorio/view/file/mpnbdsb0bzhfnj7jjxp0/119-2018.pdf</t>
  </si>
  <si>
    <t>https://www.zapopan.gob.mx/repositorio/view/file/muy3fazbqye2en1qhqt3/122-2018.pdf</t>
  </si>
  <si>
    <t>https://www.zapopan.gob.mx/repositorio/view/file/3mfrxxpgkylffkcefk5a/123-2018.pdf</t>
  </si>
  <si>
    <t>https://www.zapopan.gob.mx/repositorio/view/file/oudpvu2b9gof3mtibtbc/124-2018.pdf</t>
  </si>
  <si>
    <t>https://www.zapopan.gob.mx/repositorio/view/file/iedkzzdoay93b0eciend/125-2018.pdf</t>
  </si>
  <si>
    <t>https://www.zapopan.gob.mx/repositorio/view/file/e97qpip5yk9wtxhyihvm/126-2018.pdf</t>
  </si>
  <si>
    <t>https://www.zapopan.gob.mx/repositorio/view/file/ivxnizs9q72yduzvvl9n/128-2018.pdf</t>
  </si>
  <si>
    <t>https://www.zapopan.gob.mx/repositorio/view/file/cstygnpuyfacpzbh4zr0/129-2018.pdf</t>
  </si>
  <si>
    <t>https://www.zapopan.gob.mx/repositorio/view/file/kvihvfiilq1twoixo6pb/132-2018.pdf</t>
  </si>
  <si>
    <t>https://www.zapopan.gob.mx/repositorio/view/file/jt6xcuw7yfqqs4b1aasv/134-2018.pdf</t>
  </si>
  <si>
    <t>https://www.zapopan.gob.mx/repositorio/view/file/a8prtormnclqpqnc0tio/137-2018.pdf</t>
  </si>
  <si>
    <t>https://www.zapopan.gob.mx/repositorio/view/file/61jdtefk3htmlki5wsup/004-2016.pdf</t>
  </si>
  <si>
    <t>https://www.zapopan.gob.mx/repositorio/view/file/2elwjkn4436qaszmrwvx/014-2016.pdf</t>
  </si>
  <si>
    <t>https://www.zapopan.gob.mx/repositorio/view/file/lrajrvlmsjvk04dicitt/032-2016.pdf</t>
  </si>
  <si>
    <t>https://www.zapopan.gob.mx/repositorio/view/file/gm4wb22ti4ap7bm1vfqd/053-2016.pdf</t>
  </si>
  <si>
    <t>https://www.zapopan.gob.mx/repositorio/view/file/n5ixfeb4w60hrsgnseaw/066-2016.pdf</t>
  </si>
  <si>
    <t>https://www.zapopan.gob.mx/repositorio/view/file/h3ee3gqgsl8rapfw1xdm/071-2016.pdf</t>
  </si>
  <si>
    <t>https://www.zapopan.gob.mx/repositorio/view/file/iqjxd42rczzc3ykgioxb/115-2016.pdf</t>
  </si>
  <si>
    <t>https://www.zapopan.gob.mx/repositorio/view/file/hiyypccahz0hkroace6v/116-2016.pdf</t>
  </si>
  <si>
    <t>https://www.zapopan.gob.mx/repositorio/view/file/tj73dihqupj7pq1ze9tl/117-2016.pdf</t>
  </si>
  <si>
    <t>https://www.zapopan.gob.mx/repositorio/view/file/x4rqz0qu1lj1vhhj4o13/124-2016.pdf</t>
  </si>
  <si>
    <t>https://www.zapopan.gob.mx/repositorio/view/file/guudnthl2jgo0xsiweb2/128-2016.pdf</t>
  </si>
  <si>
    <t>https://www.zapopan.gob.mx/repositorio/view/file/cmxjmxgkdol5jpfvynvf/141-2016.pdf</t>
  </si>
  <si>
    <t>https://www.zapopan.gob.mx/repositorio/view/file/rykbhw37hzmgtvbkvfen/143-2016.pdf</t>
  </si>
  <si>
    <t>https://www.zapopan.gob.mx/repositorio/view/file/nxrnpwu1fp0ru5hpik84/145-2016.pdf</t>
  </si>
  <si>
    <t>https://www.zapopan.gob.mx/repositorio/view/file/wuzkgajndnhybaacuiti/150-2016.pdf</t>
  </si>
  <si>
    <t>https://www.zapopan.gob.mx/repositorio/view/file/14imx0wmyrstappinjo8/157-2016.pdf</t>
  </si>
  <si>
    <t>https://www.zapopan.gob.mx/repositorio/view/file/w8cirbwef00fnefxzob2/167-2016.pdf</t>
  </si>
  <si>
    <t>https://www.zapopan.gob.mx/repositorio/view/file/gbic074llmgf17jvlxcl/169-2016.pdf</t>
  </si>
  <si>
    <t>https://www.zapopan.gob.mx/repositorio/view/file/di6bzezgmg91va87eivl/194-2016.pdf</t>
  </si>
  <si>
    <t>https://www.zapopan.gob.mx/repositorio/view/file/flvjdtq7tf9dccik3hsn/200-2016.pdf</t>
  </si>
  <si>
    <t>https://www.zapopan.gob.mx/repositorio/view/file/6sgvyj4r4cipirquzcwe/201-2016.pdf</t>
  </si>
  <si>
    <t>https://www.zapopan.gob.mx/repositorio/view/file/gikyyzyhgvrg9nkxuoh2/203-2016.pdf</t>
  </si>
  <si>
    <t>https://www.zapopan.gob.mx/repositorio/view/file/hfwvviinxg0nxl99h3rb/204-2016.pdf</t>
  </si>
  <si>
    <t>https://www.zapopan.gob.mx/repositorio/view/file/sm42srvyhk9oabznau1n/205-2016.pdf</t>
  </si>
  <si>
    <t>https://www.zapopan.gob.mx/repositorio/view/file/hx6jjzyrpo4esqq28ydx/207-2016.pdf</t>
  </si>
  <si>
    <t>https://www.zapopan.gob.mx/repositorio/view/file/ll13reskftuurxjtwfe9/211-2016.pdf</t>
  </si>
  <si>
    <t>https://www.zapopan.gob.mx/repositorio/view/file/lxnt6ckcsnf9gflulrsp/214-2016.pdf</t>
  </si>
  <si>
    <t>https://www.zapopan.gob.mx/repositorio/view/file/zfro43z9ybvmrecnuw3h/216-2016.pdf</t>
  </si>
  <si>
    <t>https://www.zapopan.gob.mx/repositorio/view/file/5klqirddlczpqp2z44ta/217-2016.pdf</t>
  </si>
  <si>
    <t>https://www.zapopan.gob.mx/repositorio/view/file/mv4zykmq7vcveud7west/222-2016.pdf</t>
  </si>
  <si>
    <t>https://www.zapopan.gob.mx/repositorio/view/file/wvrokgx0bo6ajo8x8cqy/233-2016.pdf</t>
  </si>
  <si>
    <t>https://www.zapopan.gob.mx/repositorio/view/file/jbbfiz21cz4l313531of/234-2016.pdf</t>
  </si>
  <si>
    <t>https://www.zapopan.gob.mx/repositorio/view/file/3dtct7wlvtmigwrzaexj/235-2016.pdf</t>
  </si>
  <si>
    <t>https://www.zapopan.gob.mx/repositorio/view/file/tzdll1kqd2d7zbtj2h5h/238-2016.pdf</t>
  </si>
  <si>
    <t>https://www.zapopan.gob.mx/repositorio/view/file/gyvnz5bv0vm3ej9amu1x/242-2016.pdf</t>
  </si>
  <si>
    <t>https://www.zapopan.gob.mx/repositorio/view/file/yigkb1flb9cthrslras0/246-2016.pdf</t>
  </si>
  <si>
    <t>https://www.zapopan.gob.mx/repositorio/view/file/yil1vjmrvy2thxokle8q/250-2016.pdf</t>
  </si>
  <si>
    <t>https://www.zapopan.gob.mx/repositorio/view/file/lyylyt6czqdelwrc7n8c/269-2016.pdf</t>
  </si>
  <si>
    <t>https://www.zapopan.gob.mx/repositorio/view/file/yne0m192fafmrqmw58vc/279-2016.pdf</t>
  </si>
  <si>
    <t>https://www.zapopan.gob.mx/repositorio/view/file/upw3a2hdefjg3lutr3pz/280-2016.pdf</t>
  </si>
  <si>
    <t>https://www.zapopan.gob.mx/repositorio/view/file/1hetd3g35tdaukuqjunv/009-2017.pdf</t>
  </si>
  <si>
    <t>https://www.zapopan.gob.mx/repositorio/view/file/2wjpmar43rljl8v6copr/021-2017.pdf</t>
  </si>
  <si>
    <t>https://www.zapopan.gob.mx/repositorio/view/file/rv9r2nvgfnqce1wdky7f/032-2017.pdf</t>
  </si>
  <si>
    <t>https://www.zapopan.gob.mx/repositorio/view/file/ktbni1rgdbutebjh5owj/052-2017.pdf</t>
  </si>
  <si>
    <t>https://www.zapopan.gob.mx/repositorio/view/file/gmg0woftgx3k13kguf0b/053-2017.pdf</t>
  </si>
  <si>
    <t>https://www.zapopan.gob.mx/repositorio/view/file/pnl9u3miunzitikeuw0w/054-2017.pdf</t>
  </si>
  <si>
    <t>https://www.zapopan.gob.mx/repositorio/view/file/ko97kelyftpurqfc1kza/056-2017.pdf</t>
  </si>
  <si>
    <t>https://www.zapopan.gob.mx/repositorio/view/file/t8k1n0a9dyicygcun8at/057-2017.pdf</t>
  </si>
  <si>
    <t>https://www.zapopan.gob.mx/repositorio/view/file/gxwt5t7ii9mnqg2tovpm/059-2017.pdf</t>
  </si>
  <si>
    <t>https://www.zapopan.gob.mx/repositorio/view/file/pvrc2t0bghfolc2kan7x/061-2017.pdf</t>
  </si>
  <si>
    <t>https://www.zapopan.gob.mx/repositorio/view/file/rlqrg1xwlgf4pcjvcucx/062-2017.pdf</t>
  </si>
  <si>
    <t>https://www.zapopan.gob.mx/repositorio/view/file/upra37zfll62um9u1xwt/068-2017.pdf</t>
  </si>
  <si>
    <t>https://www.zapopan.gob.mx/repositorio/view/file/ekycey5ri3tfraqkp2yx/069-2017.pdf</t>
  </si>
  <si>
    <t>https://www.zapopan.gob.mx/repositorio/view/file/4ba6hjkmviwloexzge27/070-2017.pdf</t>
  </si>
  <si>
    <t>https://www.zapopan.gob.mx/repositorio/view/file/pn41xuohfpqxwstdhli8/071-2017.pdf</t>
  </si>
  <si>
    <t>https://www.zapopan.gob.mx/repositorio/view/file/nu23eayvbvxdmdx9tpkj/073-2017.pdf</t>
  </si>
  <si>
    <t>https://www.zapopan.gob.mx/repositorio/view/file/ffmxb3aowmotrmhnzo6p/075-2017.pdf</t>
  </si>
  <si>
    <t>https://www.zapopan.gob.mx/repositorio/view/file/fluxrnwvo7ztkfmihcg4/094-2017.pdf</t>
  </si>
  <si>
    <t>https://www.zapopan.gob.mx/repositorio/view/file/azmuuavi1xvwf81lkrrz/119-2017.pdf</t>
  </si>
  <si>
    <t>https://www.zapopan.gob.mx/repositorio/view/file/bybkuyaqwtf7ymu9nfsv/121-2017.pdf</t>
  </si>
  <si>
    <t>https://www.zapopan.gob.mx/repositorio/view/file/atvugwquk1pdtwa5l3v0/125-2017.pdf</t>
  </si>
  <si>
    <t>https://www.zapopan.gob.mx/repositorio/view/file/cudq69vxexxoqidqntfl/126-2017.pdf</t>
  </si>
  <si>
    <t>https://www.zapopan.gob.mx/repositorio/view/file/y8mxqkaanzjjwzvrx6xs/128-2017.pdf</t>
  </si>
  <si>
    <t>https://www.zapopan.gob.mx/repositorio/view/file/zt7nj4tagjbtwxbmnruo/129-2017.pdf</t>
  </si>
  <si>
    <t>https://www.zapopan.gob.mx/repositorio/view/file/motzbmjrgwnduw0ckgxs/131-2017.pdf</t>
  </si>
  <si>
    <t>https://www.zapopan.gob.mx/repositorio/view/file/ksnwnsecywz028bqf3nv/132-2017.pdf</t>
  </si>
  <si>
    <t>https://www.zapopan.gob.mx/repositorio/view/file/lbeb1un6ynhtzjkwapim/133-2017.pdf</t>
  </si>
  <si>
    <t>https://www.zapopan.gob.mx/repositorio/view/file/yb2um90sttsxcvkirl3p/134-2017.pdf</t>
  </si>
  <si>
    <t>https://www.zapopan.gob.mx/repositorio/view/file/rbssbswjrpbydplent3w/136-2017.pdf</t>
  </si>
  <si>
    <t>https://www.zapopan.gob.mx/repositorio/view/file/jmobleizpxib9pmforgi/139-2017.pdf</t>
  </si>
  <si>
    <t>https://www.zapopan.gob.mx/repositorio/view/file/wie6movywbi9fgh0pqsq/141-2017.pdf</t>
  </si>
  <si>
    <t>https://www.zapopan.gob.mx/repositorio/view/file/rpcmnryy6pr2ro4nbxgr/142-2017.pdf</t>
  </si>
  <si>
    <t>https://www.zapopan.gob.mx/repositorio/view/file/no45fu9sxfswddotwpqs/143-2017.pdf</t>
  </si>
  <si>
    <t>https://www.zapopan.gob.mx/repositorio/view/file/fb21xia0klpfktybehwa/180-2017.pdf</t>
  </si>
  <si>
    <t>https://www.zapopan.gob.mx/repositorio/view/file/8r3rwefpsk9hnpxxn8sp/182-2017.pdf</t>
  </si>
  <si>
    <t>https://www.zapopan.gob.mx/repositorio/view/file/lounjjfadavkinmivmsy/204_2017.pdf</t>
  </si>
  <si>
    <t>https://www.zapopan.gob.mx/repositorio/view/file/yv2arnfkwu8cbfdofuec/205-2017.pdf</t>
  </si>
  <si>
    <t>https://www.zapopan.gob.mx/repositorio/view/file/6gmltvk7pm0nbu22gny3/206-2017.pdf</t>
  </si>
  <si>
    <t>https://www.zapopan.gob.mx/repositorio/view/file/e13un5vsakomznbkqt3i/208-2017.pdf</t>
  </si>
  <si>
    <t>https://www.zapopan.gob.mx/repositorio/view/file/t6ex7npqzkhylz7ohaja/209-2017.pdf</t>
  </si>
  <si>
    <t>https://www.zapopan.gob.mx/repositorio/view/file/s7qjsuqsduencwxifrse/213-2017.pdf</t>
  </si>
  <si>
    <t>https://www.zapopan.gob.mx/repositorio/view/file/uzyp0tjkgy1vvkxhaad4/214-2017.pdf</t>
  </si>
  <si>
    <t>https://www.zapopan.gob.mx/repositorio/view/file/jhakpeuxzc9lcidtbyvz/215-2017.pdf</t>
  </si>
  <si>
    <t>https://www.zapopan.gob.mx/repositorio/view/file/dagnbbvq4lnnwr1q1ig4/229-2017.pdf</t>
  </si>
  <si>
    <t>https://www.zapopan.gob.mx/repositorio/view/file/w8jtmme1xl62di0cdsfr/230-2017.pdf</t>
  </si>
  <si>
    <t>https://www.zapopan.gob.mx/repositorio/view/file/t3psxbcmyjzupklqgghl/231-2017.pdf</t>
  </si>
  <si>
    <t>https://www.zapopan.gob.mx/repositorio/view/file/vtfjfh8xc2wmtvt2iwsz/232-2017.pdf</t>
  </si>
  <si>
    <t>https://www.zapopan.gob.mx/repositorio/view/file/qduyjxqeepyzrvbxc3qh/234-2017.pdf</t>
  </si>
  <si>
    <t>https://www.zapopan.gob.mx/repositorio/view/file/8k7jx78bscjh694l3zbu/240-2017.pdf</t>
  </si>
  <si>
    <t>https://www.zapopan.gob.mx/repositorio/view/file/i3gc6qrg91o43kqqvz3v/241-2017.pdf</t>
  </si>
  <si>
    <t>http://www.zapopan.gob.mx/repositorio/view/file/8d6leo5ktcuklon1lshv/CONTRATO_242_2017.pdf</t>
  </si>
  <si>
    <t>https://www.zapopan.gob.mx/repositorio/view/file/pz1ztxuxg3az4s0dlv87/246-2017.pdf</t>
  </si>
  <si>
    <t>https://www.zapopan.gob.mx/repositorio/view/file/opaokminvwcbxrdzsr3m/248-2017.pdf</t>
  </si>
  <si>
    <t>https://www.zapopan.gob.mx/repositorio/view/file/e6knlps9anmfyhltfatm/277-2017.pdf</t>
  </si>
  <si>
    <t>https://www.zapopan.gob.mx/repositorio/view/file/kewaf0hvematz22ksymy/280-2017.pdf</t>
  </si>
  <si>
    <t>https://www.zapopan.gob.mx/repositorio/view/file/k21uc8h6xixcf7p62ydg/281-2017.pdf</t>
  </si>
  <si>
    <t>https://www.zapopan.gob.mx/repositorio/view/file/x6c6uakulfkwvlyhm5vu/323-2017.pdf</t>
  </si>
  <si>
    <t>https://www.zapopan.gob.mx/repositorio/view/file/cbuag8vktlceinvsph2x/324-2017.pdf</t>
  </si>
  <si>
    <t>https://www.zapopan.gob.mx/repositorio/view/file/y4lvwr11hqq3400srwkl/325-2017.pdf</t>
  </si>
  <si>
    <t>https://www.zapopan.gob.mx/repositorio/view/file/tlskszzuog2vztq3fnpw/329-2017.pdf</t>
  </si>
  <si>
    <t>https://www.zapopan.gob.mx/repositorio/view/file/w0lykdctljn0sx14kvxj/332-2017.pdf</t>
  </si>
  <si>
    <t>https://www.zapopan.gob.mx/repositorio/view/file/9vwabiysabm1bodaoqyo/334-2017.pdf</t>
  </si>
  <si>
    <t>https://www.zapopan.gob.mx/repositorio/view/file/cldztdsg0bu6q4vsxldn/335-2017.pdf</t>
  </si>
  <si>
    <t>https://www.zapopan.gob.mx/repositorio/view/file/ovnsxmgtnvpvh1jxmr6g/337-2017.pdf</t>
  </si>
  <si>
    <t>https://www.zapopan.gob.mx/repositorio/view/file/u2pwdmnsticeq7a7fpqa/338-2017.pdf</t>
  </si>
  <si>
    <t>https://www.zapopan.gob.mx/repositorio/view/file/9wpg5yxigycmoqbevoqn/339_2017.pdf</t>
  </si>
  <si>
    <t>https://www.zapopan.gob.mx/repositorio/view/file/nnm1tgtkcgdz9fdbmvsu/377-2017.pdf</t>
  </si>
  <si>
    <t>https://www.zapopan.gob.mx/repositorio/view/file/xxpoghnsktd4lvg06pyp/381-2017.pdf</t>
  </si>
  <si>
    <t>https://www.zapopan.gob.mx/repositorio/view/file/iiejszzewhkbxoq1blbe/016-2018ff.pdf</t>
  </si>
  <si>
    <t>https://www.zapopan.gob.mx/repositorio/view/file/dwoeivhspwycq5ebaanm/020-2018ff.pdf</t>
  </si>
  <si>
    <t>https://www.zapopan.gob.mx/repositorio/view/file/rhnsw41ofqdqzefngzvf/106-2018ff.pdf</t>
  </si>
  <si>
    <t>https://www.zapopan.gob.mx/repositorio/view/file/9xefoyzxbad3joihy1td/108-2018ff.pdf</t>
  </si>
  <si>
    <t>https://www.zapopan.gob.mx/repositorio/view/file/iydevlg2eutuos72tfq1/110-2018ff.pdf</t>
  </si>
  <si>
    <t>https://www.zapopan.gob.mx/repositorio/view/file/4tlzylyrozharnhe9fri/112-2018ff.pdf</t>
  </si>
  <si>
    <t>https://www.zapopan.gob.mx/repositorio/view/file/y4w1xmupxkqa6kbfwfkh/116-2018ff.pdf</t>
  </si>
  <si>
    <t>https://www.zapopan.gob.mx/repositorio/view/file/jhehwjz1ojlvhnryovcl/117-2018ff.pdf</t>
  </si>
  <si>
    <t>https://www.zapopan.gob.mx/repositorio/view/file/dvucljakkvmtr62fspqt/118-2018ff.pdf</t>
  </si>
  <si>
    <t>https://www.zapopan.gob.mx/repositorio/view/file/qkueoybczmeeqvyzimoq/120-2018ff.pdf</t>
  </si>
  <si>
    <t>https://www.zapopan.gob.mx/repositorio/view/file/p7wvm79likqxvdwi0lxp/121-2018ff.pdf</t>
  </si>
  <si>
    <t>https://www.zapopan.gob.mx/repositorio/view/file/a0fkk5eulxeto44faxqo/127-2018ff.pdf</t>
  </si>
  <si>
    <t>https://www.zapopan.gob.mx/repositorio/view/file/l3dhl41mcpuoj9ctowts/130-2018ff.pdf</t>
  </si>
  <si>
    <t>https://www.zapopan.gob.mx/repositorio/view/file/oyqgpaqehwcaizsj2ebc/131-2018ff.pdf</t>
  </si>
  <si>
    <t>https://www.zapopan.gob.mx/repositorio/view/file/ixigzhe9w7kqmyat03e5/136-2018ff.pdf</t>
  </si>
  <si>
    <t>https://www.zapopan.gob.mx/repositorio/view/file/tvbhlhfubxwjnyqjjrho/138-2018ff.pdf</t>
  </si>
  <si>
    <t>https://www.zapopan.gob.mx/repositorio/view/file/bfh6nxxfukuirnif4drw/139-2018ff.pdf</t>
  </si>
  <si>
    <t>https://www.zapopan.gob.mx/repositorio/view/file/gelmcavirgvqm8s1zpbz/140-2018ff.pdf</t>
  </si>
  <si>
    <t>https://www.zapopan.gob.mx/repositorio/view/file/m6vh0mwh71a3ii72lwtb/141-2018ff.pdf</t>
  </si>
  <si>
    <t>https://www.zapopan.gob.mx/repositorio/view/file/vzy1h2a4vzmlgznmf2mz/151-2018ff.pdf</t>
  </si>
  <si>
    <t>https://www.zapopan.gob.mx/repositorio/view/file/e3trlnxcrdmnuymssdg4/152-2018ff.pdf</t>
  </si>
  <si>
    <t>https://www.zapopan.gob.mx/repositorio/view/file/qzkvfpjxs7yl8qe339f0/153-2018ff.pdf</t>
  </si>
  <si>
    <t>https://www.zapopan.gob.mx/repositorio/view/file/muavv3up8zdfhdmgz1qp/154-2018ff.pdf</t>
  </si>
  <si>
    <t>https://www.zapopan.gob.mx/repositorio/view/file/6affg3vr0oxihec0v2jl/155-2018ff.pdf</t>
  </si>
  <si>
    <t>https://www.zapopan.gob.mx/repositorio/view/file/5vwmkbbttvza9fn4mxha/159-2018ff.pdf</t>
  </si>
  <si>
    <t>https://www.zapopan.gob.mx/repositorio/view/file/0unditjglmbnpwl7iihd/160-2018ff.pdf</t>
  </si>
  <si>
    <t>https://www.zapopan.gob.mx/repositorio/view/file/3apziribnkzuulvigzru/163-2018ff.pdf</t>
  </si>
  <si>
    <t>DOPI-MUN-RM-AP-AD-162-2018</t>
  </si>
  <si>
    <t>Solución pluvial en Av. Valle de Tesistán, entre Camino Viejo a Tesistán y Av. Acueducto, colonia Jardines del Valle, municipio de Zapopan, Jalisco.</t>
  </si>
  <si>
    <t>Colonia Jardines Del Valle</t>
  </si>
  <si>
    <t>MARÍA CAROLINA</t>
  </si>
  <si>
    <t>SERRANO</t>
  </si>
  <si>
    <t>CONTRERAS</t>
  </si>
  <si>
    <t>ELEMENTO 83 CONSTRUCCIONES Y SERVICIOS, S.A. DE C.V.</t>
  </si>
  <si>
    <t>EOT171027QE9</t>
  </si>
  <si>
    <t>270 ML</t>
  </si>
  <si>
    <t>Los valores que se advierten en el costo final corresponden al costo inicial,  la obra aún no se considera como concluida por lo que  a la fecha no se tienen modificaciones en la cálculo inicial</t>
  </si>
  <si>
    <t>https://www.zapopan.gob.mx/repositorio/view/file/zqmuodmtv7uks2ekip70/165-2018ff.pdf</t>
  </si>
  <si>
    <t>https://www.zapopan.gob.mx/repositorio/view/file/hlz7dntnrj6csjax81cg/166-2018ff.pdf</t>
  </si>
  <si>
    <t>https://www.zapopan.gob.mx/repositorio/view/file/qxxdepllisz1cgjiqagd/167-2018ff.pdf</t>
  </si>
  <si>
    <t>DOPI-MUN-RM-IM-CI-062-2018</t>
  </si>
  <si>
    <t>DOPI-MUN-RM-PROY-AD-101-2018</t>
  </si>
  <si>
    <t>DOPI-EST-CM-PAV-LP-142-2018</t>
  </si>
  <si>
    <t>DOPI-EST-CM-PAV-LP-143-2018</t>
  </si>
  <si>
    <t>DOPI-EST-CM-PAV-LP-144-2018</t>
  </si>
  <si>
    <t>DOPI-EST-CM-PAV-LP-145-2018</t>
  </si>
  <si>
    <t>DOPI-EST-CM-PAV-LP-146-2018</t>
  </si>
  <si>
    <t>DOPI-EST-CM-PAV-LP-147-2018</t>
  </si>
  <si>
    <t>DOPI-MUN-RM-ELE-AD-157-2018</t>
  </si>
  <si>
    <t>DOPI-MUN-RM-ID-CI-168-2018</t>
  </si>
  <si>
    <t>DOPI-MUN-RM-BAN-CI-169-2018</t>
  </si>
  <si>
    <t>DOPI-MUN-RM-DS-CI-170-2018</t>
  </si>
  <si>
    <t>DOPI-MUN-RM-IM-CI-171-2018</t>
  </si>
  <si>
    <t>DOPI-MUN-RM-PAV-CI-172-2018</t>
  </si>
  <si>
    <t>DOPI-MUN-RM-PAV-CI-173-2018</t>
  </si>
  <si>
    <t>DOPI-MUN-RM-PAV-CI-174-2018</t>
  </si>
  <si>
    <t>DOPI-MUN-RM-ID-CI-175-2018</t>
  </si>
  <si>
    <t>DOPI-MUN-RM-IM-CI-176-2018</t>
  </si>
  <si>
    <t>DOPI-MUN-RM-MOV-AD-177-2018</t>
  </si>
  <si>
    <t>DOPI-MUN-RM-ID-AD-178-2018</t>
  </si>
  <si>
    <t>DOPI-MUN-RM-PAV-AD-179-2018</t>
  </si>
  <si>
    <t>DOPI-MUN-RM-IH-AD-180-2018</t>
  </si>
  <si>
    <t>DOPI-MUN-RM-PAV-AD-181-2018</t>
  </si>
  <si>
    <t>DOPI-MUN-RM-ID-AD-182-2018</t>
  </si>
  <si>
    <t>DOPI-MUN-RM-ID-AD-183-2018</t>
  </si>
  <si>
    <t>DOPI-MUN-RM-ELE-AD-184-2018</t>
  </si>
  <si>
    <t>DOPI-MUN-RM-SERV-AD-185-2018</t>
  </si>
  <si>
    <t>DOPI-MUN-RM-IM-AD-186-2018</t>
  </si>
  <si>
    <t>DOPI-MUN-RM-IE-AD-187-2018</t>
  </si>
  <si>
    <t>DOPI-MUN-R33-DS-CI-188-2018</t>
  </si>
  <si>
    <t>DOPI-MUN-PP-IM-CI-189-2018</t>
  </si>
  <si>
    <t>DOPI-MUN-PP-IM-CI-190-2018</t>
  </si>
  <si>
    <t>DOPI-MUN-PP-ID-CI-191-2018</t>
  </si>
  <si>
    <t>DOPI-MUN-PP-ID-CI-192-2018</t>
  </si>
  <si>
    <t>DOPI-MUN-PP-ID-CI-193-2018</t>
  </si>
  <si>
    <t>DOPI-MUN-PP-EP-CI-194-2018</t>
  </si>
  <si>
    <t>DOPI-MUN-PP-EP-CI-195-2018</t>
  </si>
  <si>
    <t>DOPI-MUN-PP-EP-CI-196-2018</t>
  </si>
  <si>
    <t>DOPI-MUN-PP-EP-CI-197-2018</t>
  </si>
  <si>
    <t>DOPI-MUN-PP-EP-CI-198-2018</t>
  </si>
  <si>
    <t>DOPI-MUN-PP-PAV-CI-199-2018</t>
  </si>
  <si>
    <t>DOPI-MUN-PP-PAV-CI-200-2018</t>
  </si>
  <si>
    <t>DOPI-MUN-PP-PAV-CI-201-2018</t>
  </si>
  <si>
    <t>DOPI-MUN-PP-PAV-CI-202-2018</t>
  </si>
  <si>
    <t>DOPI-MUN-PP-PAV-CI-203-2018</t>
  </si>
  <si>
    <t>DOPI-MUN-PP-IM-CI-204-2018</t>
  </si>
  <si>
    <t>DOPI-MUN-PP-IM-CI-205-2018</t>
  </si>
  <si>
    <t>DOPI-MUN-PP-IM-CI-206-2018</t>
  </si>
  <si>
    <t>DOPI-MUN-RM-ELE-CI-207-2018</t>
  </si>
  <si>
    <t>DOPI-MUN-RM-PAV-AD-208-2018</t>
  </si>
  <si>
    <t>DOPI-MUN-RM-PAV-AD-209-2018</t>
  </si>
  <si>
    <t>DOPI-MUN-RM-BAN-AD-210-2018</t>
  </si>
  <si>
    <t>DOPI-MUN-R33-IH-AD-212-2018</t>
  </si>
  <si>
    <t>DOPI-MUN-R33R-IH-AD-213-2018</t>
  </si>
  <si>
    <t>DOPI-MUN-RM-IH-AD-214-2018</t>
  </si>
  <si>
    <t>DOPI-MUN-RM-BAN-AD-215-2018</t>
  </si>
  <si>
    <t>DOPI-MUN-RM-BAN-AD-217-2018</t>
  </si>
  <si>
    <t>DOPI-MUN-RM-PAV-CI-218-2018</t>
  </si>
  <si>
    <t>DOPI-MUN-RM-PAV-AD-219-2018</t>
  </si>
  <si>
    <t>DOPI-MUN-RM-ELE-AD-220-2018</t>
  </si>
  <si>
    <t>DOPI-MUN-RM-IM-AD-221-2018</t>
  </si>
  <si>
    <t>DOPI-MUN-RM-PAV-AD-222-2018</t>
  </si>
  <si>
    <t>DOPI-MUN-RM-ELE-AD-223-2018</t>
  </si>
  <si>
    <t>DOPI-MUN-RM-PAV-AD-224-2018</t>
  </si>
  <si>
    <t>DOPI-MUN-RM-IH-AD-225-2018</t>
  </si>
  <si>
    <t>DOPI-MUN-RM-IM-AD-226-2018</t>
  </si>
  <si>
    <t>DOPI-MUN-RM-IH-AD-227-2018</t>
  </si>
  <si>
    <t>DOPI-MUN-RM-PAV-AD-228-2018</t>
  </si>
  <si>
    <t>DOPI-MUN-RM-PROY-AD-229-2018</t>
  </si>
  <si>
    <t>DOPI-MUN-RM-CONT-AD-230-2018</t>
  </si>
  <si>
    <t>DOPI-MUN-RM-IM-AD-231-2018</t>
  </si>
  <si>
    <t>DOPI-MUN-RM-PAV-AD-232-2018</t>
  </si>
  <si>
    <t>DOPI-MUN-RM-IU-AD-233-2018</t>
  </si>
  <si>
    <t>DOPI-MUN-RM-IM-AD-234-2018</t>
  </si>
  <si>
    <t>DOPI-EST-FOCOCI-IE-AD-235-2018</t>
  </si>
  <si>
    <t>DOPI-MUN-RM-BACHEO-AD-236-2018</t>
  </si>
  <si>
    <t>DOPI-MUN-RM-ID-AD-237-2018</t>
  </si>
  <si>
    <t>DOPI-MUN-RM-EP-AD-238-2018</t>
  </si>
  <si>
    <t>DOPI-MUN-RM-ELE-AD-239-2018</t>
  </si>
  <si>
    <t>DOPI-MUN-RM-ELE-AD-240-2018</t>
  </si>
  <si>
    <t>DOPI-MUN-RM-PAV-AD-241-2018</t>
  </si>
  <si>
    <t>DOPI-MUN-RM-CONT-AD-242-2018</t>
  </si>
  <si>
    <t>DOPI-MUN-RM-PAV-AD-243-2018</t>
  </si>
  <si>
    <t>DOPI-MUN-RM-IE-AD-244-2018</t>
  </si>
  <si>
    <t>DOPI-MUN-RM-IE-AD-245-2018</t>
  </si>
  <si>
    <t>DOPI-MUN-RM-CONT-AD-246-2018</t>
  </si>
  <si>
    <t>Construcción del Centro Artístico, Lúdico y Cultural para Adolescentes y Jóvenes “CALUC” ubicado en la colonia Quinta del Federalismo, municipio de Zapopan, Jalisco.</t>
  </si>
  <si>
    <t>Colonia Quinta del Federalismo</t>
  </si>
  <si>
    <t>SERGIO ALBERTO</t>
  </si>
  <si>
    <t>BAYLÓN</t>
  </si>
  <si>
    <t>MORENO</t>
  </si>
  <si>
    <t>EDIFICACIONES ESTRUCTURALES COBAY, S.A. DE C.V.</t>
  </si>
  <si>
    <t>EEC9909173A7</t>
  </si>
  <si>
    <t>26 proyectos</t>
  </si>
  <si>
    <t>Elaboración de proyectos arquitectónicos y geométricos para diferentes obras 2018, municipio de Zapopan, Jalisco.</t>
  </si>
  <si>
    <t>HAYDEE LILIANA</t>
  </si>
  <si>
    <t>AGUILAR</t>
  </si>
  <si>
    <t>CASSIAN</t>
  </si>
  <si>
    <t>EDIFICA 2001, S.A. DE C.V.</t>
  </si>
  <si>
    <t>EDM970225I68</t>
  </si>
  <si>
    <t>3,480 M2</t>
  </si>
  <si>
    <t>2,775 M2</t>
  </si>
  <si>
    <t>3,801 M2</t>
  </si>
  <si>
    <t>3,900 M2</t>
  </si>
  <si>
    <t xml:space="preserve"> Tejeda</t>
  </si>
  <si>
    <t xml:space="preserve"> Alvarez</t>
  </si>
  <si>
    <t>3,350 M2</t>
  </si>
  <si>
    <t>Renovación urbana en área habitacional y zona comercial, Pavimentación con concreto hidráulico de Av. Tchaikovsky, carriles sentido Sur -Norte de Av. Ecónomos a calle Asesores y carriles sentido Norte-Sur de Av. Beethoven a Av. Ecónomos, incluye agua potable, drenaje, guarniciones, banquetas, alumbrado y señalética, en la colonia Arcos de Guadalupe, frente 1.</t>
  </si>
  <si>
    <t>Consejo Metropolitano 2018</t>
  </si>
  <si>
    <t>SERGIO CESAR</t>
  </si>
  <si>
    <t>DÍAZ</t>
  </si>
  <si>
    <t>QUIROZ</t>
  </si>
  <si>
    <t>GRUPO UNICRETO S.A. DE C.V.</t>
  </si>
  <si>
    <t>GUN880613NY1</t>
  </si>
  <si>
    <t>Renovación urbana en área habitacional y zona comercial, Pavimentación con concreto hidráulico de Av. Tchaikovsky, carriles sentido Sur -Norte de Av. Ecónomos a calle Asesores y carriles sentido Norte-Sur de Av. Beethoven a Av. Ecónomos, incluye agua potable, drenaje, guarniciones, banquetas, alumbrado y señalética, en la colonia Arcos de Guadalupe, frente 2.</t>
  </si>
  <si>
    <t>ALEX</t>
  </si>
  <si>
    <t>MEDINA</t>
  </si>
  <si>
    <t>GÓMEZ</t>
  </si>
  <si>
    <t xml:space="preserve">MEDGAR CONSTRUCCIONES, S.A. </t>
  </si>
  <si>
    <t>MCO150527NY3</t>
  </si>
  <si>
    <t>Renovación urbana en área habitacional y zona comercial, Pavimentación con concreto hidráulico de Av. Tchaikovsky, carriles sentido Sur -Norte de Av. Ecónomos a calle Asesores y carriles sentido Norte-Sur de Av. Beethoven a Av. Ecónomos, incluye agua potable, drenaje, guarniciones, banquetas, alumbrado y señalética, en la colonia Arcos de Guadalupe, frente 3.</t>
  </si>
  <si>
    <t>RICARDO</t>
  </si>
  <si>
    <t>TECANHUEY</t>
  </si>
  <si>
    <t>LARIOS</t>
  </si>
  <si>
    <t>MQ RENTAL, S.A. DE C.V.</t>
  </si>
  <si>
    <t>MRE151124EK1</t>
  </si>
  <si>
    <t>Renovación urbana en área habitacional y zona comercial, Pavimentación con concreto hidráulico de Av. Manuel J. Clouthier - Volcán del Collí, incluye agua potable, drenaje, guarniciones, banquetas, alumbrado y señalética, en las colonias El Collí CTM y El Collí Urbano, frente 1.</t>
  </si>
  <si>
    <t>Colonias El Colli CTM y El Collo Urbano</t>
  </si>
  <si>
    <t>MIGUEL ÁNGEL</t>
  </si>
  <si>
    <t>ROMERO</t>
  </si>
  <si>
    <t>LUGO</t>
  </si>
  <si>
    <t>OBRAS Y COMERCIALIZACIÓN DE LA CONSTRUCCIÓN, S.A. DE C.V.</t>
  </si>
  <si>
    <t>Renovación urbana en área habitacional y zona comercial, Pavimentación con concreto hidráulico de Av. Manuel J. Clouthier - Volcán del Collí, incluye agua potable, drenaje, guarniciones, banquetas, alumbrado y señalética, en las colonias El Collí CTM y El Collí Urbano, frente 2.</t>
  </si>
  <si>
    <t>ENRIQUE CHRISTIAN</t>
  </si>
  <si>
    <t>ANSHIRO MINAKATA</t>
  </si>
  <si>
    <t>MORENTIN</t>
  </si>
  <si>
    <t>CONSTRUCCIONES MIROT, S.A. DE C.V.</t>
  </si>
  <si>
    <t>CMI110222AA0</t>
  </si>
  <si>
    <t>Renovación urbana en área habitacional y zona comercial, Pavimentación con concreto hidráulico de Av. Manuel J. Clouthier - Volcán del Collí, incluye agua potable, drenaje, guarniciones, banquetas, alumbrado y señalética, en las colonias El Collí CTM y El Collí Urbano, frente 3.</t>
  </si>
  <si>
    <t>37 PZAS</t>
  </si>
  <si>
    <t>Instalación de red eléctrica y obra complementaria en paso a desnivel ubicado en Boulevard Puerta de Hierro y Paseo Andares, zona Andares, municipio de Zapopan, Jalisco.</t>
  </si>
  <si>
    <t>4,900 M2</t>
  </si>
  <si>
    <t>10,442 M2</t>
  </si>
  <si>
    <t>333 ML</t>
  </si>
  <si>
    <t>Colonia Villas de Guadalupe</t>
  </si>
  <si>
    <t>2,332 M2</t>
  </si>
  <si>
    <t>1,485 M2</t>
  </si>
  <si>
    <t>647 M2</t>
  </si>
  <si>
    <t>Colonia Jardines Vallarta</t>
  </si>
  <si>
    <t>2,423 M2</t>
  </si>
  <si>
    <t>14,129 M2</t>
  </si>
  <si>
    <t>Colonia El Campanario</t>
  </si>
  <si>
    <t>2 PZAS</t>
  </si>
  <si>
    <t>820 ML</t>
  </si>
  <si>
    <t xml:space="preserve">López           </t>
  </si>
  <si>
    <t>Colonia Santa Lucia</t>
  </si>
  <si>
    <t>600 M2</t>
  </si>
  <si>
    <t>1,088 M2</t>
  </si>
  <si>
    <t xml:space="preserve"> Ramos</t>
  </si>
  <si>
    <t>Colonia La Mojonera</t>
  </si>
  <si>
    <t>5 PIEZAS</t>
  </si>
  <si>
    <t>2,000 M2</t>
  </si>
  <si>
    <t>Colonia La Tuzania</t>
  </si>
  <si>
    <t>4,390 M2</t>
  </si>
  <si>
    <t>446 M2</t>
  </si>
  <si>
    <t>Colonia Copalita</t>
  </si>
  <si>
    <t>255 ML</t>
  </si>
  <si>
    <t>Carbajal</t>
  </si>
  <si>
    <t xml:space="preserve"> Ruvalcaba</t>
  </si>
  <si>
    <t>Fraccionamiento Virreyes Residencial</t>
  </si>
  <si>
    <t>80 M2</t>
  </si>
  <si>
    <t>Colonia San Francisco</t>
  </si>
  <si>
    <t>273 M2</t>
  </si>
  <si>
    <t xml:space="preserve"> Rubio </t>
  </si>
  <si>
    <t>Colonia Rancho El Colorado</t>
  </si>
  <si>
    <t>884 ML</t>
  </si>
  <si>
    <t>1,580 M2</t>
  </si>
  <si>
    <t>520 M2</t>
  </si>
  <si>
    <t>2,456 M2</t>
  </si>
  <si>
    <t>6,053 M2</t>
  </si>
  <si>
    <t>2,546 M2</t>
  </si>
  <si>
    <t>7,670 M2</t>
  </si>
  <si>
    <t>3,854 M2</t>
  </si>
  <si>
    <t>4,636 M2</t>
  </si>
  <si>
    <t>4,633 M2</t>
  </si>
  <si>
    <t>3,124 M2</t>
  </si>
  <si>
    <t>3,198 M2</t>
  </si>
  <si>
    <t>2,412 M2</t>
  </si>
  <si>
    <t>4,588 M2</t>
  </si>
  <si>
    <t>310 M2</t>
  </si>
  <si>
    <t>1,050 ML</t>
  </si>
  <si>
    <t>1,500 M2</t>
  </si>
  <si>
    <t>39 M2</t>
  </si>
  <si>
    <t>4 PZAS</t>
  </si>
  <si>
    <t>852 M2</t>
  </si>
  <si>
    <t>1,914 M2</t>
  </si>
  <si>
    <t>739 M2</t>
  </si>
  <si>
    <t>Colonia República</t>
  </si>
  <si>
    <t>Colonia Unidad Fovissste</t>
  </si>
  <si>
    <t>337 M2</t>
  </si>
  <si>
    <t>Colonia San Isidro Ejidal</t>
  </si>
  <si>
    <t>3,523 M2</t>
  </si>
  <si>
    <t>3,010 M2</t>
  </si>
  <si>
    <t>Colonia Jardínes del Valle</t>
  </si>
  <si>
    <t>236 ML</t>
  </si>
  <si>
    <t xml:space="preserve"> Quirarte</t>
  </si>
  <si>
    <t xml:space="preserve"> Olmos</t>
  </si>
  <si>
    <t>3 PZA</t>
  </si>
  <si>
    <t xml:space="preserve"> Barcena </t>
  </si>
  <si>
    <t>Colonias Royal Country y puerta de Hierro</t>
  </si>
  <si>
    <t>10 PZA</t>
  </si>
  <si>
    <t>12 PZA</t>
  </si>
  <si>
    <t>No Aplica</t>
  </si>
  <si>
    <t>42 M3</t>
  </si>
  <si>
    <t>Colonia El Vigia</t>
  </si>
  <si>
    <t>320 M2</t>
  </si>
  <si>
    <t>394 M2</t>
  </si>
  <si>
    <t>100 ML</t>
  </si>
  <si>
    <t>Colonias Víctor Hugo, Indígena de Mezquitán y La Esperanza</t>
  </si>
  <si>
    <t>1,220 M2</t>
  </si>
  <si>
    <t>Colonia Santa María del Pueblito</t>
  </si>
  <si>
    <t>754 M2</t>
  </si>
  <si>
    <t>Colonia Aurelio Ortega</t>
  </si>
  <si>
    <t>1,796 M2</t>
  </si>
  <si>
    <t>460 ML</t>
  </si>
  <si>
    <t>775 M2</t>
  </si>
  <si>
    <t>Colonia Miramar Poniente</t>
  </si>
  <si>
    <t>420 M3</t>
  </si>
  <si>
    <t>Colonias Vicente Guerrero, Paraisos del Colli, San José del Bajío y Gustavo Diaz Ordaz</t>
  </si>
  <si>
    <t>1,619 M2</t>
  </si>
  <si>
    <t>Colonias Gustavo Diaz Ordaz, Jardínes del Valle, Paraisos del Colli y Vicente Guerrero</t>
  </si>
  <si>
    <t>40,260 KG</t>
  </si>
  <si>
    <t>183 M2</t>
  </si>
  <si>
    <t>Construcción de pista de atletismo en la Unidad Deportiva Tabachines, municipio de Zapopan, Jalisco.</t>
  </si>
  <si>
    <t xml:space="preserve">EDUARDO </t>
  </si>
  <si>
    <t>RS OBRAS Y SERVICIOS S.A. DE C.V.</t>
  </si>
  <si>
    <t>ROS120904PV9</t>
  </si>
  <si>
    <t xml:space="preserve">Peatonalización, construcción de banquetas, sustitución de guarniciones, bolardos, jardinería, señalética, red eléctrica de media tensión y servicios complementarios en la Av. General Ramón Corona, en la zona de La Mojonera, municipio de Zapopan, Jalisco.  </t>
  </si>
  <si>
    <t>TRANSCRETO S.A. DE C.V.</t>
  </si>
  <si>
    <t>TRA750528286</t>
  </si>
  <si>
    <t>Construcción de colector de alejamiento en la localidad de Pedregal de Milpillas, municipio de Zapopan, Jalisco, Frente 3.</t>
  </si>
  <si>
    <t>JOSÉ DE JESÚS</t>
  </si>
  <si>
    <t>CÁRDENAS</t>
  </si>
  <si>
    <t xml:space="preserve">SOLÍS </t>
  </si>
  <si>
    <t>CEIESE CONSTRUCCIÓN Y EDIFICACIÓN, S.A. DE C.V.</t>
  </si>
  <si>
    <t>CCE170517HW2</t>
  </si>
  <si>
    <t>Construcción de obras exteriores, instalaciones eléctricas y obra complementaria en el Centro Cultural en la colonia Villas de Guadalupe, municipio de Zapopan, Jalisco.</t>
  </si>
  <si>
    <t>GARCÍA</t>
  </si>
  <si>
    <t>URBANIZADORA Y CONSTRUCTORA ROAL, S.A. DE C.V.</t>
  </si>
  <si>
    <t>URC160310857</t>
  </si>
  <si>
    <t>Pavimentación con concreto hidráulico de la calle San Pedro del km. 0+000 al km. 0+260, en la colonia Villa de Guadalupe, municipio de Zapopan, Jalisco.</t>
  </si>
  <si>
    <t>ERICK</t>
  </si>
  <si>
    <t>VILLASEÑOR</t>
  </si>
  <si>
    <t>GUTIÉRREZ</t>
  </si>
  <si>
    <t>PIXIDE CONSTRUCTORA, S.A. DE C.V.</t>
  </si>
  <si>
    <t>PCO140829425</t>
  </si>
  <si>
    <t>Pavimentación con concreto hidráulico de la calle San Pedro del km. 0+260 al km. 0+514, en la colonia Villa de Guadalupe, municipio de Zapopan, Jalisco.</t>
  </si>
  <si>
    <t>FELIPE DANIEL II</t>
  </si>
  <si>
    <t>NÚÑEZ</t>
  </si>
  <si>
    <t>PINZÓN</t>
  </si>
  <si>
    <t>GRUPO NUVECO, S.A. DE C.V.</t>
  </si>
  <si>
    <t>GNU120809KX1</t>
  </si>
  <si>
    <t>Pavimentación con concreto hidráulico, incluye: banquetas, peatonalización, red de drenaje sanitario, red de agua potable, señalamiento vertical y horizontal y servicios complementarios de la lateral norte de Avenida Vallarta, en la colonia Jardines Vallarta, en el municipio de Zapopan, Jalisco.</t>
  </si>
  <si>
    <t>GRUPO UNICRETO DE MÉXICO S.A. DE C.V.</t>
  </si>
  <si>
    <t>GUM111201IA5</t>
  </si>
  <si>
    <t>Construcción de andadores, módulo de baños, barda perimetral y obra complementaria en la Unidad Deportiva San Juan de Ocotán, municipio de Zapopan, Jalisco.</t>
  </si>
  <si>
    <t>JAIME FERNANDO</t>
  </si>
  <si>
    <t>ÁLVAREZ</t>
  </si>
  <si>
    <t>LOZANO</t>
  </si>
  <si>
    <t>INOVACIONES EN MOBILIARIO URBANO S.A. DE C.V.</t>
  </si>
  <si>
    <t>IMU120820NM7</t>
  </si>
  <si>
    <t>Construcción de fosa de cimentación y estructura metálica para la instalación de elevador en el puente peatonal en Av. López Mateos Sur – El Campanario, municipio de Zapopan, Jalisco.</t>
  </si>
  <si>
    <t>JOSÉ ANTONIO</t>
  </si>
  <si>
    <t>ZULOAGA</t>
  </si>
  <si>
    <t>GRUPO DESARROLLADOR ALZU, S.A. DE C.V.</t>
  </si>
  <si>
    <t>GDA150928286</t>
  </si>
  <si>
    <t>Peatonalización, señalética horizontal y vertical y obra complementaria para la construcción de la calle Plata con concreto hidráulico de calle Estaño a Av. Juan Pablo II, en la Zona de San José del Bajío, en el municipio de Zapopan, Jalisco.</t>
  </si>
  <si>
    <t>JORGE LUIS</t>
  </si>
  <si>
    <t>MARISCAL</t>
  </si>
  <si>
    <t>TORRES</t>
  </si>
  <si>
    <t>BNKER EDIFICACIONES Y CONSTRUCCIONES, S.A. DE C.V.</t>
  </si>
  <si>
    <t>BEC0906257J5</t>
  </si>
  <si>
    <t>Construcción de cancha de usos múltiples y obra complementaria en la Unidad Deportiva Santa Lucia, municipio de Zapopan, Jalisco.</t>
  </si>
  <si>
    <t>PALAFOX</t>
  </si>
  <si>
    <t>VILLEGAS</t>
  </si>
  <si>
    <t>MEGAENLACE CONSTRUCCIONES S.A. DE C.V.</t>
  </si>
  <si>
    <t>MCO1510113H8</t>
  </si>
  <si>
    <t>Obra complementaria para la terminación de la calle Magnolia con concreto hidráulico de Prolongación Acueducto a Av. Santa Margarita, en la zona de Santa Margarita, en el municipio de Zapopan, Jalisco.</t>
  </si>
  <si>
    <t>ANDRÉS EDUARDO</t>
  </si>
  <si>
    <t>ACEVES</t>
  </si>
  <si>
    <t>CASTAÑEDA</t>
  </si>
  <si>
    <t>SECRI CONSTRUCTORA, S.A. DE C.V.</t>
  </si>
  <si>
    <t>SCO100609EVA</t>
  </si>
  <si>
    <t>Construcción de bocas de tormenta y pozos de absorción en la Av. General Ramón Corona, en la zona de La Mojonera, municipio de Zapopan, Jalisco, frente 1.</t>
  </si>
  <si>
    <t>J. GERARDO</t>
  </si>
  <si>
    <t>NICANOR</t>
  </si>
  <si>
    <t>MEJÍA MARISCAL</t>
  </si>
  <si>
    <t>INECO CONSTRUYE, S.A. DE C.V.</t>
  </si>
  <si>
    <t>ICO980722MQ4</t>
  </si>
  <si>
    <t>Pavimentación con concreto hidráulico en la calle Los Huejotes de la calle Tulipán a la calle Paseo de los Tamarindos en la colonia Lomas de Tabachines, incluye: drenaje sanitario, agua potable, banquetas, peatonalización, señalamiento y obras complementarias, en el municipio de Zapopan, Jalisco.</t>
  </si>
  <si>
    <t>VÍCTOR</t>
  </si>
  <si>
    <t>ZAYAS</t>
  </si>
  <si>
    <t>RIQUELME</t>
  </si>
  <si>
    <t>GEMINIS INTERNACIONAL CONSTRUCTORA, S.A. DE C.V.</t>
  </si>
  <si>
    <t>GIC810323RA6</t>
  </si>
  <si>
    <t xml:space="preserve">Construcción de motivos de ingreso, peatonalización en áreas exteriores, barda perimetral, alumbrado, plazoleta y caseta de ingreso a la Unidad Deportiva La Tuzania, municipio de Zapopan, Jalisco. </t>
  </si>
  <si>
    <t>APOLINAR</t>
  </si>
  <si>
    <t>ALONSO</t>
  </si>
  <si>
    <t>EDIFICACIONES Y TRANSFORMACIONES TÉCNICAS, S.A. DE C.V.</t>
  </si>
  <si>
    <t>ETT9302049B2</t>
  </si>
  <si>
    <t>Construcción de área de juegos infantiles y colocación de pasto sintético en áreas comunes de la Unidad Deportiva La Tuzania, municipio de Zapopan, Jalisco.</t>
  </si>
  <si>
    <t>MARÍA ARCELIA</t>
  </si>
  <si>
    <t>IÑIGUEZ</t>
  </si>
  <si>
    <t>HERNÁNDEZ</t>
  </si>
  <si>
    <t>COMERCIALIZADORA POLÍGONO, S..A DE C.V.</t>
  </si>
  <si>
    <t>COP1209104M8</t>
  </si>
  <si>
    <t>Construcción de línea de electrificación para pozo profundo ubicado en la colonia Copalita Poblado, municipio de Zapopan, Jalisco.</t>
  </si>
  <si>
    <t>ARMANDO</t>
  </si>
  <si>
    <t>ARROYO</t>
  </si>
  <si>
    <t>ZEPEDA</t>
  </si>
  <si>
    <t>CONSTRUCTORA Y URBANIZADORA PORTOKALI, S.A. DE C.V.</t>
  </si>
  <si>
    <t>CUP160122E20</t>
  </si>
  <si>
    <t>Control de calidad de diferentes obras 2018 del municipio de Zapopan, Jalisco, frente 3.</t>
  </si>
  <si>
    <t>MEZA</t>
  </si>
  <si>
    <t>PONCE</t>
  </si>
  <si>
    <t>CME CALIDAD MODELO DE EFICANCIA, S.A. DE C.V.</t>
  </si>
  <si>
    <t>CCM1405243C4</t>
  </si>
  <si>
    <t>Construcción de módulo de baños en el Parque Virreyes, ubicada sobre la calle Paseo de los Virreyes, en el Fraccionamiento Virreyes Residencial, incluye andadores y accesibilidad, municipio de Zapopan, Jalisco.</t>
  </si>
  <si>
    <t>MORA</t>
  </si>
  <si>
    <t>BLACKALLER</t>
  </si>
  <si>
    <t>GRUPO CONSTRUCTOR INNOBLACK, S.A. DE C.V.</t>
  </si>
  <si>
    <t>GCI070523CW4</t>
  </si>
  <si>
    <t>Estructuras con lonaria para protección de rayos ultravioleta, en la Escuela Vigía 2, ubicada en la calle Fray Francisco San Lorenzo, No. 50, colonia San Francisco, municipio de Zapopan, Jalisco.</t>
  </si>
  <si>
    <t>HÉCTOR MARIO</t>
  </si>
  <si>
    <t>GALVARRIATO FREER</t>
  </si>
  <si>
    <t>ESPECIALISTAS EN ACABADOS PROFESIONALES, S.A DE C.V.</t>
  </si>
  <si>
    <t>EAP000106BW7</t>
  </si>
  <si>
    <t>Construcción de Red de drenaje sanitario y línea de alejamiento en calles de la Colonia Rancho El Colorado, municipio de Zapopan, Jalisco. Frente 3.</t>
  </si>
  <si>
    <t>ANTONIO</t>
  </si>
  <si>
    <t>CARRILLO</t>
  </si>
  <si>
    <t>SEGURA</t>
  </si>
  <si>
    <t>ITERACIÓN, S.A. DE C.V.</t>
  </si>
  <si>
    <t>ITE080214UD3</t>
  </si>
  <si>
    <t>Rehabilitación de centro cultural que incluye: Plazoleta principal, áreas verdes, pavimentación, mobiliario urbano, bolardos, construcción de áreas interactivas, en la Tuzanía, municipio de Zapopan, Jalisco. Frente 1.</t>
  </si>
  <si>
    <t xml:space="preserve"> MARTHA </t>
  </si>
  <si>
    <t>JIMÉNEZ</t>
  </si>
  <si>
    <t>LÓPEZ</t>
  </si>
  <si>
    <t>INMOBILIARIA BOCHUM S. DE R.L. DE C.V.</t>
  </si>
  <si>
    <t>IBO090918ET9</t>
  </si>
  <si>
    <t>Rehabilitación de centro cultural que incluye: Plazoleta principal, áreas verdes, pavimentación, mobiliario urbano, bolardos, construcción de áreas interactivas, en la Tuzanía, municipio de Zapopan, Jalisco. Frente 2.</t>
  </si>
  <si>
    <t>CRUZ</t>
  </si>
  <si>
    <t>MOGUEL</t>
  </si>
  <si>
    <t>BALKEN, S.A. DE C.V.</t>
  </si>
  <si>
    <t>BAL990803661</t>
  </si>
  <si>
    <t>Rehabilitación de unidad deportiva que incluye: Canchas, ingresos, áreas verdes, andadores, mobiliario urbano e iluminación, en Santa Margarita Residencial, municipio de Zapopan, Jalisco. Frente 1.</t>
  </si>
  <si>
    <t>Colonia Santa Margarita Residencial</t>
  </si>
  <si>
    <t>ROCÍO</t>
  </si>
  <si>
    <t xml:space="preserve">GÓMEZ </t>
  </si>
  <si>
    <t>RGP CONSTRUCCIONES, S.A. DE C.V.</t>
  </si>
  <si>
    <t>RCO100909MQ1</t>
  </si>
  <si>
    <t>Rehabilitación de unidad deportiva que incluye: Canchas, ingresos, áreas verdes, andadores, mobiliario urbano e iluminación, en Santa Margarita Residencial, municipio de Zapopan, Jalisco. Frente 2.</t>
  </si>
  <si>
    <t>HÉCTOR MAURICIO</t>
  </si>
  <si>
    <t>GRAMILLO</t>
  </si>
  <si>
    <t>GONZÁLEZ</t>
  </si>
  <si>
    <t>DESARROLLOS ECOLÓGICOS DE MÉXICO, S.A. DE C.V.</t>
  </si>
  <si>
    <t>DED100816GB1</t>
  </si>
  <si>
    <t>Rehabilitación de unidad deportiva que incluye: Canchas, ingresos, áreas verdes, andadores, mobiliario urbano e iluminación, en Santa Margarita Residencial, municipio de Zapopan, Jalisco. Frente 3.</t>
  </si>
  <si>
    <t>MARÍA DE LOURDES</t>
  </si>
  <si>
    <t>PARRA</t>
  </si>
  <si>
    <t>PRECIADO</t>
  </si>
  <si>
    <t>CONSTRUCTORA CARVGO, S.A. DE C.V.</t>
  </si>
  <si>
    <t>CCA121113SY9</t>
  </si>
  <si>
    <t>Rehabilitación de plaza principal en la colonia Altagracia y construcción de parque lineal en Av. La Mancha, en las colonias Altagracia y Arcos de Zapopan, municipio de Zapopan, Jalisco. Frente 1.</t>
  </si>
  <si>
    <t>Colonias Altagracia y Arcos de Zapopan</t>
  </si>
  <si>
    <t>CARLOS</t>
  </si>
  <si>
    <t>PÉREZ</t>
  </si>
  <si>
    <t>CONSTRUCTORA PECRU, S.A. DE C.V.</t>
  </si>
  <si>
    <t>CPE070123PD4</t>
  </si>
  <si>
    <t>Rehabilitación de plaza principal en la colonia Altagracia y construcción de parque lineal en Av. La Mancha, en las colonias Altagracia y Arcos de Zapopan, municipio de Zapopan, Jalisco. Frente 2.</t>
  </si>
  <si>
    <t>AMALIA</t>
  </si>
  <si>
    <t>MALDONADO</t>
  </si>
  <si>
    <t>GRUPO CONSTRUCTOR LOS MUROS, S.A. DE C.V.</t>
  </si>
  <si>
    <t>GCM020226F28</t>
  </si>
  <si>
    <t>Rehabilitación de plaza principal en la colonia Altagracia y construcción de parque lineal en Av. La Mancha, en las colonias Altagracia y Arcos de Zapopan, municipio de Zapopan, Jalisco. Frente 3.</t>
  </si>
  <si>
    <t>HÉCTOR RUBÉN</t>
  </si>
  <si>
    <t>VARGAS</t>
  </si>
  <si>
    <t>DOS-HB CONSTRUCCIÓN, S.A. DE C.V.</t>
  </si>
  <si>
    <t>DCO140606CT5</t>
  </si>
  <si>
    <t>Rehabilitación de plaza principal en la colonia Altagracia y construcción de parque lineal en Av. La Mancha, en las colonias Altagracia y Arcos de Zapopan, municipio de Zapopan, Jalisco. Frente 4.</t>
  </si>
  <si>
    <t>INFRAESTRUCTURA RHINO77, S.A. DE C.V.</t>
  </si>
  <si>
    <t>IRH140924LX3</t>
  </si>
  <si>
    <t>Rehabilitación de plaza principal en la colonia Altagracia y construcción de parque lineal en Av. La Mancha, en las colonias Altagracia y Arcos de Zapopan, municipio de Zapopan, Jalisco. Frente 5.</t>
  </si>
  <si>
    <t>Rehabilitación integral de vialidad Imperio-Granaditos-Experiencia-Álvaro Obregón. Desde Periférico hasta Atemajac, incluyendo rehabilitación de banquetas, municipio de Zapopan, Jalisco. Frente 1.</t>
  </si>
  <si>
    <t>Colonias Imperio, Granaditos, Experiencia, Álvaro Obregón y Atemac</t>
  </si>
  <si>
    <t>Rehabilitación integral de vialidad Imperio-Granaditos-Experiencia-Álvaro Obregón. Desde Periférico hasta Atemajac, incluyendo rehabilitación de banquetas, municipio de Zapopan, Jalisco. Frente 2.</t>
  </si>
  <si>
    <t>CARLOS IGNACIO</t>
  </si>
  <si>
    <t>CURIEL</t>
  </si>
  <si>
    <t>DUEÑAS</t>
  </si>
  <si>
    <t>CONSTRUCTORA CECUCHI, S.A. DE C.V.</t>
  </si>
  <si>
    <t>CCE130723IR7</t>
  </si>
  <si>
    <t>Rehabilitación integral de vialidad Imperio-Granaditos-Experiencia-Álvaro Obregón. Desde Periférico hasta Atemajac, incluyendo rehabilitación de banquetas, municipio de Zapopan, Jalisco. Frente 3.</t>
  </si>
  <si>
    <t>CLAUDIO FELIPE</t>
  </si>
  <si>
    <t>TRUJILLO</t>
  </si>
  <si>
    <t>GRACIAN</t>
  </si>
  <si>
    <t>DESARROLLADORA LUMADI, S.A. DE C.V.</t>
  </si>
  <si>
    <t>DLU100818F46</t>
  </si>
  <si>
    <t>Rehabilitación integral de vialidad Imperio-Granaditos-Experiencia-Álvaro Obregón. Desde Periférico hasta Atemajac, incluyendo rehabilitación de banquetas, municipio de Zapopan, Jalisco. Frente 4.</t>
  </si>
  <si>
    <t>RAÚL</t>
  </si>
  <si>
    <t xml:space="preserve">ORTEGA </t>
  </si>
  <si>
    <t>JARA</t>
  </si>
  <si>
    <t>CONSTRUCCIONES ANAYARI, S.A. DE C.V.V</t>
  </si>
  <si>
    <t>CAN030528ME0</t>
  </si>
  <si>
    <t>Rehabilitación integral de vialidad Imperio-Granaditos-Experiencia-Álvaro Obregón. Desde Periférico hasta Atemajac, incluyendo rehabilitación de banquetas, municipio de Zapopan, Jalisco. Frente 5.</t>
  </si>
  <si>
    <t>VÍCTOR MANUEL</t>
  </si>
  <si>
    <t>JAUREGUI</t>
  </si>
  <si>
    <t>CONSTRUCTORA ERLORT Y ASOCIADOS, S.A. DE C.V.</t>
  </si>
  <si>
    <t>CEA070208SB1</t>
  </si>
  <si>
    <t>Rehabilitación integral del centro barrial en Paraísos del Colli, municipio de Zapopan, Jalisco. Frente 1.</t>
  </si>
  <si>
    <t>Rehabilitación integral del centro barrial en Paraísos del Colli, municipio de Zapopan, Jalisco. Frente 2.</t>
  </si>
  <si>
    <t>ALIANZA CONSTRUCTIVA KAMIR, S.A. DE C.V.</t>
  </si>
  <si>
    <t>ACK170710KI3</t>
  </si>
  <si>
    <t>Rehabilitación integral del centro barrial en Paraísos del Colli, municipio de Zapopan, Jalisco. Frente 3.</t>
  </si>
  <si>
    <t>ADALBERTO</t>
  </si>
  <si>
    <t>MORALES</t>
  </si>
  <si>
    <t>URDEM, S.A. DE C.V.</t>
  </si>
  <si>
    <t>URD130830U21</t>
  </si>
  <si>
    <t>Reubicación e instalación de redes subterráneas de líneas de alta tensión y media tensión sobre el kilómetro 11+650 de la carretera Guadalajara - Nogales, municipio de Zapopan, Jalisco.</t>
  </si>
  <si>
    <t>ARTURO</t>
  </si>
  <si>
    <t>RÁNGEL</t>
  </si>
  <si>
    <t>PAEZ</t>
  </si>
  <si>
    <t>CONSTRUCTORA LASA, S.A. DE C.V.</t>
  </si>
  <si>
    <t>CLA890925ER5</t>
  </si>
  <si>
    <t>Pavimentación con concreto hidráulico de vialidades, incluye: drenaje sanitario, agua potable, banquetas, peatonalización, señalamiento y obras complementarias, en la colonia Vicente Guerrero, municipio de Zapopan, Jalisco, frente 1.</t>
  </si>
  <si>
    <t>J. JESÚS</t>
  </si>
  <si>
    <t>VILLANUEVA</t>
  </si>
  <si>
    <t>CONSTRUCCIONES COVIMEX, S.A. DE C.V.</t>
  </si>
  <si>
    <t>CCO0404226D8</t>
  </si>
  <si>
    <t>Pavimentación con concreto hidráulico de vialidades, incluye: drenaje sanitario, agua potable, banquetas, peatonalización, señalamiento y obras complementarias, en la colonia Vicente Guerrero, municipio de Zapopan, Jalisco, frente 2.</t>
  </si>
  <si>
    <t>ALFREDO</t>
  </si>
  <si>
    <t>FLORES</t>
  </si>
  <si>
    <t>CHÁVEZ</t>
  </si>
  <si>
    <t>CONSTRUCTORA AMICUM, S.A. DE C.V.</t>
  </si>
  <si>
    <t>CAM160621G52</t>
  </si>
  <si>
    <t>Peatonalización (banquetas y obras de accesibilidad) en la Glorieta Chapalita y en la Av. Guadalupe de la Glorieta Chapalita a la Av. Niño Obrero, en la Colonia Chapalita, municipio de Zapopan, Jalisco. Frente 1.</t>
  </si>
  <si>
    <t>CLARISSA GABRIELA</t>
  </si>
  <si>
    <t>VALDEZ</t>
  </si>
  <si>
    <t>MANJARREZ</t>
  </si>
  <si>
    <t>TEKTON GRUPO EMPRESARIAL, S.A. DE C.V.</t>
  </si>
  <si>
    <t>TGE101215JI6</t>
  </si>
  <si>
    <t>Construcción de boca de tormenta, sobre calle Valle de Ameca, en la colonia Jardines del Valle, municipio de Zapopan, Jalisco.</t>
  </si>
  <si>
    <t>HIRAM</t>
  </si>
  <si>
    <t>SÁNCHEZ</t>
  </si>
  <si>
    <t>CONSTRUSANLU URBANIZADORA, S.A. DE C.V.</t>
  </si>
  <si>
    <t>CUR130430U59</t>
  </si>
  <si>
    <t>Obra complementaria para la construcción de planta de tratamiento tipo rural, en la localidad de Pedregal de Milpillas, municipio de Zapopan, Jalisco.</t>
  </si>
  <si>
    <t>Construcción de red complementaria de agua potable en las colonias La Vinatera y Ejido Copalita, municipio de Zapopan, Jalisco.</t>
  </si>
  <si>
    <t>Peatonalización, construcción de banquetas, bolardos, guarniciones, señalética horizontal y vertical y obra complementaria  en la calle Cuarta Poniente de Segunda Norte a Quinta Norte, en la colonia Nuevo México, en el municipio de Zapopan, Jalisco.</t>
  </si>
  <si>
    <t>Peatonalización (banquetas y obras de accesibilidad) en la Glorieta Chapalita y en la Av. Guadalupe de la Glorieta Chapalita a la Av. Niño Obrero, en la Colonia Chapalita, municipio de Zapopan, Jalisco. Frente 2.</t>
  </si>
  <si>
    <t>EDWIN</t>
  </si>
  <si>
    <t>AGUIAR</t>
  </si>
  <si>
    <t>ESCATEL</t>
  </si>
  <si>
    <t>MANJARREZ URBANIZACIONES, S.A. DE C.V.</t>
  </si>
  <si>
    <t>MUR090325P33</t>
  </si>
  <si>
    <t>Pavimentación con concreto hidráulico en la calle Miguel Sandoval de la calle Ignacio Espinoza al ingreso al ingreso del Centro Cultural en la colonia Villas de Guadalupe, incluye: drenaje sanitario, agua potable, banquetas, peatonalización, señalamiento y obras complementarias, en el municipio de Zapopan, Jalisco.</t>
  </si>
  <si>
    <t>PABLO ALEJANDRO</t>
  </si>
  <si>
    <t xml:space="preserve">CHÁVEZ </t>
  </si>
  <si>
    <t>CORTES</t>
  </si>
  <si>
    <t>URBACHAVEZ, S.A. DE C.V.</t>
  </si>
  <si>
    <t>URB151121PN3</t>
  </si>
  <si>
    <t>Construcción de empedrado zampeado, incluye: red de drenaje pluvial, bocas de tormenta, pozos de visita, guarniciones y banquetas en la calle Vista Real de Vista al Mirador a cerrada, en la Colonia Vista Hermosa, municipio de Zapopan, Jalisco.</t>
  </si>
  <si>
    <t>RAFAEL AUGUSTO</t>
  </si>
  <si>
    <t>CABALLERO</t>
  </si>
  <si>
    <t>QUIRARTE</t>
  </si>
  <si>
    <t>PROYECTOS ARQUITECTÓNICOS TRIANGULO, S.A. DE C.V.</t>
  </si>
  <si>
    <t>PAT110331HH0</t>
  </si>
  <si>
    <t>Red eléctrica para alumbrado y pintura en cancha de usos múltiples en la Unidad Deportiva República, municipio de Zapopan, Jalisco.</t>
  </si>
  <si>
    <t xml:space="preserve">J. JESÚS </t>
  </si>
  <si>
    <t>SILVA</t>
  </si>
  <si>
    <t>STUDIO KAPITAL CONSTRUCTORA, S.A. DE C.V.</t>
  </si>
  <si>
    <t>SKC171027PH6</t>
  </si>
  <si>
    <t>Pintura en exteriores e impermeabilización de azotea en el Centro de Atención a Niños con Autismo, ubicado en la colonia Unidad Fovissste, municipio de Zapopan, Jalisco.</t>
  </si>
  <si>
    <t>SARMIENTO</t>
  </si>
  <si>
    <t>CONSTRUBRAVO, S.A. DE C.V.</t>
  </si>
  <si>
    <t>CON020208696</t>
  </si>
  <si>
    <t>Obra complementaria para la terminación de pavimento de empedrado tradicional e instalación hidráulica en la calle Ejido de Hidalgo a Manuel García, en la localidad La Venta del Astillero, municipio de Zapopan, Jalisco.</t>
  </si>
  <si>
    <t>JOSÉ OMAR</t>
  </si>
  <si>
    <t>FERNÁNDEZ</t>
  </si>
  <si>
    <t>VÁZQUEZ</t>
  </si>
  <si>
    <t>EXTRA CONSTRUCCIONES, S.A. DE C.V.</t>
  </si>
  <si>
    <t>Red eléctrica, mobiliario urbano y obra complementaria en espacio recreativo en la colonia San Isidro Ejidal, municipio de Zapopan, Jalisco.</t>
  </si>
  <si>
    <t>ERNESTO</t>
  </si>
  <si>
    <t>OLIVARES</t>
  </si>
  <si>
    <t xml:space="preserve">METRICA INFRAESTRUCTURA, S.A. DE C.V. </t>
  </si>
  <si>
    <t>MIN170819GG1</t>
  </si>
  <si>
    <t>Obra complementaria para la terminación de la calle Ocampo con concreto hidráulico de calle Independencia a calle Parral, colonia San Juan de Ocotán, Zapopan, Jalisco.</t>
  </si>
  <si>
    <t>FRANCISCO JAVIER</t>
  </si>
  <si>
    <t>RUÍZ</t>
  </si>
  <si>
    <t>CONSTRUCTORA DIRU, S.A. DE C.V.</t>
  </si>
  <si>
    <t>Obra complementaria para la terminación del colector pluvial en Av. Valle de Tesistán, entre Camino Viejo a Tesistán y Av. Acueducto, colonia Jardines del Valle, municipio de Zapopan, Jalisco.</t>
  </si>
  <si>
    <t>Desmontaje, rehabilitación e instalación de puentes peatonales en diferentes zonas del municipio de Zapopan, Jalisco.</t>
  </si>
  <si>
    <t>ELBA</t>
  </si>
  <si>
    <t xml:space="preserve">GONZÁLEZ </t>
  </si>
  <si>
    <t>AGUIRRE</t>
  </si>
  <si>
    <t>GA URBANIZACIÓN, S.A. DE C.V.</t>
  </si>
  <si>
    <t>GUR120612P22</t>
  </si>
  <si>
    <t>Rehabilitación y equipamiento de pozo profundo ubicado en el cruce Periférico Sur y Adolfo López Mateos, en la colonia El Mante, municipio de Zapopan, Jalisco.</t>
  </si>
  <si>
    <t>ROBERTO</t>
  </si>
  <si>
    <t>ARREOLA</t>
  </si>
  <si>
    <t>ESTUDIOS SISTEMAS Y CONSTRUCCIONES, S.A. DE C.V.</t>
  </si>
  <si>
    <t>ESC930617KW9</t>
  </si>
  <si>
    <t>Obra complementaria para la terminación de la pavimentación con concreto hidráulico de la Av. Royal Country, en los fraccionamientos Royal Country, Puerta de Hierro y Puerta Plata, municipio de Zapopan, Jalisco.</t>
  </si>
  <si>
    <t>Diagnóstico, diseño y proyectos hidráulicos 2018, frente 1, de diferentes redes de agua potable y alcantarillado, municipio de Zapopan Jalisco.</t>
  </si>
  <si>
    <t>JAVIER</t>
  </si>
  <si>
    <t xml:space="preserve">ÁVILA </t>
  </si>
  <si>
    <t>SAVHO CONSULTORÍA Y CONSTRUCCIÓN, S.A. DE C.V.</t>
  </si>
  <si>
    <t>SCC060622HZ3</t>
  </si>
  <si>
    <t>Construcción de muro de contención de mampostería en calle Loma Alta a su cruce con la calle Paseo de los Manzanos, en la colonia Lomas de Tabachines, municipio de Zapopan, Jalisco.</t>
  </si>
  <si>
    <t>LUIS ERNESTO</t>
  </si>
  <si>
    <t>TOSCANA INGENIERÍA, S. A.  DE C.V.</t>
  </si>
  <si>
    <t>TIN04100824A</t>
  </si>
  <si>
    <t>Construcción de módulo de baños en el Centro de Atención Múltiple José Vasconcelos y andadores en camellón de Boulevard El Rodeo, en la colonia El Vigía, municipio de Zapopan, Jalisco.</t>
  </si>
  <si>
    <t>OMAR</t>
  </si>
  <si>
    <t>MONTES DE OCA</t>
  </si>
  <si>
    <t>DOMMONT CONSTRUCCIONES, S.A. DE C.V.</t>
  </si>
  <si>
    <t>DCO130215C16</t>
  </si>
  <si>
    <t>Reposición de empedrado en calle Atotonilco, colonia Nuevo México, municipio de Zapopan, Jalisco.</t>
  </si>
  <si>
    <t>MONTOYA</t>
  </si>
  <si>
    <t>TORRES AGUIRRE INGENIEROS, S.A. DE C.V.</t>
  </si>
  <si>
    <t>TAI920312952</t>
  </si>
  <si>
    <t>Alumbrado público y señalamiento horizontal en la calle Nueva Orleans de Lituania a Av. Juan Gil Preciado, colonia Juan Gil Preciado, municipio de Zapopan, Jalisco.</t>
  </si>
  <si>
    <t>Construcción de plataforma para desplante de cimentación y firmes de estructura en terreno ubicado en la calle Valle de la Barranca entre Valentín Vidrio Arce y Otawa, Fracc. Valle de los Molinos, municipio de Zapopan, Jalisco.</t>
  </si>
  <si>
    <t>Construcción de estructura con lonaria en la Secundaria 4 mixta "Ignacio Ramos Praslow", en Zapopan, Jalisco.</t>
  </si>
  <si>
    <t>Programa municipal de bacheo en vialidades de las colonias Víctor Hugo, Indígena de Mezquitán y La Esperanza, municipio de Zapopan, Jalisco.</t>
  </si>
  <si>
    <t>CARLOS FELIPE</t>
  </si>
  <si>
    <t>GUERRA</t>
  </si>
  <si>
    <t>URBANIZADORA VÁZQUEZ GUERRA, S.A. DE C.V.</t>
  </si>
  <si>
    <t>Obra complementaria para la terminación de la rehabilitación de las instalaciones y equipamiento deportivo de la Unidad Deportiva Santa María del Pueblito, municipio de Zapopan, Jalisco.</t>
  </si>
  <si>
    <t>JUAN JOSÉ</t>
  </si>
  <si>
    <t>RENCOIST CONSTRUCCIONES, S.A. DE C.V.</t>
  </si>
  <si>
    <t>RCO130920JX9</t>
  </si>
  <si>
    <t>Construcción de andadores, albañilería, red eléctrica y obra complementaria para la terminación del Parque Aurelio Ortega, municipio de Zapopan, Jalisco.</t>
  </si>
  <si>
    <t>JUAN CARLOS</t>
  </si>
  <si>
    <t>SUAZO</t>
  </si>
  <si>
    <t>CODIGO A CONSTRUCTORES, S.A. DE C.V.</t>
  </si>
  <si>
    <t>CCO1304181PA</t>
  </si>
  <si>
    <t>Alumbrado público para la calle Ocampo, en la colonia San Juan de Ocotán, Zapopan, Jalisco.</t>
  </si>
  <si>
    <t>PAOLA ALEJANDRA</t>
  </si>
  <si>
    <t>OBRAS CIVILES ACUARIO, S.A. DE C.V.</t>
  </si>
  <si>
    <t>OCA080707FG8</t>
  </si>
  <si>
    <t>Red eléctrica para alumbrado en cancha de usos múltiples en la Escuela Secundaria Mixta 18, en la colonia Ciudad Granja, municipio de Zapopan, Jalisco.</t>
  </si>
  <si>
    <t xml:space="preserve">JESÚS </t>
  </si>
  <si>
    <t>CUETO</t>
  </si>
  <si>
    <t>CONSTRUCTORA MICUET, S.A. DE C.V.</t>
  </si>
  <si>
    <t>CMI0312018W4</t>
  </si>
  <si>
    <t>Obra complementaria para la terminación de la vialidad de concreto hidráulico María Perfecta Llamas de calle Lucio Martínez a Febronio Lara, colonia Villa de Guadalupe, municipio de Zapopan, Jalisco.</t>
  </si>
  <si>
    <t>ALBERTO</t>
  </si>
  <si>
    <t>BAÑUELOS</t>
  </si>
  <si>
    <t>GRIAL CONSTRUCCIONES, S.A. DE C.V.</t>
  </si>
  <si>
    <t>GCO100226SU6</t>
  </si>
  <si>
    <t>Construcción de muro de protección de arroyo pluvial en la colonia Miramar Poniente, municipio de Zapopan, Jalisco.</t>
  </si>
  <si>
    <t xml:space="preserve">Obra complementaria para la pavimentación de Av. Guadalajara con concreto hidráulico tramo 1, en la colonia Nuevo México, municipio de Zapopan, Jalisco. </t>
  </si>
  <si>
    <t>Rehabilitación de canchas de usos múltiples y obra completaría en la escuela primaria Vicente Guerrero, en la colonia Vicente Guerrero, en la primaria Urbana Juan Escutia, en la colonia Paraísos del Colli, en la primaria José María Morelos y Pavón, en la colonia San José del Bajío y en la primaria Gustavo Díaz Ordaz, en la colonia Gustavo Díaz Ordaz, municipio de Zapopan, Jalisco.</t>
  </si>
  <si>
    <t>GUSTAVO</t>
  </si>
  <si>
    <t>DURAN</t>
  </si>
  <si>
    <t>DURAN JIMÉNEZ ARQUITECTOS Y ASOCIADOS, S.A. DE C.V.</t>
  </si>
  <si>
    <t>DJA9405184G7</t>
  </si>
  <si>
    <t>Reforzamiento Complementario de estructuras con lonarias en los planteles educativos: Escuela Primaria Gustavo Díaz Ordaz matricula 14EPR1473U, colonia Gustavo Díaz Ordaz, Escuela Primaria Sor Juana Inés de la Cruz y José Vasconcelos matricula 1026, colonia Jardines del Valle; Escuela Primaria Urbana Juan Escutia 1130 y Agustín Yáñez matricula 916, colonia Paraísos del Colli; Escuela Primaria Vicente Guerrero matricula 854, colonia Vicente Guerrero, municipio de Zapopan, Jalisco.</t>
  </si>
  <si>
    <t xml:space="preserve">RAFAEL </t>
  </si>
  <si>
    <t>OROZCO</t>
  </si>
  <si>
    <t>MARTÍNEZ</t>
  </si>
  <si>
    <t>CEELE CONSTRUCCIONES, S.A. DE C.V.</t>
  </si>
  <si>
    <t>CCO020123366</t>
  </si>
  <si>
    <t>Revestimiento de taludes con concreto lanzado en la calle Juan García de Casiano Torres a Ignacio Espinoza, en la colonia Villa de Guadalupe, municipio de Zapopan, Jalisco.</t>
  </si>
  <si>
    <t>DOPI-FED-FF-PAV-LP-247-2018</t>
  </si>
  <si>
    <t>DOPI-FED-FF-PAV-LP-248-2018</t>
  </si>
  <si>
    <t>DOPI-FED-FF-PAV-LP-249-2018</t>
  </si>
  <si>
    <t>DOPI-FED-FF-PAV-LP-251-2018</t>
  </si>
  <si>
    <t>DOPI-FED-FF-PAV-LP-252-2018</t>
  </si>
  <si>
    <t>DOPI-FED-FF-PAV-LP-254-2018</t>
  </si>
  <si>
    <t>DOPI-MUN-R33-SERV-AD-266-2018</t>
  </si>
  <si>
    <t>DOPI-MUN-R33-SERV-AD-276-2018</t>
  </si>
  <si>
    <t>DOPI-MUN-R33-IH-AD-277-2018</t>
  </si>
  <si>
    <t>DOPI-MUN-R33-IH-AD-278-2018</t>
  </si>
  <si>
    <t>DOPI-MUN-R33-IH-AD-279-2018</t>
  </si>
  <si>
    <t>DOPI-MUN-R33-IH-AD-280-2018</t>
  </si>
  <si>
    <t>DOPI-MUN-R33-IH-AD-281-2018</t>
  </si>
  <si>
    <t>DOPI-MUN-R33-IH-AD-282-2018</t>
  </si>
  <si>
    <t>DOPI-MUN-R33-IH-AD-283-2018</t>
  </si>
  <si>
    <t>DOPI-MUN-R33-IH-AD-285-2018</t>
  </si>
  <si>
    <t>Ing. Leopoldo de Jesús</t>
  </si>
  <si>
    <t>Mendoza</t>
  </si>
  <si>
    <t>Zamora</t>
  </si>
  <si>
    <t>Ing. Diego Antonio</t>
  </si>
  <si>
    <t>Ing. Luis Erazmo</t>
  </si>
  <si>
    <t>Duran</t>
  </si>
  <si>
    <t>Pavimentación de Av. Xochitl con concreto Hidráulico Etapa 1, de Av. Tepeyac a calle Apatzingán, incluye sustitución de infraestructura hidráulica, infraestructura pluvial, alumbrado público, accesibilidad y forestación, en las Colonias Prados Tepeyac y El Zapote, Municipio de Zapopan, Jalisco.</t>
  </si>
  <si>
    <t>Ramo 23 Proyectos Regionales 2018</t>
  </si>
  <si>
    <t>Pavimentación de la calle El Campanario con concreto Hidráulico Etapa 1, de la calle San Antonio a Agua Marina, incluye sustitución de infraestructura hidráulica, infraestructura pluvial, alumbrado público, accesibilidad y forestación, en la colonia El Campanario, Municipio de Zapopan, Jalisco.</t>
  </si>
  <si>
    <t>Pavimentación en Calzada José Guadalupe Gallo con concreto Hidráulico Etapa 1, de calle Puente El Palomar a calle Rosales, Incluye sustitución de infraestructura hidráulica, infraestructura pluvial, alumbrado público, accesibilidad y forestación, en las colonias Agua Blanca, El Campanario y Palmira, Municipio de Zapopan, Jalisco.</t>
  </si>
  <si>
    <t>Pavimentación de la calle Camino Real Mateo de Regil con concreto Hidráulico Etapa 1, de Av. Tepeyac a calle Tlalpan, Incluye sustitución de infraestructura hidráulica, infraestructura pluvial, alumbrado público, accesibilidad y forestación, en las colonias Mariano Otero, Jardines del Ixtépete y El Briseño, Municipio de Zapopan, Jalisco.</t>
  </si>
  <si>
    <t>Pavimentación de la calle Valle de Tesistán con concreto Hidráulico Etapa 1, de calle Bellavista a calle Pino Suarez, Incluye sustitución de infraestructura hidráulica, infraestructura pluvial, alumbrado público, accesibilidad y forestación, en la Localidad de Tesistán, Municipio de Zapopan, Jalisco.</t>
  </si>
  <si>
    <t>Pavimentación de la calle Valle de Tesistán con concreto Hidráulico Etapa 2, de calle Pino Suarez a Av. Juan Gil Preciado, Incluye sustitución de infraestructura hidráulica, infraestructura pluvial, alumbrado público, accesibilidad y forestación, en la Localidad de Tesistán, Municipio de Zapopan, Jalisco.</t>
  </si>
  <si>
    <t>Servicios profesionales, científicos, técnicos y otros servicios: estudios de topografía para diferentes proyectos dentro de las zonas de atención prioritaria del municipio de Zapopan, Jalisco.</t>
  </si>
  <si>
    <t>EMILIO MIGUEL</t>
  </si>
  <si>
    <t>SAENZ</t>
  </si>
  <si>
    <t>CONSTRUCTORA Y SERVICIOS NOVACREA, S.A. DE C.V.</t>
  </si>
  <si>
    <t>CSN150923FGA</t>
  </si>
  <si>
    <t>Servicios profesionales, científicos, técnicos y otros servicios: control de calidad para diferentes obras y proyectos dentro de las zonas de atención prioritaria del municipio de Zapopan, Jalisco.</t>
  </si>
  <si>
    <t>Construcción de red de drenaje sanitario y red de agua potable en calles de la colonia Marcelino García Barragán, municipio de Zapopan, Jalisco.</t>
  </si>
  <si>
    <t>CONSTRUCCIÓNES COVIMEX, S.A. DE C.V.</t>
  </si>
  <si>
    <t>Construcción de red de drenaje sanitario en la colonia Santa Ana Tepatitlán, municipio de Zapopan, Jalisco.</t>
  </si>
  <si>
    <t>Construcción de tanque de almacenamiento (depósito) de agua en la localidad de San Esteban, municipio de Zapopan, Jalisco, segunda etapa.</t>
  </si>
  <si>
    <t>Construcción de red de drenaje sanitario en calles   de   la   colonia  El Vergel, municipio de Zapopan, Jalisco.</t>
  </si>
  <si>
    <t>Sustitución de drenaje sanitario en la colonia Benito Juárez, municipio de Zapopan, Jalisco.</t>
  </si>
  <si>
    <t>Construcción de red de drenaje sanitario en la colonia Lomas de la Primavera, municipio de Zapopan, Jalisco, primera etapa, frente 1.</t>
  </si>
  <si>
    <t>Construcción de red de drenaje sanitario en la colonia Lomas de la Primavera, municipio de Zapopan, Jalisco, primera etapa, frente 2.</t>
  </si>
  <si>
    <t>Construcción de red de drenaje sanitario en la colonia Lomas de la Primavera, municipio de Zapopan, Jalisco, primera etapa, frente 3.</t>
  </si>
  <si>
    <t>Colonia Santa Ana Tepetitlán</t>
  </si>
  <si>
    <t>Localidad de San Esteban</t>
  </si>
  <si>
    <t>Colonia El Vergel</t>
  </si>
  <si>
    <t>Colonia Benito Juárez</t>
  </si>
  <si>
    <t>Colonia Lomas de la Primavera</t>
  </si>
  <si>
    <t>Colonias Prados Tepeyac y El Zapote</t>
  </si>
  <si>
    <t>JULIO EDUARDO</t>
  </si>
  <si>
    <t>PROYECTOS E INSUMOS INDUSTRIALES JELP, S.A. DE C.V.</t>
  </si>
  <si>
    <t>SERVICIOS METROPOLITANOS DE JALISCO, S.A. DE C.V.</t>
  </si>
  <si>
    <t>SMJ090317FS9</t>
  </si>
  <si>
    <t>Colonias Agua Blanca, El Campanario y Palmira</t>
  </si>
  <si>
    <t>Colonias Mariano Otero, Jardines del Ixtépete y El Briseño</t>
  </si>
  <si>
    <t>GABRIEL</t>
  </si>
  <si>
    <t xml:space="preserve">FRANCO </t>
  </si>
  <si>
    <t>ALATORRE</t>
  </si>
  <si>
    <t>CONSTRUCTORA DE OCCIDENTE MS, S.A. DE C.V.</t>
  </si>
  <si>
    <t>COM141015F48</t>
  </si>
  <si>
    <t xml:space="preserve">ÁNGEL </t>
  </si>
  <si>
    <t>PARTIDA</t>
  </si>
  <si>
    <t>CONSTRUCCIONES CALVEC, S.A. DE C.V.</t>
  </si>
  <si>
    <t>CCA081015II2</t>
  </si>
  <si>
    <t>REGINO</t>
  </si>
  <si>
    <t>RUÍZ DEL CAMPO</t>
  </si>
  <si>
    <t>REGINO RUÍZ DEL CAMPO MEDINA</t>
  </si>
  <si>
    <t>RUMR771116UA8</t>
  </si>
  <si>
    <t>CEIESE CONSTRUCCIÓN Y EDIFICACION, S.A. DE C.V.</t>
  </si>
  <si>
    <t xml:space="preserve">RENÉ </t>
  </si>
  <si>
    <t xml:space="preserve"> ROMO </t>
  </si>
  <si>
    <t>MÁRQUEZ</t>
  </si>
  <si>
    <t>ROALDE CONSTRUCCIONES, S.A. DE C.V.</t>
  </si>
  <si>
    <t>RCO090514SK3</t>
  </si>
  <si>
    <t>DOPI-MUN-CUSMAX-EP-CI-270-2018</t>
  </si>
  <si>
    <t>DOPI-MUN-R33-IH-CI-273-2018</t>
  </si>
  <si>
    <t>DOPI-MUN-R33-DS-CI-274-2018</t>
  </si>
  <si>
    <t>DOPI-MUN-R33-DS-CI-275-2018</t>
  </si>
  <si>
    <t>805 M2</t>
  </si>
  <si>
    <t>1005 M</t>
  </si>
  <si>
    <t>650 M2</t>
  </si>
  <si>
    <t>Construcción de Plazoleta sobre Av. Virreyes, Zona Comercial Landmark-Andares, zona Andares, tercera etapa: obra complementaria, semaforización, accesibilidad, bancas, jardineras, mobiliario urbano, iluminación arquitectónica, alumbrado público y arbolado, municipio de Zapopan, Jalisco.</t>
  </si>
  <si>
    <t>Luis German</t>
  </si>
  <si>
    <t xml:space="preserve">Delgadillo </t>
  </si>
  <si>
    <t>Alcazar</t>
  </si>
  <si>
    <t xml:space="preserve">AXIOMA PROYECTOS E INGENIERÍA, 
S.A. DE C.V.
</t>
  </si>
  <si>
    <t>APE111122MI0</t>
  </si>
  <si>
    <t>Construcción de red de agua potable y red de drenaje sanitario en calles de la colonia Villas de Guadalupe, municipio de Zapopan, Jalisco, segunda etapa.</t>
  </si>
  <si>
    <t>colonia Villas de Guadalupe</t>
  </si>
  <si>
    <t>GUILLERMO</t>
  </si>
  <si>
    <t>LARA</t>
  </si>
  <si>
    <t>DESARROLLADORA GLAR, S.A. DE C.V.</t>
  </si>
  <si>
    <t>DGL060620SUA</t>
  </si>
  <si>
    <t>Construcción de colector de aguas residuales en la colonia Colinas del Rio, municipio de Zapopan, Jalisco, segunda etapa.</t>
  </si>
  <si>
    <t>colonia Colinas del Rio</t>
  </si>
  <si>
    <t xml:space="preserve">CASTAÑEDA </t>
  </si>
  <si>
    <t>LACARIERE</t>
  </si>
  <si>
    <t>LACARIERE EDIFICACIONES, S.A. DE C.V.</t>
  </si>
  <si>
    <t>LED091006JG1</t>
  </si>
  <si>
    <t>Rectificación y revestimiento de canal pluvial de calle Manzanos a calle José Gil Aguilar en la colonia Agua Fría, municipio de Zapopan, Jalisco, primera etapa.</t>
  </si>
  <si>
    <t>colonia Agua Fría</t>
  </si>
  <si>
    <t>DOPI-MUN-RM-IM-AD-286-2018</t>
  </si>
  <si>
    <t>DOPI-MUN-RM-IM-AD-287-2018</t>
  </si>
  <si>
    <t>DOPI-MUN-RM-IM-AD-288-2018</t>
  </si>
  <si>
    <t>DOPI-MUN-RM-MOV-AD-289-2018</t>
  </si>
  <si>
    <t>1445 M</t>
  </si>
  <si>
    <t>200 M2</t>
  </si>
  <si>
    <t xml:space="preserve"> M2</t>
  </si>
  <si>
    <t>Peatonalización (banquetas y obras de accesibilidad) en la Glorieta Chapalita y en la Av. Guadalupe de la Glorieta Chapalita a la Av. Niño Obrero, en la Colonia Chapalita, municipio de Zapopan, Jalisco. Frente 3.</t>
  </si>
  <si>
    <t>GABRIELA CECILIA</t>
  </si>
  <si>
    <t xml:space="preserve">RUÍZ  </t>
  </si>
  <si>
    <t>CONSTRUCTORA TGV, S.A. DE C.V.</t>
  </si>
  <si>
    <t>CTG070803966</t>
  </si>
  <si>
    <t>Peatonalización (banquetas y obras de accesibilidad) en la Glorieta Chapalita y en la Av. Guadalupe de la Glorieta Chapalita a la Av. Niño Obrero, en la Colonia Chapalita, municipio de Zapopan, Jalisco. Frente 4.</t>
  </si>
  <si>
    <t>GUSTAVO ALEJANDRO</t>
  </si>
  <si>
    <t>LEDEZMA</t>
  </si>
  <si>
    <t xml:space="preserve"> CERVANTES</t>
  </si>
  <si>
    <t>EDIFICACIONES Y PROYECTOS ROCA, S.A. DE C.V.</t>
  </si>
  <si>
    <t>EPR131016I71</t>
  </si>
  <si>
    <t>Instalaciones eléctricas, pluviales, equipamiento, áreas verdes y señalamiento horizontal y vertical en la Glorieta Chapalita y en la Av. Guadalupe de la Glorieta Chapalita a la Av. Niño Obrero, en la Colonia Chapalita, municipio de Zapopan.</t>
  </si>
  <si>
    <t>MERCADO</t>
  </si>
  <si>
    <t>ANITSUJ, S.A. DE C.V.</t>
  </si>
  <si>
    <t>ANI1102217W2</t>
  </si>
  <si>
    <t>Construcción de reductores de velocidad y rampas de acceso en la Glorieta Chapalita y en la Av. Guadalupe de la Glorieta Chapalita a la Av. Niño Obrero, en la Colonia Chapalita, municipio de Zapopan, Jalisco.</t>
  </si>
  <si>
    <t>Periodo de actualización de la información: ENERO 2019</t>
  </si>
  <si>
    <t>Fecha de actualización: 05/02/2019</t>
  </si>
  <si>
    <t>Fecha de validación: 05/02/2019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</si>
</sst>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8" formatCode="&quot;$&quot;#,##0.00;[Red]\-&quot;$&quot;#,##0.00"/>
    <numFmt numFmtId="44" formatCode="_-&quot;$&quot;* #,##0.00_-;\-&quot;$&quot;* #,##0.00_-;_-&quot;$&quot;* &quot;-&quot;??_-;_-@_-"/>
    <numFmt numFmtId="43" formatCode="_-* #,##0.00_-;\-* #,##0.00_-;_-* &quot;-&quot;??_-;_-@_-"/>
    <numFmt numFmtId="164" formatCode="&quot;$&quot;#,##0.00"/>
    <numFmt numFmtId="165" formatCode="_-[$€-2]* #,##0.00_-;\-[$€-2]* #,##0.00_-;_-[$€-2]* &quot;-&quot;??_-"/>
    <numFmt numFmtId="166" formatCode="_([$€-2]* #,##0.00_);_([$€-2]* \(#,##0.00\);_([$€-2]* &quot;-&quot;??_)"/>
    <numFmt numFmtId="167" formatCode="[$$-80A]#,##0.00"/>
    <numFmt numFmtId="168" formatCode="dd/mmmm/yyyy"/>
    <numFmt numFmtId="169" formatCode="_-* #,##0.00&quot; €&quot;_-;\-* #,##0.00&quot; €&quot;_-;_-* \-??&quot; €&quot;_-;_-@_-"/>
    <numFmt numFmtId="170" formatCode="[$-F800]dddd\,\ mmmm\ dd\,\ yyyy"/>
    <numFmt numFmtId="171" formatCode="d/mmmm"/>
    <numFmt numFmtId="172" formatCode="[$-80A]d&quot; de &quot;mmmm&quot; de &quot;yyyy;@"/>
    <numFmt numFmtId="173" formatCode="[$-80A]dddd\,\ dd&quot; de &quot;mmmm&quot; de &quot;yyyy"/>
    <numFmt numFmtId="174" formatCode="_(&quot;$&quot;* #,##0.00_);_(&quot;$&quot;* \(#,##0.00\);_(&quot;$&quot;* &quot;-&quot;??_);_(@_)"/>
  </numFmts>
  <fonts count="37">
    <font>
      <sz val="11"/>
      <color theme="1"/>
      <name val="Calibri"/>
      <family val="2"/>
      <scheme val="minor"/>
    </font>
    <font>
      <sz val="9"/>
      <color theme="1"/>
      <name val="Arial"/>
      <family val="2"/>
    </font>
    <font>
      <sz val="8"/>
      <color rgb="FF000000"/>
      <name val="Century Gothic"/>
      <family val="2"/>
    </font>
    <font>
      <sz val="8"/>
      <color theme="1"/>
      <name val="Century Gothic"/>
      <family val="2"/>
    </font>
    <font>
      <sz val="8"/>
      <name val="Century Gothic"/>
      <family val="2"/>
    </font>
    <font>
      <b/>
      <sz val="8"/>
      <color rgb="FF000000"/>
      <name val="Century Gothic"/>
      <family val="2"/>
    </font>
    <font>
      <u/>
      <sz val="11"/>
      <color theme="10"/>
      <name val="Calibri"/>
      <family val="2"/>
      <scheme val="minor"/>
    </font>
    <font>
      <sz val="11"/>
      <color theme="1"/>
      <name val="Calibri"/>
      <family val="2"/>
      <scheme val="minor"/>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theme="1"/>
      <name val="Arial"/>
      <family val="2"/>
    </font>
    <font>
      <b/>
      <sz val="11"/>
      <color indexed="56"/>
      <name val="Calibri"/>
      <family val="2"/>
    </font>
    <font>
      <sz val="12"/>
      <color indexed="9"/>
      <name val="AvantGarde Bk BT"/>
      <family val="2"/>
    </font>
    <font>
      <sz val="11"/>
      <color indexed="62"/>
      <name val="Calibri"/>
      <family val="2"/>
    </font>
    <font>
      <sz val="10"/>
      <name val="Arial"/>
      <family val="2"/>
    </font>
    <font>
      <u/>
      <sz val="11"/>
      <color theme="10"/>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u/>
      <sz val="8"/>
      <color theme="10"/>
      <name val="Century Gothic"/>
      <family val="2"/>
    </font>
    <font>
      <sz val="12"/>
      <color theme="1"/>
      <name val="Calibri"/>
      <family val="2"/>
      <scheme val="minor"/>
    </font>
    <font>
      <sz val="10"/>
      <color rgb="FF000000"/>
      <name val="Arial"/>
      <family val="2"/>
    </font>
    <font>
      <sz val="11"/>
      <color indexed="8"/>
      <name val="Calibri"/>
      <family val="2"/>
      <scheme val="minor"/>
    </font>
    <font>
      <b/>
      <sz val="14"/>
      <color theme="1"/>
      <name val="Century Gothic"/>
      <family val="2"/>
    </font>
    <font>
      <b/>
      <sz val="9"/>
      <color rgb="FF000000"/>
      <name val="Century Gothic"/>
      <family val="2"/>
    </font>
    <font>
      <sz val="8"/>
      <color theme="1"/>
      <name val="Century"/>
      <family val="1"/>
    </font>
    <font>
      <b/>
      <sz val="10"/>
      <color theme="1"/>
      <name val="Century Gothic"/>
    </font>
  </fonts>
  <fills count="2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39997558519241921"/>
        <bgColor indexed="64"/>
      </patternFill>
    </fill>
  </fills>
  <borders count="22">
    <border>
      <left/>
      <right/>
      <top/>
      <bottom/>
      <diagonal/>
    </border>
    <border>
      <left style="dotted">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dotted">
        <color indexed="64"/>
      </left>
      <right style="dotted">
        <color indexed="64"/>
      </right>
      <top style="dotted">
        <color indexed="64"/>
      </top>
      <bottom style="dotted">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1658">
    <xf numFmtId="0" fontId="0" fillId="0" borderId="0"/>
    <xf numFmtId="0" fontId="1" fillId="0" borderId="0"/>
    <xf numFmtId="0" fontId="6" fillId="0" borderId="0" applyNumberFormat="0" applyFill="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10" fillId="6" borderId="0" applyNumberFormat="0" applyBorder="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2" fillId="19" borderId="9" applyNumberFormat="0" applyAlignment="0" applyProtection="0"/>
    <xf numFmtId="0" fontId="13" fillId="0" borderId="10" applyNumberFormat="0" applyFill="0" applyAlignment="0" applyProtection="0"/>
    <xf numFmtId="43" fontId="7" fillId="0" borderId="0" applyFont="0" applyFill="0" applyBorder="0" applyAlignment="0" applyProtection="0"/>
    <xf numFmtId="43" fontId="7" fillId="0" borderId="0" applyFont="0" applyFill="0" applyBorder="0" applyAlignment="0" applyProtection="0"/>
    <xf numFmtId="44" fontId="14" fillId="0" borderId="0" applyFont="0" applyFill="0" applyBorder="0" applyAlignment="0" applyProtection="0"/>
    <xf numFmtId="0" fontId="15" fillId="0" borderId="0" applyNumberFormat="0" applyFill="0" applyBorder="0" applyAlignment="0" applyProtection="0"/>
    <xf numFmtId="0" fontId="16" fillId="20"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23" borderId="0" applyNumberFormat="0" applyBorder="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165"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18" fillId="0" borderId="0" applyFont="0" applyFill="0" applyBorder="0" applyAlignment="0" applyProtection="0"/>
    <xf numFmtId="165" fontId="18" fillId="0" borderId="0" applyFont="0" applyFill="0" applyBorder="0" applyAlignment="0" applyProtection="0"/>
    <xf numFmtId="166"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0" fontId="18" fillId="0" borderId="0" applyFont="0" applyFill="0" applyBorder="0" applyAlignment="0" applyProtection="0"/>
    <xf numFmtId="166" fontId="18" fillId="0" borderId="0" applyFont="0" applyFill="0" applyBorder="0" applyAlignment="0" applyProtection="0"/>
    <xf numFmtId="0" fontId="18" fillId="0" borderId="0" applyFont="0" applyFill="0" applyBorder="0" applyAlignment="0" applyProtection="0"/>
    <xf numFmtId="166" fontId="18" fillId="0" borderId="0" applyFont="0" applyFill="0" applyBorder="0" applyAlignment="0" applyProtection="0"/>
    <xf numFmtId="0"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5" fontId="18" fillId="0" borderId="0" applyFont="0" applyFill="0" applyBorder="0" applyAlignment="0" applyProtection="0"/>
    <xf numFmtId="0" fontId="19" fillId="0" borderId="0" applyNumberFormat="0" applyFill="0" applyBorder="0" applyAlignment="0" applyProtection="0">
      <alignment vertical="top"/>
      <protection locked="0"/>
    </xf>
    <xf numFmtId="0" fontId="6" fillId="0" borderId="0" applyNumberFormat="0" applyFill="0" applyBorder="0" applyAlignment="0" applyProtection="0"/>
    <xf numFmtId="0" fontId="20" fillId="5"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7"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7"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8" fontId="18" fillId="0" borderId="0" applyFont="0" applyFill="0" applyBorder="0" applyAlignment="0" applyProtection="0"/>
    <xf numFmtId="167" fontId="18" fillId="0" borderId="0" applyFont="0" applyFill="0" applyBorder="0" applyAlignment="0" applyProtection="0"/>
    <xf numFmtId="168"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9" fontId="18" fillId="0" borderId="0" applyFill="0" applyBorder="0" applyAlignment="0" applyProtection="0"/>
    <xf numFmtId="44" fontId="18" fillId="0" borderId="0" applyFont="0" applyFill="0" applyBorder="0" applyAlignment="0" applyProtection="0"/>
    <xf numFmtId="170"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71" fontId="18" fillId="0" borderId="0" applyFont="0" applyFill="0" applyBorder="0" applyAlignment="0" applyProtection="0"/>
    <xf numFmtId="44" fontId="18" fillId="0" borderId="0" applyFont="0" applyFill="0" applyBorder="0" applyAlignment="0" applyProtection="0"/>
    <xf numFmtId="171" fontId="18" fillId="0" borderId="0" applyFont="0" applyFill="0" applyBorder="0" applyAlignment="0" applyProtection="0"/>
    <xf numFmtId="44"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0" fontId="18" fillId="0" borderId="0" applyFont="0" applyFill="0" applyBorder="0" applyAlignment="0" applyProtection="0"/>
    <xf numFmtId="44"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2" fontId="18" fillId="0" borderId="0" applyFont="0" applyFill="0" applyBorder="0" applyAlignment="0" applyProtection="0"/>
    <xf numFmtId="173" fontId="18" fillId="0" borderId="0" applyFont="0" applyFill="0" applyBorder="0" applyAlignment="0" applyProtection="0"/>
    <xf numFmtId="166" fontId="18" fillId="0" borderId="0" applyFont="0" applyFill="0" applyBorder="0" applyAlignment="0" applyProtection="0"/>
    <xf numFmtId="0"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7" fontId="18" fillId="0" borderId="0" applyFont="0" applyFill="0" applyBorder="0" applyAlignment="0" applyProtection="0"/>
    <xf numFmtId="0" fontId="21" fillId="24"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18" fillId="0" borderId="0"/>
    <xf numFmtId="0" fontId="18" fillId="0" borderId="0"/>
    <xf numFmtId="0" fontId="18" fillId="0" borderId="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9" fontId="18" fillId="0" borderId="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13" applyNumberFormat="0" applyFill="0" applyAlignment="0" applyProtection="0"/>
    <xf numFmtId="0" fontId="26" fillId="0" borderId="14" applyNumberFormat="0" applyFill="0" applyAlignment="0" applyProtection="0"/>
    <xf numFmtId="0" fontId="15" fillId="0" borderId="15" applyNumberFormat="0" applyFill="0" applyAlignment="0" applyProtection="0"/>
    <xf numFmtId="0" fontId="27" fillId="0" borderId="0" applyNumberFormat="0" applyFill="0" applyBorder="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1" fillId="18"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6" fillId="0" borderId="0" applyNumberFormat="0" applyFill="0" applyBorder="0" applyAlignment="0" applyProtection="0"/>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174" fontId="18" fillId="0" borderId="0" applyFont="0" applyFill="0" applyBorder="0" applyAlignment="0" applyProtection="0"/>
    <xf numFmtId="0" fontId="7" fillId="0" borderId="0"/>
    <xf numFmtId="0" fontId="7" fillId="0" borderId="0"/>
    <xf numFmtId="0" fontId="7" fillId="0" borderId="0"/>
    <xf numFmtId="0" fontId="7" fillId="0" borderId="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18" fillId="25" borderId="11" applyNumberFormat="0" applyFon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2" fillId="18" borderId="12" applyNumberFormat="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19" fillId="0" borderId="0" applyNumberFormat="0" applyFill="0" applyBorder="0" applyAlignment="0" applyProtection="0">
      <alignment vertical="top"/>
      <protection locked="0"/>
    </xf>
    <xf numFmtId="44" fontId="14" fillId="0" borderId="0" applyFont="0" applyFill="0" applyBorder="0" applyAlignment="0" applyProtection="0"/>
    <xf numFmtId="0" fontId="7" fillId="0" borderId="0"/>
    <xf numFmtId="0" fontId="30" fillId="0" borderId="0"/>
    <xf numFmtId="44" fontId="7" fillId="0" borderId="0" applyFont="0" applyFill="0" applyBorder="0" applyAlignment="0" applyProtection="0"/>
    <xf numFmtId="44" fontId="8" fillId="0" borderId="0" applyFont="0" applyFill="0" applyBorder="0" applyAlignment="0" applyProtection="0"/>
    <xf numFmtId="0" fontId="31" fillId="0" borderId="0" applyNumberFormat="0" applyBorder="0" applyProtection="0"/>
    <xf numFmtId="0" fontId="7" fillId="0" borderId="0"/>
    <xf numFmtId="9" fontId="14" fillId="0" borderId="0" applyFont="0" applyFill="0" applyBorder="0" applyAlignment="0" applyProtection="0"/>
    <xf numFmtId="0" fontId="7" fillId="0" borderId="0"/>
    <xf numFmtId="0" fontId="19" fillId="0" borderId="0" applyNumberFormat="0" applyFill="0" applyBorder="0" applyAlignment="0" applyProtection="0">
      <alignment vertical="top"/>
      <protection locked="0"/>
    </xf>
    <xf numFmtId="0" fontId="6" fillId="0" borderId="0" applyNumberFormat="0" applyFill="0" applyBorder="0" applyAlignment="0" applyProtection="0"/>
    <xf numFmtId="0" fontId="32" fillId="0" borderId="0"/>
    <xf numFmtId="44" fontId="7" fillId="0" borderId="0" applyFont="0" applyFill="0" applyBorder="0" applyAlignment="0" applyProtection="0"/>
  </cellStyleXfs>
  <cellXfs count="52">
    <xf numFmtId="0" fontId="0" fillId="0" borderId="0" xfId="0"/>
    <xf numFmtId="0" fontId="0" fillId="2" borderId="0" xfId="0" applyFill="1"/>
    <xf numFmtId="0" fontId="0" fillId="0" borderId="1" xfId="0" applyBorder="1"/>
    <xf numFmtId="0" fontId="0" fillId="0" borderId="0" xfId="0" applyBorder="1"/>
    <xf numFmtId="0" fontId="0" fillId="0" borderId="0" xfId="0" applyFill="1" applyBorder="1"/>
    <xf numFmtId="0" fontId="0" fillId="0" borderId="0" xfId="0" applyAlignment="1">
      <alignment horizontal="center" vertical="center"/>
    </xf>
    <xf numFmtId="0" fontId="0" fillId="2" borderId="0" xfId="0" applyFill="1" applyAlignment="1">
      <alignment horizontal="center" vertical="center"/>
    </xf>
    <xf numFmtId="0" fontId="34" fillId="3" borderId="2" xfId="0" applyFont="1" applyFill="1" applyBorder="1" applyAlignment="1">
      <alignment horizontal="center" vertical="center" wrapText="1"/>
    </xf>
    <xf numFmtId="0" fontId="29" fillId="2" borderId="17" xfId="2" applyFont="1" applyFill="1" applyBorder="1" applyAlignment="1">
      <alignment horizontal="center" vertical="center" wrapText="1"/>
    </xf>
    <xf numFmtId="0" fontId="0" fillId="0" borderId="0" xfId="0"/>
    <xf numFmtId="0" fontId="0" fillId="0" borderId="0" xfId="0" applyAlignment="1">
      <alignment horizontal="center" vertical="center"/>
    </xf>
    <xf numFmtId="0" fontId="2" fillId="2" borderId="17" xfId="0" applyFont="1" applyFill="1" applyBorder="1" applyAlignment="1">
      <alignment horizontal="center" vertical="center" wrapText="1"/>
    </xf>
    <xf numFmtId="0" fontId="3" fillId="2" borderId="17" xfId="0" applyFont="1" applyFill="1" applyBorder="1" applyAlignment="1">
      <alignment horizontal="center" vertical="center"/>
    </xf>
    <xf numFmtId="14" fontId="3" fillId="2" borderId="17" xfId="0" applyNumberFormat="1" applyFont="1" applyFill="1" applyBorder="1" applyAlignment="1">
      <alignment horizontal="center" vertical="center"/>
    </xf>
    <xf numFmtId="0" fontId="3" fillId="2" borderId="17" xfId="0" applyFont="1" applyFill="1" applyBorder="1" applyAlignment="1">
      <alignment horizontal="center" vertical="center" wrapText="1"/>
    </xf>
    <xf numFmtId="164" fontId="3" fillId="2" borderId="17" xfId="0" applyNumberFormat="1" applyFont="1" applyFill="1" applyBorder="1" applyAlignment="1">
      <alignment horizontal="center" vertical="center"/>
    </xf>
    <xf numFmtId="0" fontId="29" fillId="2" borderId="17" xfId="162" applyFont="1" applyFill="1" applyBorder="1" applyAlignment="1" applyProtection="1">
      <alignment horizontal="center" vertical="center" wrapText="1"/>
    </xf>
    <xf numFmtId="3" fontId="3" fillId="2" borderId="17" xfId="0" applyNumberFormat="1" applyFont="1" applyFill="1" applyBorder="1" applyAlignment="1">
      <alignment horizontal="center" vertical="center"/>
    </xf>
    <xf numFmtId="0" fontId="29" fillId="2" borderId="17" xfId="2" applyFont="1" applyFill="1" applyBorder="1" applyAlignment="1" applyProtection="1">
      <alignment horizontal="center" vertical="center" wrapText="1"/>
    </xf>
    <xf numFmtId="8" fontId="3" fillId="2" borderId="17" xfId="0" applyNumberFormat="1" applyFont="1" applyFill="1" applyBorder="1" applyAlignment="1">
      <alignment horizontal="center" vertical="center"/>
    </xf>
    <xf numFmtId="4" fontId="3" fillId="2" borderId="17" xfId="0" applyNumberFormat="1" applyFont="1" applyFill="1" applyBorder="1" applyAlignment="1">
      <alignment horizontal="center" vertical="center"/>
    </xf>
    <xf numFmtId="0" fontId="4" fillId="2" borderId="17" xfId="0" applyFont="1" applyFill="1" applyBorder="1" applyAlignment="1">
      <alignment horizontal="center" vertical="center"/>
    </xf>
    <xf numFmtId="164" fontId="4" fillId="2" borderId="17" xfId="0" applyNumberFormat="1" applyFont="1" applyFill="1" applyBorder="1" applyAlignment="1">
      <alignment horizontal="center" vertical="center"/>
    </xf>
    <xf numFmtId="3" fontId="4" fillId="2" borderId="17" xfId="0" applyNumberFormat="1" applyFont="1" applyFill="1" applyBorder="1" applyAlignment="1">
      <alignment horizontal="center" vertical="center"/>
    </xf>
    <xf numFmtId="164" fontId="3" fillId="2" borderId="17" xfId="0" applyNumberFormat="1" applyFont="1" applyFill="1" applyBorder="1" applyAlignment="1">
      <alignment horizontal="center" vertical="center" wrapText="1"/>
    </xf>
    <xf numFmtId="14" fontId="3" fillId="2" borderId="17" xfId="0" applyNumberFormat="1" applyFont="1" applyFill="1" applyBorder="1" applyAlignment="1">
      <alignment horizontal="center" vertical="center" wrapText="1"/>
    </xf>
    <xf numFmtId="0" fontId="4" fillId="2" borderId="17" xfId="0" applyFont="1" applyFill="1" applyBorder="1" applyAlignment="1">
      <alignment horizontal="center" vertical="center" wrapText="1"/>
    </xf>
    <xf numFmtId="164" fontId="4" fillId="2" borderId="17" xfId="0" applyNumberFormat="1" applyFont="1" applyFill="1" applyBorder="1" applyAlignment="1">
      <alignment horizontal="center" vertical="center" wrapText="1"/>
    </xf>
    <xf numFmtId="3" fontId="3" fillId="2" borderId="17" xfId="0" applyNumberFormat="1" applyFont="1" applyFill="1" applyBorder="1" applyAlignment="1">
      <alignment horizontal="center" vertical="center" wrapText="1"/>
    </xf>
    <xf numFmtId="0" fontId="0" fillId="0" borderId="18" xfId="0" applyBorder="1" applyAlignment="1">
      <alignment horizontal="center" vertical="center" wrapText="1"/>
    </xf>
    <xf numFmtId="0" fontId="0" fillId="0" borderId="18" xfId="0" applyBorder="1" applyAlignment="1">
      <alignment horizontal="center" vertical="center"/>
    </xf>
    <xf numFmtId="0" fontId="3" fillId="0" borderId="17" xfId="0" applyFont="1" applyBorder="1" applyAlignment="1">
      <alignment horizontal="center" vertical="center" wrapText="1"/>
    </xf>
    <xf numFmtId="44" fontId="3" fillId="0" borderId="17" xfId="0" applyNumberFormat="1" applyFont="1" applyBorder="1" applyAlignment="1">
      <alignment horizontal="center" vertical="center" wrapText="1"/>
    </xf>
    <xf numFmtId="0" fontId="3" fillId="0" borderId="17" xfId="0" applyFont="1" applyFill="1" applyBorder="1" applyAlignment="1">
      <alignment horizontal="center" vertical="center" wrapText="1"/>
    </xf>
    <xf numFmtId="0" fontId="3" fillId="0" borderId="17" xfId="0" applyFont="1" applyBorder="1"/>
    <xf numFmtId="0" fontId="35" fillId="0" borderId="17" xfId="0" applyFont="1" applyBorder="1" applyAlignment="1">
      <alignment horizontal="center" vertical="center" wrapText="1"/>
    </xf>
    <xf numFmtId="0" fontId="35" fillId="0" borderId="17" xfId="0" applyFont="1" applyFill="1" applyBorder="1" applyAlignment="1">
      <alignment horizontal="center" vertical="center" wrapText="1"/>
    </xf>
    <xf numFmtId="14" fontId="35" fillId="0" borderId="17" xfId="0" applyNumberFormat="1" applyFont="1" applyBorder="1" applyAlignment="1">
      <alignment horizontal="center" vertical="center" wrapText="1"/>
    </xf>
    <xf numFmtId="44" fontId="35" fillId="0" borderId="17" xfId="1657" applyFont="1" applyBorder="1" applyAlignment="1">
      <alignment horizontal="center" vertical="center" wrapText="1"/>
    </xf>
    <xf numFmtId="0" fontId="0" fillId="0" borderId="17" xfId="0" applyBorder="1"/>
    <xf numFmtId="0" fontId="36" fillId="26" borderId="17" xfId="0" applyFont="1" applyFill="1" applyBorder="1" applyAlignment="1">
      <alignment horizontal="left" vertical="center"/>
    </xf>
    <xf numFmtId="0" fontId="33" fillId="2" borderId="20" xfId="1" applyFont="1" applyFill="1" applyBorder="1" applyAlignment="1">
      <alignment horizontal="center" vertical="center"/>
    </xf>
    <xf numFmtId="0" fontId="33" fillId="2" borderId="19" xfId="1" applyFont="1" applyFill="1" applyBorder="1" applyAlignment="1">
      <alignment horizontal="center" vertical="center"/>
    </xf>
    <xf numFmtId="0" fontId="33" fillId="2" borderId="21" xfId="1" applyFont="1" applyFill="1" applyBorder="1" applyAlignment="1">
      <alignment horizontal="center" vertical="center"/>
    </xf>
    <xf numFmtId="0" fontId="33" fillId="2" borderId="3" xfId="1" applyFont="1" applyFill="1" applyBorder="1" applyAlignment="1">
      <alignment horizontal="center" vertical="center" wrapText="1"/>
    </xf>
    <xf numFmtId="0" fontId="33" fillId="2" borderId="0" xfId="1" applyFont="1" applyFill="1" applyBorder="1" applyAlignment="1">
      <alignment horizontal="center" vertical="center" wrapText="1"/>
    </xf>
    <xf numFmtId="0" fontId="33" fillId="2" borderId="4" xfId="1" applyFont="1" applyFill="1" applyBorder="1" applyAlignment="1">
      <alignment horizontal="center" vertical="center" wrapText="1"/>
    </xf>
    <xf numFmtId="0" fontId="33" fillId="2" borderId="5" xfId="1" applyFont="1" applyFill="1" applyBorder="1" applyAlignment="1">
      <alignment horizontal="center" vertical="center"/>
    </xf>
    <xf numFmtId="0" fontId="33" fillId="2" borderId="6" xfId="1" applyFont="1" applyFill="1" applyBorder="1" applyAlignment="1">
      <alignment horizontal="center" vertical="center"/>
    </xf>
    <xf numFmtId="0" fontId="33" fillId="2" borderId="7" xfId="1" applyFont="1" applyFill="1" applyBorder="1" applyAlignment="1">
      <alignment horizontal="center" vertical="center"/>
    </xf>
    <xf numFmtId="0" fontId="5" fillId="3" borderId="2" xfId="0" applyFont="1" applyFill="1" applyBorder="1" applyAlignment="1">
      <alignment horizontal="center" vertical="center" wrapText="1"/>
    </xf>
    <xf numFmtId="0" fontId="34" fillId="3" borderId="2" xfId="0" applyFont="1" applyFill="1" applyBorder="1" applyAlignment="1">
      <alignment horizontal="center" vertical="center" wrapText="1"/>
    </xf>
  </cellXfs>
  <cellStyles count="1658">
    <cellStyle name="20% - Énfasis1 2" xfId="3"/>
    <cellStyle name="20% - Énfasis2 2" xfId="4"/>
    <cellStyle name="20% - Énfasis3 2" xfId="5"/>
    <cellStyle name="20% - Énfasis4 2" xfId="6"/>
    <cellStyle name="20% - Énfasis5 2" xfId="7"/>
    <cellStyle name="20% - Énfasis6 2" xfId="8"/>
    <cellStyle name="40% - Énfasis1 2" xfId="9"/>
    <cellStyle name="40% - Énfasis2 2" xfId="10"/>
    <cellStyle name="40% - Énfasis3 2" xfId="11"/>
    <cellStyle name="40% - Énfasis4 2" xfId="12"/>
    <cellStyle name="40% - Énfasis5 2" xfId="13"/>
    <cellStyle name="40% - Énfasis6 2" xfId="14"/>
    <cellStyle name="60% - Énfasis1 2" xfId="15"/>
    <cellStyle name="60% - Énfasis2 2" xfId="16"/>
    <cellStyle name="60% - Énfasis3 2" xfId="17"/>
    <cellStyle name="60% - Énfasis4 2" xfId="18"/>
    <cellStyle name="60% - Énfasis5 2" xfId="19"/>
    <cellStyle name="60% - Énfasis6 2" xfId="20"/>
    <cellStyle name="Buena 2" xfId="21"/>
    <cellStyle name="Cálculo 2" xfId="22"/>
    <cellStyle name="Cálculo 2 10" xfId="23"/>
    <cellStyle name="Cálculo 2 10 2" xfId="24"/>
    <cellStyle name="Cálculo 2 10 2 2" xfId="1366"/>
    <cellStyle name="Cálculo 2 10 2 3" xfId="1367"/>
    <cellStyle name="Cálculo 2 10 2 4" xfId="1368"/>
    <cellStyle name="Cálculo 2 10 3" xfId="25"/>
    <cellStyle name="Cálculo 2 11" xfId="26"/>
    <cellStyle name="Cálculo 2 11 2" xfId="27"/>
    <cellStyle name="Cálculo 2 11 2 2" xfId="1369"/>
    <cellStyle name="Cálculo 2 11 2 3" xfId="1370"/>
    <cellStyle name="Cálculo 2 11 2 4" xfId="1371"/>
    <cellStyle name="Cálculo 2 11 3" xfId="28"/>
    <cellStyle name="Cálculo 2 12" xfId="29"/>
    <cellStyle name="Cálculo 2 12 2" xfId="30"/>
    <cellStyle name="Cálculo 2 12 2 2" xfId="1372"/>
    <cellStyle name="Cálculo 2 12 2 3" xfId="1373"/>
    <cellStyle name="Cálculo 2 12 2 4" xfId="1374"/>
    <cellStyle name="Cálculo 2 12 3" xfId="31"/>
    <cellStyle name="Cálculo 2 13" xfId="32"/>
    <cellStyle name="Cálculo 2 13 2" xfId="33"/>
    <cellStyle name="Cálculo 2 13 2 2" xfId="1375"/>
    <cellStyle name="Cálculo 2 13 2 3" xfId="1376"/>
    <cellStyle name="Cálculo 2 13 2 4" xfId="1377"/>
    <cellStyle name="Cálculo 2 13 3" xfId="34"/>
    <cellStyle name="Cálculo 2 14" xfId="35"/>
    <cellStyle name="Cálculo 2 14 2" xfId="36"/>
    <cellStyle name="Cálculo 2 14 2 2" xfId="1378"/>
    <cellStyle name="Cálculo 2 14 2 3" xfId="1379"/>
    <cellStyle name="Cálculo 2 14 2 4" xfId="1380"/>
    <cellStyle name="Cálculo 2 14 3" xfId="37"/>
    <cellStyle name="Cálculo 2 15" xfId="38"/>
    <cellStyle name="Cálculo 2 15 2" xfId="39"/>
    <cellStyle name="Cálculo 2 15 2 2" xfId="1381"/>
    <cellStyle name="Cálculo 2 15 2 3" xfId="1382"/>
    <cellStyle name="Cálculo 2 15 2 4" xfId="1383"/>
    <cellStyle name="Cálculo 2 15 3" xfId="40"/>
    <cellStyle name="Cálculo 2 16" xfId="41"/>
    <cellStyle name="Cálculo 2 16 2" xfId="42"/>
    <cellStyle name="Cálculo 2 16 2 2" xfId="1384"/>
    <cellStyle name="Cálculo 2 16 2 3" xfId="1385"/>
    <cellStyle name="Cálculo 2 16 2 4" xfId="1386"/>
    <cellStyle name="Cálculo 2 16 3" xfId="43"/>
    <cellStyle name="Cálculo 2 17" xfId="44"/>
    <cellStyle name="Cálculo 2 17 2" xfId="45"/>
    <cellStyle name="Cálculo 2 17 2 2" xfId="1387"/>
    <cellStyle name="Cálculo 2 17 2 3" xfId="1388"/>
    <cellStyle name="Cálculo 2 17 2 4" xfId="1389"/>
    <cellStyle name="Cálculo 2 17 3" xfId="46"/>
    <cellStyle name="Cálculo 2 18" xfId="47"/>
    <cellStyle name="Cálculo 2 18 2" xfId="48"/>
    <cellStyle name="Cálculo 2 18 2 2" xfId="1390"/>
    <cellStyle name="Cálculo 2 18 2 3" xfId="1391"/>
    <cellStyle name="Cálculo 2 18 2 4" xfId="1392"/>
    <cellStyle name="Cálculo 2 18 3" xfId="49"/>
    <cellStyle name="Cálculo 2 19" xfId="50"/>
    <cellStyle name="Cálculo 2 19 2" xfId="1393"/>
    <cellStyle name="Cálculo 2 19 3" xfId="1394"/>
    <cellStyle name="Cálculo 2 19 4" xfId="1395"/>
    <cellStyle name="Cálculo 2 2" xfId="51"/>
    <cellStyle name="Cálculo 2 2 2" xfId="52"/>
    <cellStyle name="Cálculo 2 2 2 2" xfId="1396"/>
    <cellStyle name="Cálculo 2 2 2 3" xfId="1397"/>
    <cellStyle name="Cálculo 2 2 2 4" xfId="1398"/>
    <cellStyle name="Cálculo 2 2 3" xfId="53"/>
    <cellStyle name="Cálculo 2 20" xfId="54"/>
    <cellStyle name="Cálculo 2 3" xfId="55"/>
    <cellStyle name="Cálculo 2 3 2" xfId="56"/>
    <cellStyle name="Cálculo 2 3 2 2" xfId="1399"/>
    <cellStyle name="Cálculo 2 3 2 3" xfId="1400"/>
    <cellStyle name="Cálculo 2 3 2 4" xfId="1401"/>
    <cellStyle name="Cálculo 2 3 3" xfId="57"/>
    <cellStyle name="Cálculo 2 4" xfId="58"/>
    <cellStyle name="Cálculo 2 4 2" xfId="59"/>
    <cellStyle name="Cálculo 2 4 2 2" xfId="1402"/>
    <cellStyle name="Cálculo 2 4 2 3" xfId="1403"/>
    <cellStyle name="Cálculo 2 4 2 4" xfId="1404"/>
    <cellStyle name="Cálculo 2 4 3" xfId="60"/>
    <cellStyle name="Cálculo 2 5" xfId="61"/>
    <cellStyle name="Cálculo 2 5 2" xfId="62"/>
    <cellStyle name="Cálculo 2 5 2 2" xfId="1405"/>
    <cellStyle name="Cálculo 2 5 2 3" xfId="1406"/>
    <cellStyle name="Cálculo 2 5 2 4" xfId="1407"/>
    <cellStyle name="Cálculo 2 5 3" xfId="63"/>
    <cellStyle name="Cálculo 2 6" xfId="64"/>
    <cellStyle name="Cálculo 2 6 2" xfId="65"/>
    <cellStyle name="Cálculo 2 6 2 2" xfId="1408"/>
    <cellStyle name="Cálculo 2 6 2 3" xfId="1409"/>
    <cellStyle name="Cálculo 2 6 2 4" xfId="1410"/>
    <cellStyle name="Cálculo 2 6 3" xfId="66"/>
    <cellStyle name="Cálculo 2 7" xfId="67"/>
    <cellStyle name="Cálculo 2 7 2" xfId="68"/>
    <cellStyle name="Cálculo 2 7 2 2" xfId="1411"/>
    <cellStyle name="Cálculo 2 7 2 3" xfId="1412"/>
    <cellStyle name="Cálculo 2 7 2 4" xfId="1413"/>
    <cellStyle name="Cálculo 2 7 3" xfId="69"/>
    <cellStyle name="Cálculo 2 8" xfId="70"/>
    <cellStyle name="Cálculo 2 8 2" xfId="71"/>
    <cellStyle name="Cálculo 2 8 2 2" xfId="1414"/>
    <cellStyle name="Cálculo 2 8 2 3" xfId="1415"/>
    <cellStyle name="Cálculo 2 8 2 4" xfId="1416"/>
    <cellStyle name="Cálculo 2 8 3" xfId="72"/>
    <cellStyle name="Cálculo 2 9" xfId="73"/>
    <cellStyle name="Cálculo 2 9 2" xfId="74"/>
    <cellStyle name="Cálculo 2 9 2 2" xfId="1417"/>
    <cellStyle name="Cálculo 2 9 2 3" xfId="1418"/>
    <cellStyle name="Cálculo 2 9 2 4" xfId="1419"/>
    <cellStyle name="Cálculo 2 9 3" xfId="75"/>
    <cellStyle name="Celda de comprobación 2" xfId="76"/>
    <cellStyle name="Celda vinculada 2" xfId="77"/>
    <cellStyle name="Comma 2" xfId="78"/>
    <cellStyle name="Comma 3" xfId="79"/>
    <cellStyle name="Currency 2" xfId="80"/>
    <cellStyle name="Encabezado 4 2" xfId="81"/>
    <cellStyle name="Énfasis1 2" xfId="82"/>
    <cellStyle name="Énfasis1 3" xfId="83"/>
    <cellStyle name="Énfasis2 2" xfId="84"/>
    <cellStyle name="Énfasis3 2" xfId="85"/>
    <cellStyle name="Énfasis4 2" xfId="86"/>
    <cellStyle name="Énfasis5 2" xfId="87"/>
    <cellStyle name="Énfasis6 2" xfId="88"/>
    <cellStyle name="Entrada 2" xfId="89"/>
    <cellStyle name="Entrada 2 10" xfId="90"/>
    <cellStyle name="Entrada 2 10 2" xfId="91"/>
    <cellStyle name="Entrada 2 10 2 2" xfId="1420"/>
    <cellStyle name="Entrada 2 10 2 3" xfId="1421"/>
    <cellStyle name="Entrada 2 10 2 4" xfId="1422"/>
    <cellStyle name="Entrada 2 10 3" xfId="92"/>
    <cellStyle name="Entrada 2 11" xfId="93"/>
    <cellStyle name="Entrada 2 11 2" xfId="94"/>
    <cellStyle name="Entrada 2 11 2 2" xfId="1423"/>
    <cellStyle name="Entrada 2 11 2 3" xfId="1424"/>
    <cellStyle name="Entrada 2 11 2 4" xfId="1425"/>
    <cellStyle name="Entrada 2 11 3" xfId="95"/>
    <cellStyle name="Entrada 2 12" xfId="96"/>
    <cellStyle name="Entrada 2 12 2" xfId="97"/>
    <cellStyle name="Entrada 2 12 2 2" xfId="1426"/>
    <cellStyle name="Entrada 2 12 2 3" xfId="1427"/>
    <cellStyle name="Entrada 2 12 2 4" xfId="1428"/>
    <cellStyle name="Entrada 2 12 3" xfId="98"/>
    <cellStyle name="Entrada 2 13" xfId="99"/>
    <cellStyle name="Entrada 2 13 2" xfId="100"/>
    <cellStyle name="Entrada 2 13 2 2" xfId="1429"/>
    <cellStyle name="Entrada 2 13 2 3" xfId="1430"/>
    <cellStyle name="Entrada 2 13 2 4" xfId="1431"/>
    <cellStyle name="Entrada 2 13 3" xfId="101"/>
    <cellStyle name="Entrada 2 14" xfId="102"/>
    <cellStyle name="Entrada 2 14 2" xfId="103"/>
    <cellStyle name="Entrada 2 14 2 2" xfId="1432"/>
    <cellStyle name="Entrada 2 14 2 3" xfId="1433"/>
    <cellStyle name="Entrada 2 14 2 4" xfId="1434"/>
    <cellStyle name="Entrada 2 14 3" xfId="104"/>
    <cellStyle name="Entrada 2 15" xfId="105"/>
    <cellStyle name="Entrada 2 15 2" xfId="106"/>
    <cellStyle name="Entrada 2 15 2 2" xfId="1435"/>
    <cellStyle name="Entrada 2 15 2 3" xfId="1436"/>
    <cellStyle name="Entrada 2 15 2 4" xfId="1437"/>
    <cellStyle name="Entrada 2 15 3" xfId="107"/>
    <cellStyle name="Entrada 2 16" xfId="108"/>
    <cellStyle name="Entrada 2 16 2" xfId="109"/>
    <cellStyle name="Entrada 2 16 2 2" xfId="1438"/>
    <cellStyle name="Entrada 2 16 2 3" xfId="1439"/>
    <cellStyle name="Entrada 2 16 2 4" xfId="1440"/>
    <cellStyle name="Entrada 2 16 3" xfId="110"/>
    <cellStyle name="Entrada 2 17" xfId="111"/>
    <cellStyle name="Entrada 2 17 2" xfId="112"/>
    <cellStyle name="Entrada 2 17 2 2" xfId="1441"/>
    <cellStyle name="Entrada 2 17 2 3" xfId="1442"/>
    <cellStyle name="Entrada 2 17 2 4" xfId="1443"/>
    <cellStyle name="Entrada 2 17 3" xfId="113"/>
    <cellStyle name="Entrada 2 18" xfId="114"/>
    <cellStyle name="Entrada 2 18 2" xfId="115"/>
    <cellStyle name="Entrada 2 18 2 2" xfId="1444"/>
    <cellStyle name="Entrada 2 18 2 3" xfId="1445"/>
    <cellStyle name="Entrada 2 18 2 4" xfId="1446"/>
    <cellStyle name="Entrada 2 18 3" xfId="116"/>
    <cellStyle name="Entrada 2 19" xfId="117"/>
    <cellStyle name="Entrada 2 19 2" xfId="1447"/>
    <cellStyle name="Entrada 2 19 3" xfId="1448"/>
    <cellStyle name="Entrada 2 19 4" xfId="1449"/>
    <cellStyle name="Entrada 2 2" xfId="118"/>
    <cellStyle name="Entrada 2 2 2" xfId="119"/>
    <cellStyle name="Entrada 2 2 2 2" xfId="1450"/>
    <cellStyle name="Entrada 2 2 2 3" xfId="1451"/>
    <cellStyle name="Entrada 2 2 2 4" xfId="1452"/>
    <cellStyle name="Entrada 2 2 3" xfId="120"/>
    <cellStyle name="Entrada 2 20" xfId="121"/>
    <cellStyle name="Entrada 2 3" xfId="122"/>
    <cellStyle name="Entrada 2 3 2" xfId="123"/>
    <cellStyle name="Entrada 2 3 2 2" xfId="1453"/>
    <cellStyle name="Entrada 2 3 2 3" xfId="1454"/>
    <cellStyle name="Entrada 2 3 2 4" xfId="1455"/>
    <cellStyle name="Entrada 2 3 3" xfId="124"/>
    <cellStyle name="Entrada 2 4" xfId="125"/>
    <cellStyle name="Entrada 2 4 2" xfId="126"/>
    <cellStyle name="Entrada 2 4 2 2" xfId="1456"/>
    <cellStyle name="Entrada 2 4 2 3" xfId="1457"/>
    <cellStyle name="Entrada 2 4 2 4" xfId="1458"/>
    <cellStyle name="Entrada 2 4 3" xfId="127"/>
    <cellStyle name="Entrada 2 5" xfId="128"/>
    <cellStyle name="Entrada 2 5 2" xfId="129"/>
    <cellStyle name="Entrada 2 5 2 2" xfId="1459"/>
    <cellStyle name="Entrada 2 5 2 3" xfId="1460"/>
    <cellStyle name="Entrada 2 5 2 4" xfId="1461"/>
    <cellStyle name="Entrada 2 5 3" xfId="130"/>
    <cellStyle name="Entrada 2 6" xfId="131"/>
    <cellStyle name="Entrada 2 6 2" xfId="132"/>
    <cellStyle name="Entrada 2 6 2 2" xfId="1462"/>
    <cellStyle name="Entrada 2 6 2 3" xfId="1463"/>
    <cellStyle name="Entrada 2 6 2 4" xfId="1464"/>
    <cellStyle name="Entrada 2 6 3" xfId="133"/>
    <cellStyle name="Entrada 2 7" xfId="134"/>
    <cellStyle name="Entrada 2 7 2" xfId="135"/>
    <cellStyle name="Entrada 2 7 2 2" xfId="1465"/>
    <cellStyle name="Entrada 2 7 2 3" xfId="1466"/>
    <cellStyle name="Entrada 2 7 2 4" xfId="1467"/>
    <cellStyle name="Entrada 2 7 3" xfId="136"/>
    <cellStyle name="Entrada 2 8" xfId="137"/>
    <cellStyle name="Entrada 2 8 2" xfId="138"/>
    <cellStyle name="Entrada 2 8 2 2" xfId="1468"/>
    <cellStyle name="Entrada 2 8 2 3" xfId="1469"/>
    <cellStyle name="Entrada 2 8 2 4" xfId="1470"/>
    <cellStyle name="Entrada 2 8 3" xfId="139"/>
    <cellStyle name="Entrada 2 9" xfId="140"/>
    <cellStyle name="Entrada 2 9 2" xfId="141"/>
    <cellStyle name="Entrada 2 9 2 2" xfId="1471"/>
    <cellStyle name="Entrada 2 9 2 3" xfId="1472"/>
    <cellStyle name="Entrada 2 9 2 4" xfId="1473"/>
    <cellStyle name="Entrada 2 9 3" xfId="142"/>
    <cellStyle name="Euro" xfId="143"/>
    <cellStyle name="Euro 2" xfId="144"/>
    <cellStyle name="Euro 2 2" xfId="145"/>
    <cellStyle name="Euro 2 3" xfId="146"/>
    <cellStyle name="Euro 2 4" xfId="147"/>
    <cellStyle name="Euro 2 5" xfId="148"/>
    <cellStyle name="Euro 3" xfId="149"/>
    <cellStyle name="Euro 3 2" xfId="150"/>
    <cellStyle name="Euro 3 2 2" xfId="151"/>
    <cellStyle name="Euro 3 3" xfId="152"/>
    <cellStyle name="Euro 3 4" xfId="153"/>
    <cellStyle name="Euro 4" xfId="154"/>
    <cellStyle name="Euro 4 2" xfId="155"/>
    <cellStyle name="Euro 5" xfId="156"/>
    <cellStyle name="Euro 5 2" xfId="157"/>
    <cellStyle name="Euro 6" xfId="158"/>
    <cellStyle name="Euro 7" xfId="159"/>
    <cellStyle name="Euro 8" xfId="160"/>
    <cellStyle name="Euro_2009 BASE DE DATOS obras vigentes" xfId="161"/>
    <cellStyle name="Hipervínculo" xfId="2" builtinId="8"/>
    <cellStyle name="Hipervínculo 2" xfId="162"/>
    <cellStyle name="Hipervínculo 2 2" xfId="1474"/>
    <cellStyle name="Hipervínculo 2 3" xfId="1654"/>
    <cellStyle name="Hipervínculo 2 4" xfId="1655"/>
    <cellStyle name="Hipervínculo 3" xfId="1475"/>
    <cellStyle name="Hipervínculo 4" xfId="1476"/>
    <cellStyle name="Hipervínculo 5" xfId="1644"/>
    <cellStyle name="Hyperlink 2" xfId="163"/>
    <cellStyle name="Incorrecto 2" xfId="164"/>
    <cellStyle name="Millares 2" xfId="165"/>
    <cellStyle name="Millares 2 10" xfId="166"/>
    <cellStyle name="Millares 2 13" xfId="167"/>
    <cellStyle name="Millares 2 14" xfId="168"/>
    <cellStyle name="Millares 2 2" xfId="169"/>
    <cellStyle name="Millares 2 3" xfId="170"/>
    <cellStyle name="Millares 2 4" xfId="171"/>
    <cellStyle name="Millares 2 5" xfId="172"/>
    <cellStyle name="Millares 2 6" xfId="173"/>
    <cellStyle name="Millares 2 6 2" xfId="174"/>
    <cellStyle name="Millares 2 7" xfId="175"/>
    <cellStyle name="Millares 2 8" xfId="176"/>
    <cellStyle name="Millares 3" xfId="177"/>
    <cellStyle name="Millares 3 2" xfId="178"/>
    <cellStyle name="Millares 3 3" xfId="179"/>
    <cellStyle name="Millares 3 4" xfId="180"/>
    <cellStyle name="Millares 4" xfId="181"/>
    <cellStyle name="Millares 4 10" xfId="182"/>
    <cellStyle name="Millares 4 11" xfId="183"/>
    <cellStyle name="Millares 4 12" xfId="184"/>
    <cellStyle name="Millares 4 13" xfId="185"/>
    <cellStyle name="Millares 4 14" xfId="186"/>
    <cellStyle name="Millares 4 15" xfId="187"/>
    <cellStyle name="Millares 4 16" xfId="188"/>
    <cellStyle name="Millares 4 17" xfId="189"/>
    <cellStyle name="Millares 4 18" xfId="190"/>
    <cellStyle name="Millares 4 19" xfId="191"/>
    <cellStyle name="Millares 4 2" xfId="192"/>
    <cellStyle name="Millares 4 2 10" xfId="193"/>
    <cellStyle name="Millares 4 2 11" xfId="194"/>
    <cellStyle name="Millares 4 2 12" xfId="195"/>
    <cellStyle name="Millares 4 2 13" xfId="196"/>
    <cellStyle name="Millares 4 2 14" xfId="197"/>
    <cellStyle name="Millares 4 2 15" xfId="198"/>
    <cellStyle name="Millares 4 2 16" xfId="199"/>
    <cellStyle name="Millares 4 2 17" xfId="200"/>
    <cellStyle name="Millares 4 2 18" xfId="201"/>
    <cellStyle name="Millares 4 2 19" xfId="202"/>
    <cellStyle name="Millares 4 2 2" xfId="203"/>
    <cellStyle name="Millares 4 2 2 10" xfId="204"/>
    <cellStyle name="Millares 4 2 2 11" xfId="205"/>
    <cellStyle name="Millares 4 2 2 12" xfId="206"/>
    <cellStyle name="Millares 4 2 2 13" xfId="207"/>
    <cellStyle name="Millares 4 2 2 14" xfId="208"/>
    <cellStyle name="Millares 4 2 2 15" xfId="209"/>
    <cellStyle name="Millares 4 2 2 16" xfId="210"/>
    <cellStyle name="Millares 4 2 2 17" xfId="211"/>
    <cellStyle name="Millares 4 2 2 18" xfId="212"/>
    <cellStyle name="Millares 4 2 2 2" xfId="213"/>
    <cellStyle name="Millares 4 2 2 3" xfId="214"/>
    <cellStyle name="Millares 4 2 2 4" xfId="215"/>
    <cellStyle name="Millares 4 2 2 5" xfId="216"/>
    <cellStyle name="Millares 4 2 2 6" xfId="217"/>
    <cellStyle name="Millares 4 2 2 7" xfId="218"/>
    <cellStyle name="Millares 4 2 2 8" xfId="219"/>
    <cellStyle name="Millares 4 2 2 9" xfId="220"/>
    <cellStyle name="Millares 4 2 3" xfId="221"/>
    <cellStyle name="Millares 4 2 3 2" xfId="222"/>
    <cellStyle name="Millares 4 2 3 3" xfId="223"/>
    <cellStyle name="Millares 4 2 3 4" xfId="224"/>
    <cellStyle name="Millares 4 2 3 5" xfId="225"/>
    <cellStyle name="Millares 4 2 4" xfId="226"/>
    <cellStyle name="Millares 4 2 5" xfId="227"/>
    <cellStyle name="Millares 4 2 6" xfId="228"/>
    <cellStyle name="Millares 4 2 7" xfId="229"/>
    <cellStyle name="Millares 4 2 8" xfId="230"/>
    <cellStyle name="Millares 4 2 9" xfId="231"/>
    <cellStyle name="Millares 4 20" xfId="232"/>
    <cellStyle name="Millares 4 21" xfId="233"/>
    <cellStyle name="Millares 4 22" xfId="234"/>
    <cellStyle name="Millares 4 3" xfId="235"/>
    <cellStyle name="Millares 4 3 10" xfId="236"/>
    <cellStyle name="Millares 4 3 11" xfId="237"/>
    <cellStyle name="Millares 4 3 12" xfId="238"/>
    <cellStyle name="Millares 4 3 13" xfId="239"/>
    <cellStyle name="Millares 4 3 14" xfId="240"/>
    <cellStyle name="Millares 4 3 15" xfId="241"/>
    <cellStyle name="Millares 4 3 16" xfId="242"/>
    <cellStyle name="Millares 4 3 17" xfId="243"/>
    <cellStyle name="Millares 4 3 18" xfId="244"/>
    <cellStyle name="Millares 4 3 19" xfId="245"/>
    <cellStyle name="Millares 4 3 2" xfId="246"/>
    <cellStyle name="Millares 4 3 2 10" xfId="247"/>
    <cellStyle name="Millares 4 3 2 11" xfId="248"/>
    <cellStyle name="Millares 4 3 2 12" xfId="249"/>
    <cellStyle name="Millares 4 3 2 13" xfId="250"/>
    <cellStyle name="Millares 4 3 2 14" xfId="251"/>
    <cellStyle name="Millares 4 3 2 15" xfId="252"/>
    <cellStyle name="Millares 4 3 2 16" xfId="253"/>
    <cellStyle name="Millares 4 3 2 17" xfId="254"/>
    <cellStyle name="Millares 4 3 2 18" xfId="255"/>
    <cellStyle name="Millares 4 3 2 2" xfId="256"/>
    <cellStyle name="Millares 4 3 2 3" xfId="257"/>
    <cellStyle name="Millares 4 3 2 4" xfId="258"/>
    <cellStyle name="Millares 4 3 2 5" xfId="259"/>
    <cellStyle name="Millares 4 3 2 6" xfId="260"/>
    <cellStyle name="Millares 4 3 2 7" xfId="261"/>
    <cellStyle name="Millares 4 3 2 8" xfId="262"/>
    <cellStyle name="Millares 4 3 2 9" xfId="263"/>
    <cellStyle name="Millares 4 3 3" xfId="264"/>
    <cellStyle name="Millares 4 3 4" xfId="265"/>
    <cellStyle name="Millares 4 3 5" xfId="266"/>
    <cellStyle name="Millares 4 3 6" xfId="267"/>
    <cellStyle name="Millares 4 3 7" xfId="268"/>
    <cellStyle name="Millares 4 3 8" xfId="269"/>
    <cellStyle name="Millares 4 3 9" xfId="270"/>
    <cellStyle name="Millares 4 4" xfId="271"/>
    <cellStyle name="Millares 4 4 10" xfId="272"/>
    <cellStyle name="Millares 4 4 11" xfId="273"/>
    <cellStyle name="Millares 4 4 12" xfId="274"/>
    <cellStyle name="Millares 4 4 13" xfId="275"/>
    <cellStyle name="Millares 4 4 14" xfId="276"/>
    <cellStyle name="Millares 4 4 15" xfId="277"/>
    <cellStyle name="Millares 4 4 16" xfId="278"/>
    <cellStyle name="Millares 4 4 17" xfId="279"/>
    <cellStyle name="Millares 4 4 18" xfId="280"/>
    <cellStyle name="Millares 4 4 2" xfId="281"/>
    <cellStyle name="Millares 4 4 3" xfId="282"/>
    <cellStyle name="Millares 4 4 4" xfId="283"/>
    <cellStyle name="Millares 4 4 5" xfId="284"/>
    <cellStyle name="Millares 4 4 6" xfId="285"/>
    <cellStyle name="Millares 4 4 7" xfId="286"/>
    <cellStyle name="Millares 4 4 8" xfId="287"/>
    <cellStyle name="Millares 4 4 9" xfId="288"/>
    <cellStyle name="Millares 4 5" xfId="289"/>
    <cellStyle name="Millares 4 6" xfId="290"/>
    <cellStyle name="Millares 4 7" xfId="291"/>
    <cellStyle name="Millares 4 8" xfId="292"/>
    <cellStyle name="Millares 4 9" xfId="293"/>
    <cellStyle name="Moneda" xfId="1657" builtinId="4"/>
    <cellStyle name="Moneda 10 2" xfId="294"/>
    <cellStyle name="Moneda 11" xfId="295"/>
    <cellStyle name="Moneda 11 10" xfId="296"/>
    <cellStyle name="Moneda 11 11" xfId="297"/>
    <cellStyle name="Moneda 11 12" xfId="298"/>
    <cellStyle name="Moneda 11 13" xfId="299"/>
    <cellStyle name="Moneda 11 14" xfId="300"/>
    <cellStyle name="Moneda 11 15" xfId="301"/>
    <cellStyle name="Moneda 11 16" xfId="302"/>
    <cellStyle name="Moneda 11 17" xfId="303"/>
    <cellStyle name="Moneda 11 18" xfId="304"/>
    <cellStyle name="Moneda 11 19" xfId="305"/>
    <cellStyle name="Moneda 11 2" xfId="306"/>
    <cellStyle name="Moneda 11 20" xfId="307"/>
    <cellStyle name="Moneda 11 21" xfId="308"/>
    <cellStyle name="Moneda 11 22" xfId="309"/>
    <cellStyle name="Moneda 11 23" xfId="310"/>
    <cellStyle name="Moneda 11 24" xfId="311"/>
    <cellStyle name="Moneda 11 25" xfId="312"/>
    <cellStyle name="Moneda 11 26" xfId="313"/>
    <cellStyle name="Moneda 11 27" xfId="314"/>
    <cellStyle name="Moneda 11 28" xfId="315"/>
    <cellStyle name="Moneda 11 29" xfId="316"/>
    <cellStyle name="Moneda 11 3" xfId="317"/>
    <cellStyle name="Moneda 11 30" xfId="318"/>
    <cellStyle name="Moneda 11 31" xfId="319"/>
    <cellStyle name="Moneda 11 32" xfId="320"/>
    <cellStyle name="Moneda 11 33" xfId="321"/>
    <cellStyle name="Moneda 11 4" xfId="322"/>
    <cellStyle name="Moneda 11 5" xfId="323"/>
    <cellStyle name="Moneda 11 6" xfId="324"/>
    <cellStyle name="Moneda 11 7" xfId="325"/>
    <cellStyle name="Moneda 11 8" xfId="326"/>
    <cellStyle name="Moneda 11 9" xfId="327"/>
    <cellStyle name="Moneda 12" xfId="328"/>
    <cellStyle name="Moneda 12 10" xfId="329"/>
    <cellStyle name="Moneda 12 11" xfId="330"/>
    <cellStyle name="Moneda 12 12" xfId="331"/>
    <cellStyle name="Moneda 12 13" xfId="332"/>
    <cellStyle name="Moneda 12 14" xfId="333"/>
    <cellStyle name="Moneda 12 15" xfId="334"/>
    <cellStyle name="Moneda 12 15 2" xfId="335"/>
    <cellStyle name="Moneda 12 15 2 2" xfId="336"/>
    <cellStyle name="Moneda 12 15 3" xfId="337"/>
    <cellStyle name="Moneda 12 16" xfId="338"/>
    <cellStyle name="Moneda 12 17" xfId="339"/>
    <cellStyle name="Moneda 12 18" xfId="340"/>
    <cellStyle name="Moneda 12 19" xfId="341"/>
    <cellStyle name="Moneda 12 2" xfId="342"/>
    <cellStyle name="Moneda 12 20" xfId="343"/>
    <cellStyle name="Moneda 12 21" xfId="344"/>
    <cellStyle name="Moneda 12 22" xfId="345"/>
    <cellStyle name="Moneda 12 23" xfId="346"/>
    <cellStyle name="Moneda 12 24" xfId="347"/>
    <cellStyle name="Moneda 12 25" xfId="348"/>
    <cellStyle name="Moneda 12 26" xfId="349"/>
    <cellStyle name="Moneda 12 27" xfId="350"/>
    <cellStyle name="Moneda 12 28" xfId="351"/>
    <cellStyle name="Moneda 12 29" xfId="352"/>
    <cellStyle name="Moneda 12 3" xfId="353"/>
    <cellStyle name="Moneda 12 30" xfId="354"/>
    <cellStyle name="Moneda 12 31" xfId="355"/>
    <cellStyle name="Moneda 12 32" xfId="356"/>
    <cellStyle name="Moneda 12 33" xfId="357"/>
    <cellStyle name="Moneda 12 4" xfId="358"/>
    <cellStyle name="Moneda 12 5" xfId="359"/>
    <cellStyle name="Moneda 12 6" xfId="360"/>
    <cellStyle name="Moneda 12 7" xfId="361"/>
    <cellStyle name="Moneda 12 8" xfId="362"/>
    <cellStyle name="Moneda 12 9" xfId="363"/>
    <cellStyle name="Moneda 13" xfId="1477"/>
    <cellStyle name="Moneda 14" xfId="364"/>
    <cellStyle name="Moneda 14 2" xfId="365"/>
    <cellStyle name="Moneda 2" xfId="366"/>
    <cellStyle name="Moneda 2 10" xfId="367"/>
    <cellStyle name="Moneda 2 11" xfId="368"/>
    <cellStyle name="Moneda 2 12" xfId="369"/>
    <cellStyle name="Moneda 2 13" xfId="370"/>
    <cellStyle name="Moneda 2 14" xfId="371"/>
    <cellStyle name="Moneda 2 15" xfId="372"/>
    <cellStyle name="Moneda 2 16" xfId="373"/>
    <cellStyle name="Moneda 2 17" xfId="374"/>
    <cellStyle name="Moneda 2 18" xfId="375"/>
    <cellStyle name="Moneda 2 19" xfId="376"/>
    <cellStyle name="Moneda 2 2" xfId="377"/>
    <cellStyle name="Moneda 2 2 12" xfId="378"/>
    <cellStyle name="Moneda 2 20" xfId="379"/>
    <cellStyle name="Moneda 2 21" xfId="380"/>
    <cellStyle name="Moneda 2 22" xfId="381"/>
    <cellStyle name="Moneda 2 23" xfId="382"/>
    <cellStyle name="Moneda 2 24" xfId="383"/>
    <cellStyle name="Moneda 2 25" xfId="384"/>
    <cellStyle name="Moneda 2 26" xfId="385"/>
    <cellStyle name="Moneda 2 27" xfId="386"/>
    <cellStyle name="Moneda 2 28" xfId="387"/>
    <cellStyle name="Moneda 2 29" xfId="388"/>
    <cellStyle name="Moneda 2 3" xfId="389"/>
    <cellStyle name="Moneda 2 30" xfId="390"/>
    <cellStyle name="Moneda 2 31" xfId="391"/>
    <cellStyle name="Moneda 2 32" xfId="392"/>
    <cellStyle name="Moneda 2 33" xfId="393"/>
    <cellStyle name="Moneda 2 34" xfId="1648"/>
    <cellStyle name="Moneda 2 4" xfId="394"/>
    <cellStyle name="Moneda 2 5" xfId="395"/>
    <cellStyle name="Moneda 2 6" xfId="396"/>
    <cellStyle name="Moneda 2 7" xfId="397"/>
    <cellStyle name="Moneda 2 8" xfId="398"/>
    <cellStyle name="Moneda 2 9" xfId="399"/>
    <cellStyle name="Moneda 3" xfId="400"/>
    <cellStyle name="Moneda 3 2" xfId="401"/>
    <cellStyle name="Moneda 3 3" xfId="402"/>
    <cellStyle name="Moneda 3 4" xfId="403"/>
    <cellStyle name="Moneda 3 5" xfId="404"/>
    <cellStyle name="Moneda 3 6" xfId="405"/>
    <cellStyle name="Moneda 3 7" xfId="1649"/>
    <cellStyle name="Moneda 4" xfId="406"/>
    <cellStyle name="Moneda 4 2" xfId="407"/>
    <cellStyle name="Moneda 4 3" xfId="408"/>
    <cellStyle name="Moneda 4 4" xfId="409"/>
    <cellStyle name="Moneda 5" xfId="410"/>
    <cellStyle name="Moneda 5 2" xfId="411"/>
    <cellStyle name="Moneda 6" xfId="412"/>
    <cellStyle name="Moneda 6 2" xfId="413"/>
    <cellStyle name="Moneda 6 2 2" xfId="414"/>
    <cellStyle name="Moneda 6 2 4" xfId="415"/>
    <cellStyle name="Moneda 6 2 4 2" xfId="416"/>
    <cellStyle name="Moneda 6 3" xfId="417"/>
    <cellStyle name="Moneda 6 3 2" xfId="418"/>
    <cellStyle name="Moneda 6 4" xfId="419"/>
    <cellStyle name="Moneda 6 4 2" xfId="420"/>
    <cellStyle name="Moneda 6 4 2 2" xfId="421"/>
    <cellStyle name="Moneda 6 5" xfId="422"/>
    <cellStyle name="Moneda 6 5 2" xfId="423"/>
    <cellStyle name="Moneda 6 5 2 2" xfId="424"/>
    <cellStyle name="Moneda 6 6" xfId="425"/>
    <cellStyle name="Moneda 6 7" xfId="426"/>
    <cellStyle name="Moneda 6 8" xfId="427"/>
    <cellStyle name="Moneda 6 9" xfId="428"/>
    <cellStyle name="Moneda 7" xfId="429"/>
    <cellStyle name="Moneda 7 2" xfId="430"/>
    <cellStyle name="Moneda 7 3" xfId="431"/>
    <cellStyle name="Moneda 7 3 2" xfId="432"/>
    <cellStyle name="Moneda 7 4" xfId="433"/>
    <cellStyle name="Moneda 7 5" xfId="434"/>
    <cellStyle name="Moneda 7 6" xfId="435"/>
    <cellStyle name="Moneda 8" xfId="1645"/>
    <cellStyle name="Moneda 9 2" xfId="436"/>
    <cellStyle name="Neutral 2" xfId="437"/>
    <cellStyle name="Normal" xfId="0" builtinId="0"/>
    <cellStyle name="Normal 10" xfId="438"/>
    <cellStyle name="Normal 11" xfId="439"/>
    <cellStyle name="Normal 12" xfId="440"/>
    <cellStyle name="Normal 12 2" xfId="441"/>
    <cellStyle name="Normal 12 2 10" xfId="442"/>
    <cellStyle name="Normal 12 2 2" xfId="443"/>
    <cellStyle name="Normal 12 2 2 2" xfId="444"/>
    <cellStyle name="Normal 13" xfId="445"/>
    <cellStyle name="Normal 14" xfId="446"/>
    <cellStyle name="Normal 15" xfId="1656"/>
    <cellStyle name="Normal 16" xfId="447"/>
    <cellStyle name="Normal 17" xfId="448"/>
    <cellStyle name="Normal 18" xfId="449"/>
    <cellStyle name="Normal 2" xfId="450"/>
    <cellStyle name="Normal 2 10" xfId="451"/>
    <cellStyle name="Normal 2 10 2" xfId="452"/>
    <cellStyle name="Normal 2 11" xfId="453"/>
    <cellStyle name="Normal 2 12" xfId="454"/>
    <cellStyle name="Normal 2 13" xfId="455"/>
    <cellStyle name="Normal 2 14" xfId="456"/>
    <cellStyle name="Normal 2 15" xfId="457"/>
    <cellStyle name="Normal 2 16" xfId="458"/>
    <cellStyle name="Normal 2 17" xfId="459"/>
    <cellStyle name="Normal 2 18" xfId="460"/>
    <cellStyle name="Normal 2 19" xfId="461"/>
    <cellStyle name="Normal 2 2" xfId="462"/>
    <cellStyle name="Normal 2 2 2" xfId="463"/>
    <cellStyle name="Normal 2 2 2 2" xfId="1650"/>
    <cellStyle name="Normal 2 2 3" xfId="464"/>
    <cellStyle name="Normal 2 2 4" xfId="1647"/>
    <cellStyle name="Normal 2 20" xfId="465"/>
    <cellStyle name="Normal 2 21" xfId="466"/>
    <cellStyle name="Normal 2 22" xfId="467"/>
    <cellStyle name="Normal 2 23" xfId="468"/>
    <cellStyle name="Normal 2 24" xfId="469"/>
    <cellStyle name="Normal 2 25" xfId="470"/>
    <cellStyle name="Normal 2 26" xfId="471"/>
    <cellStyle name="Normal 2 27" xfId="472"/>
    <cellStyle name="Normal 2 28" xfId="473"/>
    <cellStyle name="Normal 2 29" xfId="474"/>
    <cellStyle name="Normal 2 3" xfId="475"/>
    <cellStyle name="Normal 2 3 2" xfId="1653"/>
    <cellStyle name="Normal 2 30" xfId="476"/>
    <cellStyle name="Normal 2 31" xfId="477"/>
    <cellStyle name="Normal 2 32" xfId="478"/>
    <cellStyle name="Normal 2 33" xfId="479"/>
    <cellStyle name="Normal 2 34" xfId="480"/>
    <cellStyle name="Normal 2 4" xfId="481"/>
    <cellStyle name="Normal 2 4 2" xfId="482"/>
    <cellStyle name="Normal 2 4 3" xfId="483"/>
    <cellStyle name="Normal 2 5" xfId="484"/>
    <cellStyle name="Normal 2 6" xfId="485"/>
    <cellStyle name="Normal 2 7" xfId="486"/>
    <cellStyle name="Normal 2 8" xfId="487"/>
    <cellStyle name="Normal 2 9" xfId="488"/>
    <cellStyle name="Normal 20" xfId="489"/>
    <cellStyle name="Normal 21" xfId="490"/>
    <cellStyle name="Normal 23" xfId="491"/>
    <cellStyle name="Normal 24" xfId="492"/>
    <cellStyle name="Normal 25" xfId="493"/>
    <cellStyle name="Normal 27" xfId="494"/>
    <cellStyle name="Normal 29" xfId="495"/>
    <cellStyle name="Normal 3" xfId="496"/>
    <cellStyle name="Normal 3 10" xfId="497"/>
    <cellStyle name="Normal 3 11" xfId="498"/>
    <cellStyle name="Normal 3 12" xfId="499"/>
    <cellStyle name="Normal 3 13" xfId="500"/>
    <cellStyle name="Normal 3 14" xfId="501"/>
    <cellStyle name="Normal 3 15" xfId="502"/>
    <cellStyle name="Normal 3 16" xfId="503"/>
    <cellStyle name="Normal 3 17" xfId="504"/>
    <cellStyle name="Normal 3 18" xfId="505"/>
    <cellStyle name="Normal 3 19" xfId="506"/>
    <cellStyle name="Normal 3 2" xfId="507"/>
    <cellStyle name="Normal 3 2 2" xfId="508"/>
    <cellStyle name="Normal 3 20" xfId="509"/>
    <cellStyle name="Normal 3 21" xfId="510"/>
    <cellStyle name="Normal 3 22" xfId="511"/>
    <cellStyle name="Normal 3 23" xfId="512"/>
    <cellStyle name="Normal 3 24" xfId="513"/>
    <cellStyle name="Normal 3 25" xfId="514"/>
    <cellStyle name="Normal 3 26" xfId="515"/>
    <cellStyle name="Normal 3 27" xfId="516"/>
    <cellStyle name="Normal 3 28" xfId="517"/>
    <cellStyle name="Normal 3 29" xfId="518"/>
    <cellStyle name="Normal 3 3" xfId="519"/>
    <cellStyle name="Normal 3 30" xfId="520"/>
    <cellStyle name="Normal 3 31" xfId="521"/>
    <cellStyle name="Normal 3 32" xfId="1646"/>
    <cellStyle name="Normal 3 4" xfId="522"/>
    <cellStyle name="Normal 3 5" xfId="523"/>
    <cellStyle name="Normal 3 6" xfId="524"/>
    <cellStyle name="Normal 3 7" xfId="525"/>
    <cellStyle name="Normal 3 8" xfId="526"/>
    <cellStyle name="Normal 3 9" xfId="527"/>
    <cellStyle name="Normal 30" xfId="528"/>
    <cellStyle name="Normal 31" xfId="529"/>
    <cellStyle name="Normal 33" xfId="530"/>
    <cellStyle name="Normal 34" xfId="531"/>
    <cellStyle name="Normal 36" xfId="532"/>
    <cellStyle name="Normal 36 10" xfId="533"/>
    <cellStyle name="Normal 36 11" xfId="534"/>
    <cellStyle name="Normal 36 12" xfId="535"/>
    <cellStyle name="Normal 36 13" xfId="536"/>
    <cellStyle name="Normal 36 14" xfId="537"/>
    <cellStyle name="Normal 36 15" xfId="538"/>
    <cellStyle name="Normal 36 16" xfId="539"/>
    <cellStyle name="Normal 36 17" xfId="540"/>
    <cellStyle name="Normal 36 18" xfId="541"/>
    <cellStyle name="Normal 36 19" xfId="542"/>
    <cellStyle name="Normal 36 2" xfId="543"/>
    <cellStyle name="Normal 36 20" xfId="544"/>
    <cellStyle name="Normal 36 3" xfId="545"/>
    <cellStyle name="Normal 36 4" xfId="546"/>
    <cellStyle name="Normal 36 5" xfId="547"/>
    <cellStyle name="Normal 36 6" xfId="548"/>
    <cellStyle name="Normal 36 7" xfId="549"/>
    <cellStyle name="Normal 36 8" xfId="550"/>
    <cellStyle name="Normal 36 9" xfId="551"/>
    <cellStyle name="Normal 39" xfId="552"/>
    <cellStyle name="Normal 39 10" xfId="553"/>
    <cellStyle name="Normal 39 11" xfId="554"/>
    <cellStyle name="Normal 39 12" xfId="555"/>
    <cellStyle name="Normal 39 13" xfId="556"/>
    <cellStyle name="Normal 39 14" xfId="557"/>
    <cellStyle name="Normal 39 15" xfId="558"/>
    <cellStyle name="Normal 39 16" xfId="559"/>
    <cellStyle name="Normal 39 17" xfId="560"/>
    <cellStyle name="Normal 39 18" xfId="561"/>
    <cellStyle name="Normal 39 19" xfId="562"/>
    <cellStyle name="Normal 39 2" xfId="563"/>
    <cellStyle name="Normal 39 20" xfId="564"/>
    <cellStyle name="Normal 39 3" xfId="565"/>
    <cellStyle name="Normal 39 4" xfId="566"/>
    <cellStyle name="Normal 39 5" xfId="567"/>
    <cellStyle name="Normal 39 6" xfId="568"/>
    <cellStyle name="Normal 39 7" xfId="569"/>
    <cellStyle name="Normal 39 8" xfId="570"/>
    <cellStyle name="Normal 39 9" xfId="571"/>
    <cellStyle name="Normal 4" xfId="1"/>
    <cellStyle name="Normal 4 2" xfId="572"/>
    <cellStyle name="Normal 4 3" xfId="573"/>
    <cellStyle name="Normal 4 4" xfId="1651"/>
    <cellStyle name="Normal 41" xfId="574"/>
    <cellStyle name="Normal 5" xfId="575"/>
    <cellStyle name="Normal 5 2" xfId="576"/>
    <cellStyle name="Normal 5 3" xfId="577"/>
    <cellStyle name="Normal 5 4" xfId="578"/>
    <cellStyle name="Normal 5 5" xfId="579"/>
    <cellStyle name="Normal 5 6" xfId="580"/>
    <cellStyle name="Normal 6" xfId="581"/>
    <cellStyle name="Normal 6 10" xfId="582"/>
    <cellStyle name="Normal 6 11" xfId="583"/>
    <cellStyle name="Normal 6 12" xfId="584"/>
    <cellStyle name="Normal 6 13" xfId="585"/>
    <cellStyle name="Normal 6 14" xfId="586"/>
    <cellStyle name="Normal 6 15" xfId="587"/>
    <cellStyle name="Normal 6 16" xfId="588"/>
    <cellStyle name="Normal 6 17" xfId="589"/>
    <cellStyle name="Normal 6 18" xfId="590"/>
    <cellStyle name="Normal 6 19" xfId="591"/>
    <cellStyle name="Normal 6 2" xfId="592"/>
    <cellStyle name="Normal 6 2 10" xfId="593"/>
    <cellStyle name="Normal 6 2 11" xfId="594"/>
    <cellStyle name="Normal 6 2 12" xfId="595"/>
    <cellStyle name="Normal 6 2 13" xfId="596"/>
    <cellStyle name="Normal 6 2 14" xfId="597"/>
    <cellStyle name="Normal 6 2 15" xfId="598"/>
    <cellStyle name="Normal 6 2 16" xfId="599"/>
    <cellStyle name="Normal 6 2 17" xfId="600"/>
    <cellStyle name="Normal 6 2 18" xfId="601"/>
    <cellStyle name="Normal 6 2 19" xfId="602"/>
    <cellStyle name="Normal 6 2 2" xfId="603"/>
    <cellStyle name="Normal 6 2 2 10" xfId="604"/>
    <cellStyle name="Normal 6 2 2 11" xfId="605"/>
    <cellStyle name="Normal 6 2 2 12" xfId="606"/>
    <cellStyle name="Normal 6 2 2 13" xfId="607"/>
    <cellStyle name="Normal 6 2 2 14" xfId="608"/>
    <cellStyle name="Normal 6 2 2 15" xfId="609"/>
    <cellStyle name="Normal 6 2 2 16" xfId="610"/>
    <cellStyle name="Normal 6 2 2 17" xfId="611"/>
    <cellStyle name="Normal 6 2 2 18" xfId="612"/>
    <cellStyle name="Normal 6 2 2 19" xfId="613"/>
    <cellStyle name="Normal 6 2 2 2" xfId="614"/>
    <cellStyle name="Normal 6 2 2 2 2" xfId="615"/>
    <cellStyle name="Normal 6 2 2 2 2 10" xfId="616"/>
    <cellStyle name="Normal 6 2 2 2 2 11" xfId="617"/>
    <cellStyle name="Normal 6 2 2 2 2 12" xfId="618"/>
    <cellStyle name="Normal 6 2 2 2 2 13" xfId="619"/>
    <cellStyle name="Normal 6 2 2 2 2 14" xfId="620"/>
    <cellStyle name="Normal 6 2 2 2 2 15" xfId="621"/>
    <cellStyle name="Normal 6 2 2 2 2 16" xfId="622"/>
    <cellStyle name="Normal 6 2 2 2 2 17" xfId="623"/>
    <cellStyle name="Normal 6 2 2 2 2 18" xfId="624"/>
    <cellStyle name="Normal 6 2 2 2 2 19" xfId="625"/>
    <cellStyle name="Normal 6 2 2 2 2 2" xfId="626"/>
    <cellStyle name="Normal 6 2 2 2 2 2 2" xfId="627"/>
    <cellStyle name="Normal 6 2 2 2 2 2 2 10" xfId="628"/>
    <cellStyle name="Normal 6 2 2 2 2 2 2 11" xfId="629"/>
    <cellStyle name="Normal 6 2 2 2 2 2 2 12" xfId="630"/>
    <cellStyle name="Normal 6 2 2 2 2 2 2 13" xfId="631"/>
    <cellStyle name="Normal 6 2 2 2 2 2 2 14" xfId="632"/>
    <cellStyle name="Normal 6 2 2 2 2 2 2 15" xfId="633"/>
    <cellStyle name="Normal 6 2 2 2 2 2 2 16" xfId="634"/>
    <cellStyle name="Normal 6 2 2 2 2 2 2 17" xfId="635"/>
    <cellStyle name="Normal 6 2 2 2 2 2 2 18" xfId="636"/>
    <cellStyle name="Normal 6 2 2 2 2 2 2 2" xfId="637"/>
    <cellStyle name="Normal 6 2 2 2 2 2 2 3" xfId="638"/>
    <cellStyle name="Normal 6 2 2 2 2 2 2 4" xfId="639"/>
    <cellStyle name="Normal 6 2 2 2 2 2 2 5" xfId="640"/>
    <cellStyle name="Normal 6 2 2 2 2 2 2 6" xfId="641"/>
    <cellStyle name="Normal 6 2 2 2 2 2 2 7" xfId="642"/>
    <cellStyle name="Normal 6 2 2 2 2 2 2 8" xfId="643"/>
    <cellStyle name="Normal 6 2 2 2 2 2 2 9" xfId="644"/>
    <cellStyle name="Normal 6 2 2 2 2 2 3" xfId="645"/>
    <cellStyle name="Normal 6 2 2 2 2 3" xfId="646"/>
    <cellStyle name="Normal 6 2 2 2 2 4" xfId="647"/>
    <cellStyle name="Normal 6 2 2 2 2 5" xfId="648"/>
    <cellStyle name="Normal 6 2 2 2 2 6" xfId="649"/>
    <cellStyle name="Normal 6 2 2 2 2 7" xfId="650"/>
    <cellStyle name="Normal 6 2 2 2 2 8" xfId="651"/>
    <cellStyle name="Normal 6 2 2 2 2 9" xfId="652"/>
    <cellStyle name="Normal 6 2 2 2 3" xfId="653"/>
    <cellStyle name="Normal 6 2 2 2 4" xfId="654"/>
    <cellStyle name="Normal 6 2 2 20" xfId="655"/>
    <cellStyle name="Normal 6 2 2 3" xfId="656"/>
    <cellStyle name="Normal 6 2 2 3 10" xfId="657"/>
    <cellStyle name="Normal 6 2 2 3 11" xfId="658"/>
    <cellStyle name="Normal 6 2 2 3 12" xfId="659"/>
    <cellStyle name="Normal 6 2 2 3 13" xfId="660"/>
    <cellStyle name="Normal 6 2 2 3 14" xfId="661"/>
    <cellStyle name="Normal 6 2 2 3 15" xfId="662"/>
    <cellStyle name="Normal 6 2 2 3 16" xfId="663"/>
    <cellStyle name="Normal 6 2 2 3 17" xfId="664"/>
    <cellStyle name="Normal 6 2 2 3 18" xfId="665"/>
    <cellStyle name="Normal 6 2 2 3 2" xfId="666"/>
    <cellStyle name="Normal 6 2 2 3 3" xfId="667"/>
    <cellStyle name="Normal 6 2 2 3 4" xfId="668"/>
    <cellStyle name="Normal 6 2 2 3 5" xfId="669"/>
    <cellStyle name="Normal 6 2 2 3 6" xfId="670"/>
    <cellStyle name="Normal 6 2 2 3 7" xfId="671"/>
    <cellStyle name="Normal 6 2 2 3 8" xfId="672"/>
    <cellStyle name="Normal 6 2 2 3 9" xfId="673"/>
    <cellStyle name="Normal 6 2 2 4" xfId="674"/>
    <cellStyle name="Normal 6 2 2 5" xfId="675"/>
    <cellStyle name="Normal 6 2 2 6" xfId="676"/>
    <cellStyle name="Normal 6 2 2 7" xfId="677"/>
    <cellStyle name="Normal 6 2 2 8" xfId="678"/>
    <cellStyle name="Normal 6 2 2 9" xfId="679"/>
    <cellStyle name="Normal 6 2 20" xfId="680"/>
    <cellStyle name="Normal 6 2 3" xfId="681"/>
    <cellStyle name="Normal 6 2 3 10" xfId="682"/>
    <cellStyle name="Normal 6 2 3 11" xfId="683"/>
    <cellStyle name="Normal 6 2 3 12" xfId="684"/>
    <cellStyle name="Normal 6 2 3 13" xfId="685"/>
    <cellStyle name="Normal 6 2 3 14" xfId="686"/>
    <cellStyle name="Normal 6 2 3 15" xfId="687"/>
    <cellStyle name="Normal 6 2 3 16" xfId="688"/>
    <cellStyle name="Normal 6 2 3 17" xfId="689"/>
    <cellStyle name="Normal 6 2 3 18" xfId="690"/>
    <cellStyle name="Normal 6 2 3 19" xfId="691"/>
    <cellStyle name="Normal 6 2 3 2" xfId="692"/>
    <cellStyle name="Normal 6 2 3 3" xfId="693"/>
    <cellStyle name="Normal 6 2 3 4" xfId="694"/>
    <cellStyle name="Normal 6 2 3 5" xfId="695"/>
    <cellStyle name="Normal 6 2 3 6" xfId="696"/>
    <cellStyle name="Normal 6 2 3 7" xfId="697"/>
    <cellStyle name="Normal 6 2 3 8" xfId="698"/>
    <cellStyle name="Normal 6 2 3 9" xfId="699"/>
    <cellStyle name="Normal 6 2 4" xfId="700"/>
    <cellStyle name="Normal 6 2 5" xfId="701"/>
    <cellStyle name="Normal 6 2 6" xfId="702"/>
    <cellStyle name="Normal 6 2 7" xfId="703"/>
    <cellStyle name="Normal 6 2 8" xfId="704"/>
    <cellStyle name="Normal 6 2 9" xfId="705"/>
    <cellStyle name="Normal 6 20" xfId="706"/>
    <cellStyle name="Normal 6 21" xfId="707"/>
    <cellStyle name="Normal 6 22" xfId="708"/>
    <cellStyle name="Normal 6 23" xfId="709"/>
    <cellStyle name="Normal 6 3" xfId="710"/>
    <cellStyle name="Normal 6 3 10" xfId="711"/>
    <cellStyle name="Normal 6 3 11" xfId="712"/>
    <cellStyle name="Normal 6 3 12" xfId="713"/>
    <cellStyle name="Normal 6 3 13" xfId="714"/>
    <cellStyle name="Normal 6 3 14" xfId="715"/>
    <cellStyle name="Normal 6 3 15" xfId="716"/>
    <cellStyle name="Normal 6 3 16" xfId="717"/>
    <cellStyle name="Normal 6 3 17" xfId="718"/>
    <cellStyle name="Normal 6 3 18" xfId="719"/>
    <cellStyle name="Normal 6 3 19" xfId="720"/>
    <cellStyle name="Normal 6 3 2" xfId="721"/>
    <cellStyle name="Normal 6 3 2 10" xfId="722"/>
    <cellStyle name="Normal 6 3 2 11" xfId="723"/>
    <cellStyle name="Normal 6 3 2 12" xfId="724"/>
    <cellStyle name="Normal 6 3 2 13" xfId="725"/>
    <cellStyle name="Normal 6 3 2 14" xfId="726"/>
    <cellStyle name="Normal 6 3 2 15" xfId="727"/>
    <cellStyle name="Normal 6 3 2 16" xfId="728"/>
    <cellStyle name="Normal 6 3 2 17" xfId="729"/>
    <cellStyle name="Normal 6 3 2 18" xfId="730"/>
    <cellStyle name="Normal 6 3 2 2" xfId="731"/>
    <cellStyle name="Normal 6 3 2 3" xfId="732"/>
    <cellStyle name="Normal 6 3 2 4" xfId="733"/>
    <cellStyle name="Normal 6 3 2 5" xfId="734"/>
    <cellStyle name="Normal 6 3 2 6" xfId="735"/>
    <cellStyle name="Normal 6 3 2 7" xfId="736"/>
    <cellStyle name="Normal 6 3 2 8" xfId="737"/>
    <cellStyle name="Normal 6 3 2 9" xfId="738"/>
    <cellStyle name="Normal 6 3 3" xfId="739"/>
    <cellStyle name="Normal 6 3 4" xfId="740"/>
    <cellStyle name="Normal 6 3 5" xfId="741"/>
    <cellStyle name="Normal 6 3 6" xfId="742"/>
    <cellStyle name="Normal 6 3 7" xfId="743"/>
    <cellStyle name="Normal 6 3 8" xfId="744"/>
    <cellStyle name="Normal 6 3 9" xfId="745"/>
    <cellStyle name="Normal 6 4" xfId="746"/>
    <cellStyle name="Normal 6 4 10" xfId="747"/>
    <cellStyle name="Normal 6 4 11" xfId="748"/>
    <cellStyle name="Normal 6 4 12" xfId="749"/>
    <cellStyle name="Normal 6 4 13" xfId="750"/>
    <cellStyle name="Normal 6 4 14" xfId="751"/>
    <cellStyle name="Normal 6 4 15" xfId="752"/>
    <cellStyle name="Normal 6 4 16" xfId="753"/>
    <cellStyle name="Normal 6 4 17" xfId="754"/>
    <cellStyle name="Normal 6 4 18" xfId="755"/>
    <cellStyle name="Normal 6 4 2" xfId="756"/>
    <cellStyle name="Normal 6 4 3" xfId="757"/>
    <cellStyle name="Normal 6 4 4" xfId="758"/>
    <cellStyle name="Normal 6 4 5" xfId="759"/>
    <cellStyle name="Normal 6 4 6" xfId="760"/>
    <cellStyle name="Normal 6 4 7" xfId="761"/>
    <cellStyle name="Normal 6 4 8" xfId="762"/>
    <cellStyle name="Normal 6 4 9" xfId="763"/>
    <cellStyle name="Normal 6 5" xfId="764"/>
    <cellStyle name="Normal 6 6" xfId="765"/>
    <cellStyle name="Normal 6 7" xfId="766"/>
    <cellStyle name="Normal 6 8" xfId="767"/>
    <cellStyle name="Normal 6 9" xfId="768"/>
    <cellStyle name="Normal 7" xfId="769"/>
    <cellStyle name="Normal 7 10" xfId="770"/>
    <cellStyle name="Normal 7 11" xfId="771"/>
    <cellStyle name="Normal 7 12" xfId="772"/>
    <cellStyle name="Normal 7 13" xfId="773"/>
    <cellStyle name="Normal 7 14" xfId="774"/>
    <cellStyle name="Normal 7 15" xfId="775"/>
    <cellStyle name="Normal 7 16" xfId="776"/>
    <cellStyle name="Normal 7 17" xfId="777"/>
    <cellStyle name="Normal 7 18" xfId="778"/>
    <cellStyle name="Normal 7 19" xfId="779"/>
    <cellStyle name="Normal 7 2" xfId="780"/>
    <cellStyle name="Normal 7 2 10" xfId="781"/>
    <cellStyle name="Normal 7 2 11" xfId="782"/>
    <cellStyle name="Normal 7 2 12" xfId="783"/>
    <cellStyle name="Normal 7 2 13" xfId="784"/>
    <cellStyle name="Normal 7 2 14" xfId="785"/>
    <cellStyle name="Normal 7 2 15" xfId="786"/>
    <cellStyle name="Normal 7 2 16" xfId="787"/>
    <cellStyle name="Normal 7 2 17" xfId="788"/>
    <cellStyle name="Normal 7 2 18" xfId="789"/>
    <cellStyle name="Normal 7 2 19" xfId="790"/>
    <cellStyle name="Normal 7 2 2" xfId="791"/>
    <cellStyle name="Normal 7 2 2 10" xfId="792"/>
    <cellStyle name="Normal 7 2 2 11" xfId="793"/>
    <cellStyle name="Normal 7 2 2 12" xfId="794"/>
    <cellStyle name="Normal 7 2 2 13" xfId="795"/>
    <cellStyle name="Normal 7 2 2 14" xfId="796"/>
    <cellStyle name="Normal 7 2 2 15" xfId="797"/>
    <cellStyle name="Normal 7 2 2 16" xfId="798"/>
    <cellStyle name="Normal 7 2 2 17" xfId="799"/>
    <cellStyle name="Normal 7 2 2 18" xfId="800"/>
    <cellStyle name="Normal 7 2 2 19" xfId="801"/>
    <cellStyle name="Normal 7 2 2 2" xfId="802"/>
    <cellStyle name="Normal 7 2 2 2 2" xfId="803"/>
    <cellStyle name="Normal 7 2 2 2 3" xfId="804"/>
    <cellStyle name="Normal 7 2 2 2 4" xfId="805"/>
    <cellStyle name="Normal 7 2 2 2 5" xfId="806"/>
    <cellStyle name="Normal 7 2 2 3" xfId="807"/>
    <cellStyle name="Normal 7 2 2 3 2" xfId="808"/>
    <cellStyle name="Normal 7 2 2 3 3" xfId="809"/>
    <cellStyle name="Normal 7 2 2 3 4" xfId="810"/>
    <cellStyle name="Normal 7 2 2 3 5" xfId="811"/>
    <cellStyle name="Normal 7 2 2 4" xfId="812"/>
    <cellStyle name="Normal 7 2 2 5" xfId="813"/>
    <cellStyle name="Normal 7 2 2 6" xfId="814"/>
    <cellStyle name="Normal 7 2 2 7" xfId="815"/>
    <cellStyle name="Normal 7 2 2 8" xfId="816"/>
    <cellStyle name="Normal 7 2 2 9" xfId="817"/>
    <cellStyle name="Normal 7 2 3" xfId="818"/>
    <cellStyle name="Normal 7 2 3 2" xfId="819"/>
    <cellStyle name="Normal 7 2 3 3" xfId="820"/>
    <cellStyle name="Normal 7 2 3 4" xfId="821"/>
    <cellStyle name="Normal 7 2 3 5" xfId="822"/>
    <cellStyle name="Normal 7 2 4" xfId="823"/>
    <cellStyle name="Normal 7 2 4 2" xfId="824"/>
    <cellStyle name="Normal 7 2 4 3" xfId="825"/>
    <cellStyle name="Normal 7 2 4 4" xfId="826"/>
    <cellStyle name="Normal 7 2 4 5" xfId="827"/>
    <cellStyle name="Normal 7 2 5" xfId="828"/>
    <cellStyle name="Normal 7 2 6" xfId="829"/>
    <cellStyle name="Normal 7 2 7" xfId="830"/>
    <cellStyle name="Normal 7 2 8" xfId="831"/>
    <cellStyle name="Normal 7 2 9" xfId="832"/>
    <cellStyle name="Normal 7 20" xfId="833"/>
    <cellStyle name="Normal 7 21" xfId="834"/>
    <cellStyle name="Normal 7 3" xfId="835"/>
    <cellStyle name="Normal 7 3 10" xfId="836"/>
    <cellStyle name="Normal 7 3 11" xfId="837"/>
    <cellStyle name="Normal 7 3 12" xfId="838"/>
    <cellStyle name="Normal 7 3 13" xfId="839"/>
    <cellStyle name="Normal 7 3 14" xfId="840"/>
    <cellStyle name="Normal 7 3 15" xfId="841"/>
    <cellStyle name="Normal 7 3 16" xfId="842"/>
    <cellStyle name="Normal 7 3 17" xfId="843"/>
    <cellStyle name="Normal 7 3 18" xfId="844"/>
    <cellStyle name="Normal 7 3 19" xfId="845"/>
    <cellStyle name="Normal 7 3 2" xfId="846"/>
    <cellStyle name="Normal 7 3 2 10" xfId="847"/>
    <cellStyle name="Normal 7 3 2 11" xfId="848"/>
    <cellStyle name="Normal 7 3 2 12" xfId="849"/>
    <cellStyle name="Normal 7 3 2 13" xfId="850"/>
    <cellStyle name="Normal 7 3 2 14" xfId="851"/>
    <cellStyle name="Normal 7 3 2 15" xfId="852"/>
    <cellStyle name="Normal 7 3 2 16" xfId="853"/>
    <cellStyle name="Normal 7 3 2 17" xfId="854"/>
    <cellStyle name="Normal 7 3 2 18" xfId="855"/>
    <cellStyle name="Normal 7 3 2 19" xfId="856"/>
    <cellStyle name="Normal 7 3 2 2" xfId="857"/>
    <cellStyle name="Normal 7 3 2 2 10" xfId="858"/>
    <cellStyle name="Normal 7 3 2 2 11" xfId="859"/>
    <cellStyle name="Normal 7 3 2 2 12" xfId="860"/>
    <cellStyle name="Normal 7 3 2 2 13" xfId="861"/>
    <cellStyle name="Normal 7 3 2 2 14" xfId="862"/>
    <cellStyle name="Normal 7 3 2 2 15" xfId="863"/>
    <cellStyle name="Normal 7 3 2 2 16" xfId="864"/>
    <cellStyle name="Normal 7 3 2 2 17" xfId="865"/>
    <cellStyle name="Normal 7 3 2 2 18" xfId="866"/>
    <cellStyle name="Normal 7 3 2 2 2" xfId="867"/>
    <cellStyle name="Normal 7 3 2 2 2 2" xfId="868"/>
    <cellStyle name="Normal 7 3 2 2 2 2 2" xfId="869"/>
    <cellStyle name="Normal 7 3 2 2 2 2 2 2" xfId="870"/>
    <cellStyle name="Normal 7 3 2 2 2 2 2 2 2" xfId="871"/>
    <cellStyle name="Normal 7 3 2 2 2 2 2 2 2 2" xfId="872"/>
    <cellStyle name="Normal 7 3 2 2 2 2 2 2 2 3" xfId="873"/>
    <cellStyle name="Normal 7 3 2 2 2 2 2 2 2 4" xfId="874"/>
    <cellStyle name="Normal 7 3 2 2 2 2 2 2 2 5" xfId="875"/>
    <cellStyle name="Normal 7 3 2 2 2 2 2 2 3" xfId="876"/>
    <cellStyle name="Normal 7 3 2 2 2 2 2 2 3 2" xfId="877"/>
    <cellStyle name="Normal 7 3 2 2 2 2 2 2 3 3" xfId="878"/>
    <cellStyle name="Normal 7 3 2 2 2 2 2 2 3 4" xfId="879"/>
    <cellStyle name="Normal 7 3 2 2 2 2 2 2 3 5" xfId="880"/>
    <cellStyle name="Normal 7 3 2 2 2 2 2 2 4" xfId="881"/>
    <cellStyle name="Normal 7 3 2 2 2 2 2 2 5" xfId="882"/>
    <cellStyle name="Normal 7 3 2 2 2 2 2 2 6" xfId="883"/>
    <cellStyle name="Normal 7 3 2 2 2 2 2 2 7" xfId="884"/>
    <cellStyle name="Normal 7 3 2 2 2 2 2 3" xfId="885"/>
    <cellStyle name="Normal 7 3 2 2 2 2 2 3 2" xfId="886"/>
    <cellStyle name="Normal 7 3 2 2 2 2 2 3 3" xfId="887"/>
    <cellStyle name="Normal 7 3 2 2 2 2 2 3 4" xfId="888"/>
    <cellStyle name="Normal 7 3 2 2 2 2 2 3 5" xfId="889"/>
    <cellStyle name="Normal 7 3 2 2 2 2 2 4" xfId="890"/>
    <cellStyle name="Normal 7 3 2 2 2 2 2 4 2" xfId="891"/>
    <cellStyle name="Normal 7 3 2 2 2 2 2 4 3" xfId="892"/>
    <cellStyle name="Normal 7 3 2 2 2 2 2 4 4" xfId="893"/>
    <cellStyle name="Normal 7 3 2 2 2 2 2 4 5" xfId="894"/>
    <cellStyle name="Normal 7 3 2 2 2 2 2 5" xfId="895"/>
    <cellStyle name="Normal 7 3 2 2 2 2 2 6" xfId="896"/>
    <cellStyle name="Normal 7 3 2 2 2 2 2 7" xfId="897"/>
    <cellStyle name="Normal 7 3 2 2 2 2 2 8" xfId="898"/>
    <cellStyle name="Normal 7 3 2 2 2 2 3" xfId="899"/>
    <cellStyle name="Normal 7 3 2 2 2 2 4" xfId="900"/>
    <cellStyle name="Normal 7 3 2 2 2 2 5" xfId="901"/>
    <cellStyle name="Normal 7 3 2 2 2 2 6" xfId="902"/>
    <cellStyle name="Normal 7 3 2 2 2 3" xfId="903"/>
    <cellStyle name="Normal 7 3 2 2 2 3 2" xfId="904"/>
    <cellStyle name="Normal 7 3 2 2 2 3 3" xfId="905"/>
    <cellStyle name="Normal 7 3 2 2 2 3 4" xfId="906"/>
    <cellStyle name="Normal 7 3 2 2 2 3 5" xfId="907"/>
    <cellStyle name="Normal 7 3 2 2 2 4" xfId="908"/>
    <cellStyle name="Normal 7 3 2 2 2 5" xfId="909"/>
    <cellStyle name="Normal 7 3 2 2 2 6" xfId="910"/>
    <cellStyle name="Normal 7 3 2 2 2 7" xfId="911"/>
    <cellStyle name="Normal 7 3 2 2 3" xfId="912"/>
    <cellStyle name="Normal 7 3 2 2 3 2" xfId="913"/>
    <cellStyle name="Normal 7 3 2 2 3 2 2" xfId="914"/>
    <cellStyle name="Normal 7 3 2 2 3 2 2 10" xfId="915"/>
    <cellStyle name="Normal 7 3 2 2 3 2 2 11" xfId="916"/>
    <cellStyle name="Normal 7 3 2 2 3 2 2 12" xfId="917"/>
    <cellStyle name="Normal 7 3 2 2 3 2 2 13" xfId="918"/>
    <cellStyle name="Normal 7 3 2 2 3 2 2 14" xfId="919"/>
    <cellStyle name="Normal 7 3 2 2 3 2 2 15" xfId="920"/>
    <cellStyle name="Normal 7 3 2 2 3 2 2 16" xfId="921"/>
    <cellStyle name="Normal 7 3 2 2 3 2 2 17" xfId="922"/>
    <cellStyle name="Normal 7 3 2 2 3 2 2 18" xfId="923"/>
    <cellStyle name="Normal 7 3 2 2 3 2 2 19" xfId="924"/>
    <cellStyle name="Normal 7 3 2 2 3 2 2 2" xfId="925"/>
    <cellStyle name="Normal 7 3 2 2 3 2 2 2 2" xfId="926"/>
    <cellStyle name="Normal 7 3 2 2 3 2 2 2 3" xfId="927"/>
    <cellStyle name="Normal 7 3 2 2 3 2 2 2 3 2 2 2 2 8 2 2 2 3 2 3 3" xfId="1478"/>
    <cellStyle name="Normal 7 3 2 2 3 2 2 2 4" xfId="928"/>
    <cellStyle name="Normal 7 3 2 2 3 2 2 2 5" xfId="929"/>
    <cellStyle name="Normal 7 3 2 2 3 2 2 2 99 2 3 3 2 2 3" xfId="1479"/>
    <cellStyle name="Normal 7 3 2 2 3 2 2 3" xfId="930"/>
    <cellStyle name="Normal 7 3 2 2 3 2 2 3 2" xfId="931"/>
    <cellStyle name="Normal 7 3 2 2 3 2 2 3 2 2 28 2 2 2 3 2" xfId="1480"/>
    <cellStyle name="Normal 7 3 2 2 3 2 2 3 2 2 28 2 2 2 3 2 2" xfId="1481"/>
    <cellStyle name="Normal 7 3 2 2 3 2 2 3 3" xfId="932"/>
    <cellStyle name="Normal 7 3 2 2 3 2 2 3 4" xfId="933"/>
    <cellStyle name="Normal 7 3 2 2 3 2 2 3 5" xfId="934"/>
    <cellStyle name="Normal 7 3 2 2 3 2 2 4" xfId="935"/>
    <cellStyle name="Normal 7 3 2 2 3 2 2 5" xfId="936"/>
    <cellStyle name="Normal 7 3 2 2 3 2 2 6" xfId="937"/>
    <cellStyle name="Normal 7 3 2 2 3 2 2 7" xfId="938"/>
    <cellStyle name="Normal 7 3 2 2 3 2 2 8" xfId="939"/>
    <cellStyle name="Normal 7 3 2 2 3 2 2 9" xfId="940"/>
    <cellStyle name="Normal 7 3 2 2 3 2 3" xfId="941"/>
    <cellStyle name="Normal 7 3 2 2 3 2 3 2" xfId="942"/>
    <cellStyle name="Normal 7 3 2 2 3 2 3 3" xfId="943"/>
    <cellStyle name="Normal 7 3 2 2 3 2 3 4" xfId="944"/>
    <cellStyle name="Normal 7 3 2 2 3 2 3 5" xfId="945"/>
    <cellStyle name="Normal 7 3 2 2 3 2 4" xfId="946"/>
    <cellStyle name="Normal 7 3 2 2 3 2 4 2" xfId="947"/>
    <cellStyle name="Normal 7 3 2 2 3 2 4 3" xfId="948"/>
    <cellStyle name="Normal 7 3 2 2 3 2 4 4" xfId="949"/>
    <cellStyle name="Normal 7 3 2 2 3 2 4 5" xfId="950"/>
    <cellStyle name="Normal 7 3 2 2 3 2 5" xfId="951"/>
    <cellStyle name="Normal 7 3 2 2 3 2 6" xfId="952"/>
    <cellStyle name="Normal 7 3 2 2 3 2 7" xfId="953"/>
    <cellStyle name="Normal 7 3 2 2 3 2 8" xfId="954"/>
    <cellStyle name="Normal 7 3 2 2 3 3" xfId="955"/>
    <cellStyle name="Normal 7 3 2 2 3 3 2" xfId="956"/>
    <cellStyle name="Normal 7 3 2 2 3 3 2 2" xfId="957"/>
    <cellStyle name="Normal 7 3 2 2 3 3 2 3" xfId="958"/>
    <cellStyle name="Normal 7 3 2 2 3 3 2 4" xfId="959"/>
    <cellStyle name="Normal 7 3 2 2 3 3 2 5" xfId="960"/>
    <cellStyle name="Normal 7 3 2 2 3 3 3" xfId="961"/>
    <cellStyle name="Normal 7 3 2 2 3 3 3 2" xfId="962"/>
    <cellStyle name="Normal 7 3 2 2 3 3 3 3" xfId="963"/>
    <cellStyle name="Normal 7 3 2 2 3 3 3 4" xfId="964"/>
    <cellStyle name="Normal 7 3 2 2 3 3 3 5" xfId="965"/>
    <cellStyle name="Normal 7 3 2 2 3 3 4" xfId="966"/>
    <cellStyle name="Normal 7 3 2 2 3 3 5" xfId="967"/>
    <cellStyle name="Normal 7 3 2 2 3 3 6" xfId="968"/>
    <cellStyle name="Normal 7 3 2 2 3 3 7" xfId="969"/>
    <cellStyle name="Normal 7 3 2 2 3 4" xfId="970"/>
    <cellStyle name="Normal 7 3 2 2 3 4 2" xfId="971"/>
    <cellStyle name="Normal 7 3 2 2 3 4 3" xfId="972"/>
    <cellStyle name="Normal 7 3 2 2 3 4 4" xfId="973"/>
    <cellStyle name="Normal 7 3 2 2 3 4 5" xfId="974"/>
    <cellStyle name="Normal 7 3 2 2 3 5" xfId="975"/>
    <cellStyle name="Normal 7 3 2 2 3 5 2" xfId="976"/>
    <cellStyle name="Normal 7 3 2 2 3 5 3" xfId="977"/>
    <cellStyle name="Normal 7 3 2 2 3 5 4" xfId="978"/>
    <cellStyle name="Normal 7 3 2 2 3 5 5" xfId="979"/>
    <cellStyle name="Normal 7 3 2 2 3 6" xfId="980"/>
    <cellStyle name="Normal 7 3 2 2 3 7" xfId="981"/>
    <cellStyle name="Normal 7 3 2 2 3 8" xfId="982"/>
    <cellStyle name="Normal 7 3 2 2 3 9" xfId="983"/>
    <cellStyle name="Normal 7 3 2 2 4" xfId="984"/>
    <cellStyle name="Normal 7 3 2 2 4 2" xfId="985"/>
    <cellStyle name="Normal 7 3 2 2 4 3" xfId="986"/>
    <cellStyle name="Normal 7 3 2 2 4 4" xfId="987"/>
    <cellStyle name="Normal 7 3 2 2 4 5" xfId="988"/>
    <cellStyle name="Normal 7 3 2 2 5" xfId="989"/>
    <cellStyle name="Normal 7 3 2 2 5 2" xfId="990"/>
    <cellStyle name="Normal 7 3 2 2 5 3" xfId="991"/>
    <cellStyle name="Normal 7 3 2 2 5 4" xfId="992"/>
    <cellStyle name="Normal 7 3 2 2 5 5" xfId="993"/>
    <cellStyle name="Normal 7 3 2 2 6" xfId="994"/>
    <cellStyle name="Normal 7 3 2 2 7" xfId="995"/>
    <cellStyle name="Normal 7 3 2 2 8" xfId="996"/>
    <cellStyle name="Normal 7 3 2 2 9" xfId="997"/>
    <cellStyle name="Normal 7 3 2 3" xfId="998"/>
    <cellStyle name="Normal 7 3 2 3 2" xfId="999"/>
    <cellStyle name="Normal 7 3 2 3 2 2" xfId="1000"/>
    <cellStyle name="Normal 7 3 2 3 2 2 2" xfId="1001"/>
    <cellStyle name="Normal 7 3 2 3 2 2 3" xfId="1002"/>
    <cellStyle name="Normal 7 3 2 3 2 2 4" xfId="1003"/>
    <cellStyle name="Normal 7 3 2 3 2 2 5" xfId="1004"/>
    <cellStyle name="Normal 7 3 2 3 2 3" xfId="1005"/>
    <cellStyle name="Normal 7 3 2 3 2 3 2" xfId="1006"/>
    <cellStyle name="Normal 7 3 2 3 2 3 3" xfId="1007"/>
    <cellStyle name="Normal 7 3 2 3 2 3 4" xfId="1008"/>
    <cellStyle name="Normal 7 3 2 3 2 3 5" xfId="1009"/>
    <cellStyle name="Normal 7 3 2 3 2 4" xfId="1010"/>
    <cellStyle name="Normal 7 3 2 3 2 5" xfId="1011"/>
    <cellStyle name="Normal 7 3 2 3 2 6" xfId="1012"/>
    <cellStyle name="Normal 7 3 2 3 2 7" xfId="1013"/>
    <cellStyle name="Normal 7 3 2 3 3" xfId="1014"/>
    <cellStyle name="Normal 7 3 2 3 3 2" xfId="1015"/>
    <cellStyle name="Normal 7 3 2 3 3 3" xfId="1016"/>
    <cellStyle name="Normal 7 3 2 3 3 4" xfId="1017"/>
    <cellStyle name="Normal 7 3 2 3 3 5" xfId="1018"/>
    <cellStyle name="Normal 7 3 2 3 4" xfId="1019"/>
    <cellStyle name="Normal 7 3 2 3 4 2" xfId="1020"/>
    <cellStyle name="Normal 7 3 2 3 4 3" xfId="1021"/>
    <cellStyle name="Normal 7 3 2 3 4 4" xfId="1022"/>
    <cellStyle name="Normal 7 3 2 3 4 5" xfId="1023"/>
    <cellStyle name="Normal 7 3 2 3 5" xfId="1024"/>
    <cellStyle name="Normal 7 3 2 3 6" xfId="1025"/>
    <cellStyle name="Normal 7 3 2 3 7" xfId="1026"/>
    <cellStyle name="Normal 7 3 2 3 8" xfId="1027"/>
    <cellStyle name="Normal 7 3 2 4" xfId="1028"/>
    <cellStyle name="Normal 7 3 2 4 2" xfId="1029"/>
    <cellStyle name="Normal 7 3 2 4 2 2" xfId="1030"/>
    <cellStyle name="Normal 7 3 2 4 2 3" xfId="1031"/>
    <cellStyle name="Normal 7 3 2 4 2 4" xfId="1032"/>
    <cellStyle name="Normal 7 3 2 4 2 5" xfId="1033"/>
    <cellStyle name="Normal 7 3 2 4 3" xfId="1034"/>
    <cellStyle name="Normal 7 3 2 4 3 2" xfId="1035"/>
    <cellStyle name="Normal 7 3 2 4 3 3" xfId="1036"/>
    <cellStyle name="Normal 7 3 2 4 3 4" xfId="1037"/>
    <cellStyle name="Normal 7 3 2 4 3 5" xfId="1038"/>
    <cellStyle name="Normal 7 3 2 4 4" xfId="1039"/>
    <cellStyle name="Normal 7 3 2 4 5" xfId="1040"/>
    <cellStyle name="Normal 7 3 2 4 6" xfId="1041"/>
    <cellStyle name="Normal 7 3 2 4 7" xfId="1042"/>
    <cellStyle name="Normal 7 3 2 5" xfId="1043"/>
    <cellStyle name="Normal 7 3 2 5 2" xfId="1044"/>
    <cellStyle name="Normal 7 3 2 5 3" xfId="1045"/>
    <cellStyle name="Normal 7 3 2 5 4" xfId="1046"/>
    <cellStyle name="Normal 7 3 2 5 5" xfId="1047"/>
    <cellStyle name="Normal 7 3 2 6" xfId="1048"/>
    <cellStyle name="Normal 7 3 2 6 2" xfId="1049"/>
    <cellStyle name="Normal 7 3 2 6 3" xfId="1050"/>
    <cellStyle name="Normal 7 3 2 6 4" xfId="1051"/>
    <cellStyle name="Normal 7 3 2 6 5" xfId="1052"/>
    <cellStyle name="Normal 7 3 2 7" xfId="1053"/>
    <cellStyle name="Normal 7 3 2 8" xfId="1054"/>
    <cellStyle name="Normal 7 3 2 9" xfId="1055"/>
    <cellStyle name="Normal 7 3 20" xfId="1056"/>
    <cellStyle name="Normal 7 3 21" xfId="1057"/>
    <cellStyle name="Normal 7 3 22" xfId="1058"/>
    <cellStyle name="Normal 7 3 23" xfId="1059"/>
    <cellStyle name="Normal 7 3 3" xfId="1060"/>
    <cellStyle name="Normal 7 3 3 10" xfId="1061"/>
    <cellStyle name="Normal 7 3 3 11" xfId="1062"/>
    <cellStyle name="Normal 7 3 3 12" xfId="1063"/>
    <cellStyle name="Normal 7 3 3 13" xfId="1064"/>
    <cellStyle name="Normal 7 3 3 14" xfId="1065"/>
    <cellStyle name="Normal 7 3 3 15" xfId="1066"/>
    <cellStyle name="Normal 7 3 3 16" xfId="1067"/>
    <cellStyle name="Normal 7 3 3 17" xfId="1068"/>
    <cellStyle name="Normal 7 3 3 18" xfId="1069"/>
    <cellStyle name="Normal 7 3 3 2" xfId="1070"/>
    <cellStyle name="Normal 7 3 3 2 2" xfId="1071"/>
    <cellStyle name="Normal 7 3 3 2 3" xfId="1072"/>
    <cellStyle name="Normal 7 3 3 2 4" xfId="1073"/>
    <cellStyle name="Normal 7 3 3 2 5" xfId="1074"/>
    <cellStyle name="Normal 7 3 3 3" xfId="1075"/>
    <cellStyle name="Normal 7 3 3 3 2" xfId="1076"/>
    <cellStyle name="Normal 7 3 3 3 3" xfId="1077"/>
    <cellStyle name="Normal 7 3 3 3 4" xfId="1078"/>
    <cellStyle name="Normal 7 3 3 3 5" xfId="1079"/>
    <cellStyle name="Normal 7 3 3 4" xfId="1080"/>
    <cellStyle name="Normal 7 3 3 5" xfId="1081"/>
    <cellStyle name="Normal 7 3 3 6" xfId="1082"/>
    <cellStyle name="Normal 7 3 3 7" xfId="1083"/>
    <cellStyle name="Normal 7 3 3 8" xfId="1084"/>
    <cellStyle name="Normal 7 3 3 9" xfId="1085"/>
    <cellStyle name="Normal 7 3 4" xfId="1086"/>
    <cellStyle name="Normal 7 3 4 10" xfId="1087"/>
    <cellStyle name="Normal 7 3 4 11" xfId="1088"/>
    <cellStyle name="Normal 7 3 4 12" xfId="1089"/>
    <cellStyle name="Normal 7 3 4 13" xfId="1090"/>
    <cellStyle name="Normal 7 3 4 14" xfId="1091"/>
    <cellStyle name="Normal 7 3 4 15" xfId="1092"/>
    <cellStyle name="Normal 7 3 4 16" xfId="1093"/>
    <cellStyle name="Normal 7 3 4 17" xfId="1094"/>
    <cellStyle name="Normal 7 3 4 18" xfId="1095"/>
    <cellStyle name="Normal 7 3 4 2" xfId="1096"/>
    <cellStyle name="Normal 7 3 4 3" xfId="1097"/>
    <cellStyle name="Normal 7 3 4 4" xfId="1098"/>
    <cellStyle name="Normal 7 3 4 5" xfId="1099"/>
    <cellStyle name="Normal 7 3 4 6" xfId="1100"/>
    <cellStyle name="Normal 7 3 4 7" xfId="1101"/>
    <cellStyle name="Normal 7 3 4 8" xfId="1102"/>
    <cellStyle name="Normal 7 3 4 9" xfId="1103"/>
    <cellStyle name="Normal 7 3 5" xfId="1104"/>
    <cellStyle name="Normal 7 3 5 2" xfId="1105"/>
    <cellStyle name="Normal 7 3 5 3" xfId="1106"/>
    <cellStyle name="Normal 7 3 5 4" xfId="1107"/>
    <cellStyle name="Normal 7 3 5 5" xfId="1108"/>
    <cellStyle name="Normal 7 3 6" xfId="1109"/>
    <cellStyle name="Normal 7 3 7" xfId="1110"/>
    <cellStyle name="Normal 7 3 8" xfId="1111"/>
    <cellStyle name="Normal 7 3 9" xfId="1112"/>
    <cellStyle name="Normal 7 4" xfId="1113"/>
    <cellStyle name="Normal 7 4 10" xfId="1114"/>
    <cellStyle name="Normal 7 4 11" xfId="1115"/>
    <cellStyle name="Normal 7 4 12" xfId="1116"/>
    <cellStyle name="Normal 7 4 13" xfId="1117"/>
    <cellStyle name="Normal 7 4 14" xfId="1118"/>
    <cellStyle name="Normal 7 4 15" xfId="1119"/>
    <cellStyle name="Normal 7 4 16" xfId="1120"/>
    <cellStyle name="Normal 7 4 17" xfId="1121"/>
    <cellStyle name="Normal 7 4 18" xfId="1122"/>
    <cellStyle name="Normal 7 4 2" xfId="1123"/>
    <cellStyle name="Normal 7 4 2 2" xfId="1124"/>
    <cellStyle name="Normal 7 4 2 3" xfId="1125"/>
    <cellStyle name="Normal 7 4 2 4" xfId="1126"/>
    <cellStyle name="Normal 7 4 2 5" xfId="1127"/>
    <cellStyle name="Normal 7 4 3" xfId="1128"/>
    <cellStyle name="Normal 7 4 3 2" xfId="1129"/>
    <cellStyle name="Normal 7 4 3 3" xfId="1130"/>
    <cellStyle name="Normal 7 4 3 4" xfId="1131"/>
    <cellStyle name="Normal 7 4 3 5" xfId="1132"/>
    <cellStyle name="Normal 7 4 4" xfId="1133"/>
    <cellStyle name="Normal 7 4 5" xfId="1134"/>
    <cellStyle name="Normal 7 4 6" xfId="1135"/>
    <cellStyle name="Normal 7 4 7" xfId="1136"/>
    <cellStyle name="Normal 7 4 8" xfId="1137"/>
    <cellStyle name="Normal 7 4 9" xfId="1138"/>
    <cellStyle name="Normal 7 5" xfId="1139"/>
    <cellStyle name="Normal 7 5 2" xfId="1140"/>
    <cellStyle name="Normal 7 5 3" xfId="1141"/>
    <cellStyle name="Normal 7 5 4" xfId="1142"/>
    <cellStyle name="Normal 7 5 5" xfId="1143"/>
    <cellStyle name="Normal 7 6" xfId="1144"/>
    <cellStyle name="Normal 7 6 2" xfId="1145"/>
    <cellStyle name="Normal 7 6 3" xfId="1146"/>
    <cellStyle name="Normal 7 6 4" xfId="1147"/>
    <cellStyle name="Normal 7 6 5" xfId="1148"/>
    <cellStyle name="Normal 7 7" xfId="1149"/>
    <cellStyle name="Normal 7 8" xfId="1150"/>
    <cellStyle name="Normal 7 9" xfId="1151"/>
    <cellStyle name="Normal 8" xfId="1152"/>
    <cellStyle name="Normal 8 2" xfId="1153"/>
    <cellStyle name="Normal 8 3" xfId="1154"/>
    <cellStyle name="Normal 9" xfId="1155"/>
    <cellStyle name="Notas 2" xfId="1156"/>
    <cellStyle name="Notas 2 10" xfId="1157"/>
    <cellStyle name="Notas 2 10 2" xfId="1158"/>
    <cellStyle name="Notas 2 10 2 2" xfId="1482"/>
    <cellStyle name="Notas 2 10 2 3" xfId="1483"/>
    <cellStyle name="Notas 2 10 2 4" xfId="1484"/>
    <cellStyle name="Notas 2 10 3" xfId="1159"/>
    <cellStyle name="Notas 2 11" xfId="1160"/>
    <cellStyle name="Notas 2 11 2" xfId="1161"/>
    <cellStyle name="Notas 2 11 2 2" xfId="1485"/>
    <cellStyle name="Notas 2 11 2 3" xfId="1486"/>
    <cellStyle name="Notas 2 11 2 4" xfId="1487"/>
    <cellStyle name="Notas 2 11 3" xfId="1162"/>
    <cellStyle name="Notas 2 12" xfId="1163"/>
    <cellStyle name="Notas 2 12 2" xfId="1164"/>
    <cellStyle name="Notas 2 12 2 2" xfId="1488"/>
    <cellStyle name="Notas 2 12 2 3" xfId="1489"/>
    <cellStyle name="Notas 2 12 2 4" xfId="1490"/>
    <cellStyle name="Notas 2 12 3" xfId="1165"/>
    <cellStyle name="Notas 2 13" xfId="1166"/>
    <cellStyle name="Notas 2 13 2" xfId="1167"/>
    <cellStyle name="Notas 2 13 2 2" xfId="1491"/>
    <cellStyle name="Notas 2 13 2 3" xfId="1492"/>
    <cellStyle name="Notas 2 13 2 4" xfId="1493"/>
    <cellStyle name="Notas 2 13 3" xfId="1168"/>
    <cellStyle name="Notas 2 14" xfId="1169"/>
    <cellStyle name="Notas 2 14 2" xfId="1170"/>
    <cellStyle name="Notas 2 14 2 2" xfId="1494"/>
    <cellStyle name="Notas 2 14 2 3" xfId="1495"/>
    <cellStyle name="Notas 2 14 2 4" xfId="1496"/>
    <cellStyle name="Notas 2 14 3" xfId="1171"/>
    <cellStyle name="Notas 2 15" xfId="1172"/>
    <cellStyle name="Notas 2 15 2" xfId="1173"/>
    <cellStyle name="Notas 2 15 2 2" xfId="1497"/>
    <cellStyle name="Notas 2 15 2 3" xfId="1498"/>
    <cellStyle name="Notas 2 15 2 4" xfId="1499"/>
    <cellStyle name="Notas 2 15 3" xfId="1174"/>
    <cellStyle name="Notas 2 16" xfId="1175"/>
    <cellStyle name="Notas 2 16 2" xfId="1176"/>
    <cellStyle name="Notas 2 16 2 2" xfId="1500"/>
    <cellStyle name="Notas 2 16 2 3" xfId="1501"/>
    <cellStyle name="Notas 2 16 2 4" xfId="1502"/>
    <cellStyle name="Notas 2 16 3" xfId="1177"/>
    <cellStyle name="Notas 2 17" xfId="1178"/>
    <cellStyle name="Notas 2 17 2" xfId="1179"/>
    <cellStyle name="Notas 2 17 2 2" xfId="1503"/>
    <cellStyle name="Notas 2 17 2 3" xfId="1504"/>
    <cellStyle name="Notas 2 17 2 4" xfId="1505"/>
    <cellStyle name="Notas 2 17 3" xfId="1180"/>
    <cellStyle name="Notas 2 18" xfId="1181"/>
    <cellStyle name="Notas 2 18 2" xfId="1182"/>
    <cellStyle name="Notas 2 18 2 2" xfId="1506"/>
    <cellStyle name="Notas 2 18 2 3" xfId="1507"/>
    <cellStyle name="Notas 2 18 2 4" xfId="1508"/>
    <cellStyle name="Notas 2 18 3" xfId="1183"/>
    <cellStyle name="Notas 2 19" xfId="1184"/>
    <cellStyle name="Notas 2 19 2" xfId="1509"/>
    <cellStyle name="Notas 2 19 3" xfId="1510"/>
    <cellStyle name="Notas 2 19 4" xfId="1511"/>
    <cellStyle name="Notas 2 2" xfId="1185"/>
    <cellStyle name="Notas 2 2 2" xfId="1186"/>
    <cellStyle name="Notas 2 2 2 2" xfId="1512"/>
    <cellStyle name="Notas 2 2 2 3" xfId="1513"/>
    <cellStyle name="Notas 2 2 2 4" xfId="1514"/>
    <cellStyle name="Notas 2 2 3" xfId="1187"/>
    <cellStyle name="Notas 2 20" xfId="1188"/>
    <cellStyle name="Notas 2 3" xfId="1189"/>
    <cellStyle name="Notas 2 3 2" xfId="1190"/>
    <cellStyle name="Notas 2 3 2 2" xfId="1515"/>
    <cellStyle name="Notas 2 3 2 3" xfId="1516"/>
    <cellStyle name="Notas 2 3 2 4" xfId="1517"/>
    <cellStyle name="Notas 2 3 3" xfId="1191"/>
    <cellStyle name="Notas 2 4" xfId="1192"/>
    <cellStyle name="Notas 2 4 2" xfId="1193"/>
    <cellStyle name="Notas 2 4 2 2" xfId="1518"/>
    <cellStyle name="Notas 2 4 2 3" xfId="1519"/>
    <cellStyle name="Notas 2 4 2 4" xfId="1520"/>
    <cellStyle name="Notas 2 4 3" xfId="1194"/>
    <cellStyle name="Notas 2 5" xfId="1195"/>
    <cellStyle name="Notas 2 5 2" xfId="1196"/>
    <cellStyle name="Notas 2 5 2 2" xfId="1521"/>
    <cellStyle name="Notas 2 5 2 3" xfId="1522"/>
    <cellStyle name="Notas 2 5 2 4" xfId="1523"/>
    <cellStyle name="Notas 2 5 3" xfId="1197"/>
    <cellStyle name="Notas 2 6" xfId="1198"/>
    <cellStyle name="Notas 2 6 2" xfId="1199"/>
    <cellStyle name="Notas 2 6 2 2" xfId="1524"/>
    <cellStyle name="Notas 2 6 2 3" xfId="1525"/>
    <cellStyle name="Notas 2 6 2 4" xfId="1526"/>
    <cellStyle name="Notas 2 6 3" xfId="1200"/>
    <cellStyle name="Notas 2 7" xfId="1201"/>
    <cellStyle name="Notas 2 7 2" xfId="1202"/>
    <cellStyle name="Notas 2 7 2 2" xfId="1527"/>
    <cellStyle name="Notas 2 7 2 3" xfId="1528"/>
    <cellStyle name="Notas 2 7 2 4" xfId="1529"/>
    <cellStyle name="Notas 2 7 3" xfId="1203"/>
    <cellStyle name="Notas 2 8" xfId="1204"/>
    <cellStyle name="Notas 2 8 2" xfId="1205"/>
    <cellStyle name="Notas 2 8 2 2" xfId="1530"/>
    <cellStyle name="Notas 2 8 2 3" xfId="1531"/>
    <cellStyle name="Notas 2 8 2 4" xfId="1532"/>
    <cellStyle name="Notas 2 8 3" xfId="1206"/>
    <cellStyle name="Notas 2 9" xfId="1207"/>
    <cellStyle name="Notas 2 9 2" xfId="1208"/>
    <cellStyle name="Notas 2 9 2 2" xfId="1533"/>
    <cellStyle name="Notas 2 9 2 3" xfId="1534"/>
    <cellStyle name="Notas 2 9 2 4" xfId="1535"/>
    <cellStyle name="Notas 2 9 3" xfId="1209"/>
    <cellStyle name="Porcentaje 2" xfId="1210"/>
    <cellStyle name="Porcentaje 3" xfId="1652"/>
    <cellStyle name="Porcentual 2" xfId="1211"/>
    <cellStyle name="Porcentual 2 10" xfId="1212"/>
    <cellStyle name="Porcentual 2 11" xfId="1213"/>
    <cellStyle name="Porcentual 2 12" xfId="1214"/>
    <cellStyle name="Porcentual 2 13" xfId="1215"/>
    <cellStyle name="Porcentual 2 14" xfId="1216"/>
    <cellStyle name="Porcentual 2 15" xfId="1217"/>
    <cellStyle name="Porcentual 2 16" xfId="1218"/>
    <cellStyle name="Porcentual 2 17" xfId="1219"/>
    <cellStyle name="Porcentual 2 18" xfId="1220"/>
    <cellStyle name="Porcentual 2 19" xfId="1221"/>
    <cellStyle name="Porcentual 2 2" xfId="1222"/>
    <cellStyle name="Porcentual 2 20" xfId="1223"/>
    <cellStyle name="Porcentual 2 21" xfId="1224"/>
    <cellStyle name="Porcentual 2 22" xfId="1225"/>
    <cellStyle name="Porcentual 2 23" xfId="1226"/>
    <cellStyle name="Porcentual 2 24" xfId="1227"/>
    <cellStyle name="Porcentual 2 25" xfId="1228"/>
    <cellStyle name="Porcentual 2 26" xfId="1229"/>
    <cellStyle name="Porcentual 2 27" xfId="1230"/>
    <cellStyle name="Porcentual 2 28" xfId="1231"/>
    <cellStyle name="Porcentual 2 29" xfId="1232"/>
    <cellStyle name="Porcentual 2 3" xfId="1233"/>
    <cellStyle name="Porcentual 2 30" xfId="1234"/>
    <cellStyle name="Porcentual 2 31" xfId="1235"/>
    <cellStyle name="Porcentual 2 32" xfId="1236"/>
    <cellStyle name="Porcentual 2 4" xfId="1237"/>
    <cellStyle name="Porcentual 2 5" xfId="1238"/>
    <cellStyle name="Porcentual 2 6" xfId="1239"/>
    <cellStyle name="Porcentual 2 7" xfId="1240"/>
    <cellStyle name="Porcentual 2 8" xfId="1241"/>
    <cellStyle name="Porcentual 2 9" xfId="1242"/>
    <cellStyle name="Porcentual 3" xfId="1243"/>
    <cellStyle name="Porcentual 3 2" xfId="1244"/>
    <cellStyle name="Porcentual 3 3" xfId="1245"/>
    <cellStyle name="Porcentual 3 4" xfId="1246"/>
    <cellStyle name="Porcentual 3 5" xfId="1247"/>
    <cellStyle name="Porcentual 3 6" xfId="1248"/>
    <cellStyle name="Porcentual 4" xfId="1249"/>
    <cellStyle name="Porcentual 4 2" xfId="1250"/>
    <cellStyle name="Porcentual 4 3" xfId="1251"/>
    <cellStyle name="Salida 2" xfId="1252"/>
    <cellStyle name="Salida 2 10" xfId="1253"/>
    <cellStyle name="Salida 2 10 2" xfId="1254"/>
    <cellStyle name="Salida 2 10 2 2" xfId="1536"/>
    <cellStyle name="Salida 2 10 2 3" xfId="1537"/>
    <cellStyle name="Salida 2 10 2 4" xfId="1538"/>
    <cellStyle name="Salida 2 10 3" xfId="1255"/>
    <cellStyle name="Salida 2 11" xfId="1256"/>
    <cellStyle name="Salida 2 11 2" xfId="1257"/>
    <cellStyle name="Salida 2 11 2 2" xfId="1539"/>
    <cellStyle name="Salida 2 11 2 3" xfId="1540"/>
    <cellStyle name="Salida 2 11 2 4" xfId="1541"/>
    <cellStyle name="Salida 2 11 3" xfId="1258"/>
    <cellStyle name="Salida 2 12" xfId="1259"/>
    <cellStyle name="Salida 2 12 2" xfId="1260"/>
    <cellStyle name="Salida 2 12 2 2" xfId="1542"/>
    <cellStyle name="Salida 2 12 2 3" xfId="1543"/>
    <cellStyle name="Salida 2 12 2 4" xfId="1544"/>
    <cellStyle name="Salida 2 12 3" xfId="1261"/>
    <cellStyle name="Salida 2 13" xfId="1262"/>
    <cellStyle name="Salida 2 13 2" xfId="1263"/>
    <cellStyle name="Salida 2 13 2 2" xfId="1545"/>
    <cellStyle name="Salida 2 13 2 3" xfId="1546"/>
    <cellStyle name="Salida 2 13 2 4" xfId="1547"/>
    <cellStyle name="Salida 2 13 3" xfId="1264"/>
    <cellStyle name="Salida 2 14" xfId="1265"/>
    <cellStyle name="Salida 2 14 2" xfId="1266"/>
    <cellStyle name="Salida 2 14 2 2" xfId="1548"/>
    <cellStyle name="Salida 2 14 2 3" xfId="1549"/>
    <cellStyle name="Salida 2 14 2 4" xfId="1550"/>
    <cellStyle name="Salida 2 14 3" xfId="1267"/>
    <cellStyle name="Salida 2 15" xfId="1268"/>
    <cellStyle name="Salida 2 15 2" xfId="1269"/>
    <cellStyle name="Salida 2 15 2 2" xfId="1551"/>
    <cellStyle name="Salida 2 15 2 3" xfId="1552"/>
    <cellStyle name="Salida 2 15 2 4" xfId="1553"/>
    <cellStyle name="Salida 2 15 3" xfId="1270"/>
    <cellStyle name="Salida 2 16" xfId="1271"/>
    <cellStyle name="Salida 2 16 2" xfId="1272"/>
    <cellStyle name="Salida 2 16 2 2" xfId="1554"/>
    <cellStyle name="Salida 2 16 2 3" xfId="1555"/>
    <cellStyle name="Salida 2 16 2 4" xfId="1556"/>
    <cellStyle name="Salida 2 16 3" xfId="1273"/>
    <cellStyle name="Salida 2 17" xfId="1274"/>
    <cellStyle name="Salida 2 17 2" xfId="1275"/>
    <cellStyle name="Salida 2 17 2 2" xfId="1557"/>
    <cellStyle name="Salida 2 17 2 3" xfId="1558"/>
    <cellStyle name="Salida 2 17 2 4" xfId="1559"/>
    <cellStyle name="Salida 2 17 3" xfId="1276"/>
    <cellStyle name="Salida 2 18" xfId="1277"/>
    <cellStyle name="Salida 2 18 2" xfId="1278"/>
    <cellStyle name="Salida 2 18 2 2" xfId="1560"/>
    <cellStyle name="Salida 2 18 2 3" xfId="1561"/>
    <cellStyle name="Salida 2 18 2 4" xfId="1562"/>
    <cellStyle name="Salida 2 18 3" xfId="1279"/>
    <cellStyle name="Salida 2 19" xfId="1280"/>
    <cellStyle name="Salida 2 19 2" xfId="1563"/>
    <cellStyle name="Salida 2 19 3" xfId="1564"/>
    <cellStyle name="Salida 2 19 4" xfId="1565"/>
    <cellStyle name="Salida 2 2" xfId="1281"/>
    <cellStyle name="Salida 2 2 2" xfId="1282"/>
    <cellStyle name="Salida 2 2 2 2" xfId="1566"/>
    <cellStyle name="Salida 2 2 2 3" xfId="1567"/>
    <cellStyle name="Salida 2 2 2 4" xfId="1568"/>
    <cellStyle name="Salida 2 2 3" xfId="1283"/>
    <cellStyle name="Salida 2 20" xfId="1284"/>
    <cellStyle name="Salida 2 3" xfId="1285"/>
    <cellStyle name="Salida 2 3 2" xfId="1286"/>
    <cellStyle name="Salida 2 3 2 2" xfId="1569"/>
    <cellStyle name="Salida 2 3 2 3" xfId="1570"/>
    <cellStyle name="Salida 2 3 2 4" xfId="1571"/>
    <cellStyle name="Salida 2 3 3" xfId="1287"/>
    <cellStyle name="Salida 2 4" xfId="1288"/>
    <cellStyle name="Salida 2 4 2" xfId="1289"/>
    <cellStyle name="Salida 2 4 2 2" xfId="1572"/>
    <cellStyle name="Salida 2 4 2 3" xfId="1573"/>
    <cellStyle name="Salida 2 4 2 4" xfId="1574"/>
    <cellStyle name="Salida 2 4 3" xfId="1290"/>
    <cellStyle name="Salida 2 5" xfId="1291"/>
    <cellStyle name="Salida 2 5 2" xfId="1292"/>
    <cellStyle name="Salida 2 5 2 2" xfId="1575"/>
    <cellStyle name="Salida 2 5 2 3" xfId="1576"/>
    <cellStyle name="Salida 2 5 2 4" xfId="1577"/>
    <cellStyle name="Salida 2 5 3" xfId="1293"/>
    <cellStyle name="Salida 2 6" xfId="1294"/>
    <cellStyle name="Salida 2 6 2" xfId="1295"/>
    <cellStyle name="Salida 2 6 2 2" xfId="1578"/>
    <cellStyle name="Salida 2 6 2 3" xfId="1579"/>
    <cellStyle name="Salida 2 6 2 4" xfId="1580"/>
    <cellStyle name="Salida 2 6 3" xfId="1296"/>
    <cellStyle name="Salida 2 7" xfId="1297"/>
    <cellStyle name="Salida 2 7 2" xfId="1298"/>
    <cellStyle name="Salida 2 7 2 2" xfId="1581"/>
    <cellStyle name="Salida 2 7 2 3" xfId="1582"/>
    <cellStyle name="Salida 2 7 2 4" xfId="1583"/>
    <cellStyle name="Salida 2 7 3" xfId="1299"/>
    <cellStyle name="Salida 2 8" xfId="1300"/>
    <cellStyle name="Salida 2 8 2" xfId="1301"/>
    <cellStyle name="Salida 2 8 2 2" xfId="1584"/>
    <cellStyle name="Salida 2 8 2 3" xfId="1585"/>
    <cellStyle name="Salida 2 8 2 4" xfId="1586"/>
    <cellStyle name="Salida 2 8 3" xfId="1302"/>
    <cellStyle name="Salida 2 9" xfId="1303"/>
    <cellStyle name="Salida 2 9 2" xfId="1304"/>
    <cellStyle name="Salida 2 9 2 2" xfId="1587"/>
    <cellStyle name="Salida 2 9 2 3" xfId="1588"/>
    <cellStyle name="Salida 2 9 2 4" xfId="1589"/>
    <cellStyle name="Salida 2 9 3" xfId="1305"/>
    <cellStyle name="Texto de advertencia 2" xfId="1306"/>
    <cellStyle name="Texto explicativo 2" xfId="1307"/>
    <cellStyle name="Título 1 2" xfId="1308"/>
    <cellStyle name="Título 2 2" xfId="1309"/>
    <cellStyle name="Título 3 2" xfId="1310"/>
    <cellStyle name="Título 4" xfId="1311"/>
    <cellStyle name="Total 2" xfId="1312"/>
    <cellStyle name="Total 2 10" xfId="1313"/>
    <cellStyle name="Total 2 10 2" xfId="1314"/>
    <cellStyle name="Total 2 10 2 2" xfId="1590"/>
    <cellStyle name="Total 2 10 2 3" xfId="1591"/>
    <cellStyle name="Total 2 10 2 4" xfId="1592"/>
    <cellStyle name="Total 2 10 3" xfId="1315"/>
    <cellStyle name="Total 2 11" xfId="1316"/>
    <cellStyle name="Total 2 11 2" xfId="1317"/>
    <cellStyle name="Total 2 11 2 2" xfId="1593"/>
    <cellStyle name="Total 2 11 2 3" xfId="1594"/>
    <cellStyle name="Total 2 11 2 4" xfId="1595"/>
    <cellStyle name="Total 2 11 3" xfId="1318"/>
    <cellStyle name="Total 2 12" xfId="1319"/>
    <cellStyle name="Total 2 12 2" xfId="1320"/>
    <cellStyle name="Total 2 12 2 2" xfId="1596"/>
    <cellStyle name="Total 2 12 2 3" xfId="1597"/>
    <cellStyle name="Total 2 12 2 4" xfId="1598"/>
    <cellStyle name="Total 2 12 3" xfId="1321"/>
    <cellStyle name="Total 2 13" xfId="1322"/>
    <cellStyle name="Total 2 13 2" xfId="1323"/>
    <cellStyle name="Total 2 13 2 2" xfId="1599"/>
    <cellStyle name="Total 2 13 2 3" xfId="1600"/>
    <cellStyle name="Total 2 13 2 4" xfId="1601"/>
    <cellStyle name="Total 2 13 3" xfId="1324"/>
    <cellStyle name="Total 2 14" xfId="1325"/>
    <cellStyle name="Total 2 14 2" xfId="1326"/>
    <cellStyle name="Total 2 14 2 2" xfId="1602"/>
    <cellStyle name="Total 2 14 2 3" xfId="1603"/>
    <cellStyle name="Total 2 14 2 4" xfId="1604"/>
    <cellStyle name="Total 2 14 3" xfId="1327"/>
    <cellStyle name="Total 2 15" xfId="1328"/>
    <cellStyle name="Total 2 15 2" xfId="1329"/>
    <cellStyle name="Total 2 15 2 2" xfId="1605"/>
    <cellStyle name="Total 2 15 2 3" xfId="1606"/>
    <cellStyle name="Total 2 15 2 4" xfId="1607"/>
    <cellStyle name="Total 2 15 3" xfId="1330"/>
    <cellStyle name="Total 2 16" xfId="1331"/>
    <cellStyle name="Total 2 16 2" xfId="1332"/>
    <cellStyle name="Total 2 16 2 2" xfId="1608"/>
    <cellStyle name="Total 2 16 2 3" xfId="1609"/>
    <cellStyle name="Total 2 16 2 4" xfId="1610"/>
    <cellStyle name="Total 2 16 3" xfId="1333"/>
    <cellStyle name="Total 2 17" xfId="1334"/>
    <cellStyle name="Total 2 17 2" xfId="1335"/>
    <cellStyle name="Total 2 17 2 2" xfId="1611"/>
    <cellStyle name="Total 2 17 2 3" xfId="1612"/>
    <cellStyle name="Total 2 17 2 4" xfId="1613"/>
    <cellStyle name="Total 2 17 3" xfId="1336"/>
    <cellStyle name="Total 2 18" xfId="1337"/>
    <cellStyle name="Total 2 18 2" xfId="1338"/>
    <cellStyle name="Total 2 18 2 2" xfId="1614"/>
    <cellStyle name="Total 2 18 2 3" xfId="1615"/>
    <cellStyle name="Total 2 18 2 4" xfId="1616"/>
    <cellStyle name="Total 2 18 3" xfId="1339"/>
    <cellStyle name="Total 2 19" xfId="1340"/>
    <cellStyle name="Total 2 19 2" xfId="1617"/>
    <cellStyle name="Total 2 19 3" xfId="1618"/>
    <cellStyle name="Total 2 19 4" xfId="1619"/>
    <cellStyle name="Total 2 2" xfId="1341"/>
    <cellStyle name="Total 2 2 2" xfId="1342"/>
    <cellStyle name="Total 2 2 2 2" xfId="1620"/>
    <cellStyle name="Total 2 2 2 3" xfId="1621"/>
    <cellStyle name="Total 2 2 2 4" xfId="1622"/>
    <cellStyle name="Total 2 2 3" xfId="1343"/>
    <cellStyle name="Total 2 20" xfId="1344"/>
    <cellStyle name="Total 2 3" xfId="1345"/>
    <cellStyle name="Total 2 3 2" xfId="1346"/>
    <cellStyle name="Total 2 3 2 2" xfId="1623"/>
    <cellStyle name="Total 2 3 2 3" xfId="1624"/>
    <cellStyle name="Total 2 3 2 4" xfId="1625"/>
    <cellStyle name="Total 2 3 3" xfId="1347"/>
    <cellStyle name="Total 2 4" xfId="1348"/>
    <cellStyle name="Total 2 4 2" xfId="1349"/>
    <cellStyle name="Total 2 4 2 2" xfId="1626"/>
    <cellStyle name="Total 2 4 2 3" xfId="1627"/>
    <cellStyle name="Total 2 4 2 4" xfId="1628"/>
    <cellStyle name="Total 2 4 3" xfId="1350"/>
    <cellStyle name="Total 2 5" xfId="1351"/>
    <cellStyle name="Total 2 5 2" xfId="1352"/>
    <cellStyle name="Total 2 5 2 2" xfId="1629"/>
    <cellStyle name="Total 2 5 2 3" xfId="1630"/>
    <cellStyle name="Total 2 5 2 4" xfId="1631"/>
    <cellStyle name="Total 2 5 3" xfId="1353"/>
    <cellStyle name="Total 2 6" xfId="1354"/>
    <cellStyle name="Total 2 6 2" xfId="1355"/>
    <cellStyle name="Total 2 6 2 2" xfId="1632"/>
    <cellStyle name="Total 2 6 2 3" xfId="1633"/>
    <cellStyle name="Total 2 6 2 4" xfId="1634"/>
    <cellStyle name="Total 2 6 3" xfId="1356"/>
    <cellStyle name="Total 2 7" xfId="1357"/>
    <cellStyle name="Total 2 7 2" xfId="1358"/>
    <cellStyle name="Total 2 7 2 2" xfId="1635"/>
    <cellStyle name="Total 2 7 2 3" xfId="1636"/>
    <cellStyle name="Total 2 7 2 4" xfId="1637"/>
    <cellStyle name="Total 2 7 3" xfId="1359"/>
    <cellStyle name="Total 2 8" xfId="1360"/>
    <cellStyle name="Total 2 8 2" xfId="1361"/>
    <cellStyle name="Total 2 8 2 2" xfId="1638"/>
    <cellStyle name="Total 2 8 2 3" xfId="1639"/>
    <cellStyle name="Total 2 8 2 4" xfId="1640"/>
    <cellStyle name="Total 2 8 3" xfId="1362"/>
    <cellStyle name="Total 2 9" xfId="1363"/>
    <cellStyle name="Total 2 9 2" xfId="1364"/>
    <cellStyle name="Total 2 9 2 2" xfId="1641"/>
    <cellStyle name="Total 2 9 2 3" xfId="1642"/>
    <cellStyle name="Total 2 9 2 4" xfId="1643"/>
    <cellStyle name="Total 2 9 3" xfId="13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24</xdr:col>
      <xdr:colOff>628650</xdr:colOff>
      <xdr:row>0</xdr:row>
      <xdr:rowOff>161925</xdr:rowOff>
    </xdr:from>
    <xdr:to>
      <xdr:col>25</xdr:col>
      <xdr:colOff>9524</xdr:colOff>
      <xdr:row>2</xdr:row>
      <xdr:rowOff>219075</xdr:rowOff>
    </xdr:to>
    <xdr:pic>
      <xdr:nvPicPr>
        <xdr:cNvPr id="5" name="4 Imagen">
          <a:extLst>
            <a:ext uri="{FF2B5EF4-FFF2-40B4-BE49-F238E27FC236}">
              <a16:creationId xmlns:a16="http://schemas.microsoft.com/office/drawing/2014/main" xmlns="" id="{00000000-0008-0000-0300-000003000000}"/>
            </a:ext>
          </a:extLst>
        </xdr:cNvPr>
        <xdr:cNvPicPr/>
      </xdr:nvPicPr>
      <xdr:blipFill>
        <a:blip xmlns:r="http://schemas.openxmlformats.org/officeDocument/2006/relationships" r:embed="rId1" cstate="print"/>
        <a:srcRect/>
        <a:stretch>
          <a:fillRect/>
        </a:stretch>
      </xdr:blipFill>
      <xdr:spPr bwMode="auto">
        <a:xfrm>
          <a:off x="28879800" y="161925"/>
          <a:ext cx="761999" cy="819150"/>
        </a:xfrm>
        <a:prstGeom prst="rect">
          <a:avLst/>
        </a:prstGeom>
        <a:noFill/>
        <a:ln w="9525">
          <a:noFill/>
          <a:miter lim="800000"/>
          <a:headEnd/>
          <a:tailEnd/>
        </a:ln>
      </xdr:spPr>
    </xdr:pic>
    <xdr:clientData/>
  </xdr:twoCellAnchor>
  <xdr:twoCellAnchor editAs="oneCell">
    <xdr:from>
      <xdr:col>7</xdr:col>
      <xdr:colOff>361950</xdr:colOff>
      <xdr:row>0</xdr:row>
      <xdr:rowOff>180975</xdr:rowOff>
    </xdr:from>
    <xdr:to>
      <xdr:col>7</xdr:col>
      <xdr:colOff>1123949</xdr:colOff>
      <xdr:row>2</xdr:row>
      <xdr:rowOff>238125</xdr:rowOff>
    </xdr:to>
    <xdr:pic>
      <xdr:nvPicPr>
        <xdr:cNvPr id="6" name="4 Imagen">
          <a:extLst>
            <a:ext uri="{FF2B5EF4-FFF2-40B4-BE49-F238E27FC236}">
              <a16:creationId xmlns:a16="http://schemas.microsoft.com/office/drawing/2014/main" xmlns="" id="{00000000-0008-0000-0300-000003000000}"/>
            </a:ext>
          </a:extLst>
        </xdr:cNvPr>
        <xdr:cNvPicPr/>
      </xdr:nvPicPr>
      <xdr:blipFill>
        <a:blip xmlns:r="http://schemas.openxmlformats.org/officeDocument/2006/relationships" r:embed="rId1" cstate="print"/>
        <a:srcRect/>
        <a:stretch>
          <a:fillRect/>
        </a:stretch>
      </xdr:blipFill>
      <xdr:spPr bwMode="auto">
        <a:xfrm>
          <a:off x="10306050" y="180975"/>
          <a:ext cx="761999" cy="8191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cevesr\Downloads\Formatos%20Obras%20Publicas%20TRANSPARENCIA%20JUNIO%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cisneros\Downloads\Formatos%20Obras%20Publicas%20TRANSPARENCIA%20OCTUB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 inciso ñ)"/>
      <sheetName val="V, inciso o) (OP)"/>
      <sheetName val="V, inciso p) (OP)"/>
      <sheetName val="V, inciso c) (OP)"/>
      <sheetName val="Artículo 15, frac. XIII"/>
    </sheetNames>
    <sheetDataSet>
      <sheetData sheetId="0" refreshError="1"/>
      <sheetData sheetId="1" refreshError="1">
        <row r="7">
          <cell r="C7" t="str">
            <v>DOPI-MUN-IN-AD-236-2015</v>
          </cell>
          <cell r="G7" t="str">
            <v xml:space="preserve">Carlos Humberto </v>
          </cell>
          <cell r="H7" t="str">
            <v>Barragán</v>
          </cell>
          <cell r="I7" t="str">
            <v>Fonseca</v>
          </cell>
          <cell r="J7" t="str">
            <v>Grupo Constructor Inmobiliario Gucar, S.A. de C.V. ZAP-1377</v>
          </cell>
          <cell r="K7" t="str">
            <v>GCI9305175H8</v>
          </cell>
          <cell r="L7">
            <v>732176.24</v>
          </cell>
          <cell r="V7">
            <v>42356</v>
          </cell>
          <cell r="AA7" t="str">
            <v>Construcción de puente peatonal, guarniciones y banquetas en la colonia Villa de Guadalupe, Municipio de Zapopan, Jalisco.</v>
          </cell>
          <cell r="AD7">
            <v>42360</v>
          </cell>
          <cell r="AE7">
            <v>42400</v>
          </cell>
        </row>
        <row r="8">
          <cell r="C8" t="str">
            <v>DOPI-MUN-IN-AD-237-2015</v>
          </cell>
          <cell r="G8" t="str">
            <v>Luis Reynaldo</v>
          </cell>
          <cell r="H8" t="str">
            <v>Galván</v>
          </cell>
          <cell r="I8" t="str">
            <v>Bermejo</v>
          </cell>
          <cell r="J8" t="str">
            <v>Galjak Arquitectos y Construcciones, S.A. de C.V. ZAP-0588</v>
          </cell>
          <cell r="K8" t="str">
            <v>GAC051206TQ3</v>
          </cell>
          <cell r="L8">
            <v>1479664.22</v>
          </cell>
          <cell r="V8">
            <v>42356</v>
          </cell>
          <cell r="AA8" t="str">
            <v>Adecuación de la Academia de Polícia, primera etapa, Municipio de Zapopan, Jalisco.</v>
          </cell>
          <cell r="AD8">
            <v>42360</v>
          </cell>
          <cell r="AE8">
            <v>42400</v>
          </cell>
        </row>
        <row r="9">
          <cell r="C9" t="str">
            <v>DOPI-MUN-AD-238-2015</v>
          </cell>
          <cell r="G9" t="str">
            <v>José de Jesús</v>
          </cell>
          <cell r="H9" t="str">
            <v>Castillo</v>
          </cell>
          <cell r="I9" t="str">
            <v>Carrillo</v>
          </cell>
          <cell r="J9" t="str">
            <v>Mapa Obras y Pavimentos, S.A. de C.V. ZAP-0926</v>
          </cell>
          <cell r="K9" t="str">
            <v>MOP080610I53</v>
          </cell>
          <cell r="L9">
            <v>148758.56</v>
          </cell>
          <cell r="V9">
            <v>42388</v>
          </cell>
          <cell r="AA9" t="str">
            <v>Construcción de línea de drenaje sanitario y descargas domiciliarias en la calle Comitl de la calle Ozomatli a calle Michi, Municipio de Zapopan Jalisco.</v>
          </cell>
          <cell r="AD9">
            <v>42389</v>
          </cell>
          <cell r="AE9">
            <v>42439</v>
          </cell>
        </row>
        <row r="10">
          <cell r="C10" t="str">
            <v>DOPI-MUN-RM-APDS-AD-239-2015</v>
          </cell>
          <cell r="G10" t="str">
            <v>Francisco Javier</v>
          </cell>
          <cell r="H10" t="str">
            <v>Santiago</v>
          </cell>
          <cell r="I10" t="str">
            <v>Castro</v>
          </cell>
          <cell r="J10" t="str">
            <v>Uru Constructora, S.A. de C.V. ZAP-1957</v>
          </cell>
          <cell r="K10" t="str">
            <v>UCO120322GL0</v>
          </cell>
          <cell r="L10">
            <v>1462545.61</v>
          </cell>
          <cell r="V10">
            <v>42364</v>
          </cell>
          <cell r="AA10" t="str">
            <v>Construcción de línea de drenaje sanitario y de línea de agua potable en la calle Lic. Eliseo Orozco Gutiérrez en el tramo de la calle Prof. Idolina Gaona de Cossio a Av. Juan Gil Preciado, en la colonia Jardines de Nuevo México, municipio de Zapopan, Jalisco</v>
          </cell>
          <cell r="AD10">
            <v>42366</v>
          </cell>
          <cell r="AE10">
            <v>42434</v>
          </cell>
        </row>
        <row r="11">
          <cell r="C11" t="str">
            <v>DOPI-MUN-RM-APDS-AD-240-2015</v>
          </cell>
          <cell r="G11" t="str">
            <v>Miguel Ángel</v>
          </cell>
          <cell r="H11" t="str">
            <v>González</v>
          </cell>
          <cell r="I11" t="str">
            <v>Dávila</v>
          </cell>
          <cell r="J11" t="str">
            <v>Construcciones Levisa, S.A. de C.V. ZAP-1829</v>
          </cell>
          <cell r="K11" t="str">
            <v>CLE131023270</v>
          </cell>
          <cell r="L11">
            <v>1313000.04</v>
          </cell>
          <cell r="V11">
            <v>42364</v>
          </cell>
          <cell r="AA11" t="str">
            <v>Construcción de línea de drenaje sanitario y de línea de agua potable en la calle Lic. Eliseo Orozco Gutiérrez en el tramo de la calle Emiliano Zapata a calle Prof. Idolina Gaona de Cossio, en la colonia Jardines de Nuevo México, municipio de Zapopan, Jalisco</v>
          </cell>
          <cell r="AD11">
            <v>42366</v>
          </cell>
          <cell r="AE11">
            <v>42434</v>
          </cell>
        </row>
        <row r="12">
          <cell r="C12" t="str">
            <v>DOPI-MUN-RM-BAN-AD-241-2015</v>
          </cell>
          <cell r="G12" t="str">
            <v>Edwin</v>
          </cell>
          <cell r="H12" t="str">
            <v>Aguiar</v>
          </cell>
          <cell r="I12" t="str">
            <v>Escantel</v>
          </cell>
          <cell r="J12" t="str">
            <v>Manjarrez Urbanizaciones, S.A. de C.V.  ZAP-1141</v>
          </cell>
          <cell r="K12" t="str">
            <v>MUR090325P33</v>
          </cell>
          <cell r="L12">
            <v>48554.79</v>
          </cell>
          <cell r="V12">
            <v>42364</v>
          </cell>
          <cell r="AA12" t="str">
            <v>Construcción de banquetas, aproches de vialidades y preparación para alumbrado público, en la calle Vista Campestre, en la colonia Vista Hermosa, municipio de Zapopan, Jalisco</v>
          </cell>
          <cell r="AD12">
            <v>42366</v>
          </cell>
          <cell r="AE12">
            <v>42400</v>
          </cell>
        </row>
        <row r="13">
          <cell r="C13" t="str">
            <v>DOPI-MUN-RM-DS-AD-242-2015</v>
          </cell>
          <cell r="G13" t="str">
            <v>Mario</v>
          </cell>
          <cell r="H13" t="str">
            <v>Beltrán</v>
          </cell>
          <cell r="I13" t="str">
            <v>Rodríguez</v>
          </cell>
          <cell r="J13" t="str">
            <v>Constructora y Desarrolladora Barba y Asociados, S. A. de C. V.  ZAP-1587</v>
          </cell>
          <cell r="K13" t="str">
            <v>CDB0506068Z4</v>
          </cell>
          <cell r="L13">
            <v>883610.98</v>
          </cell>
          <cell r="V13">
            <v>42364</v>
          </cell>
          <cell r="AA13" t="str">
            <v>Construcción de línea de drenaje sanitario de 10", en las calles Santa Martha y Santo Santiago, en la colonia Lomas de Tabachines, municipio de Zapopan, Jalisco</v>
          </cell>
          <cell r="AD13">
            <v>42366</v>
          </cell>
          <cell r="AE13">
            <v>42460</v>
          </cell>
        </row>
        <row r="14">
          <cell r="C14" t="str">
            <v>DOPI-MUN-RM-DS-AD-243-2015</v>
          </cell>
          <cell r="G14" t="str">
            <v>Miguel Ángel</v>
          </cell>
          <cell r="H14" t="str">
            <v>Romero</v>
          </cell>
          <cell r="I14" t="str">
            <v>Lugo</v>
          </cell>
          <cell r="J14" t="str">
            <v>Obras y Comercialización de la Construcción, S.A. de C.V.  ZAP-0113</v>
          </cell>
          <cell r="K14" t="str">
            <v>OCC940714PB0</v>
          </cell>
          <cell r="L14">
            <v>83769.11</v>
          </cell>
          <cell r="V14">
            <v>42364</v>
          </cell>
          <cell r="AA14" t="str">
            <v>Construcción de línea de drenaje sanitario de 10", en la calle Gigante entre la calle Tabachines y El Arroyo, colonia Vicente Guerrero, municipio de Zapopan, Jalisco</v>
          </cell>
          <cell r="AD14">
            <v>42366</v>
          </cell>
          <cell r="AE14">
            <v>42400</v>
          </cell>
        </row>
        <row r="15">
          <cell r="C15" t="str">
            <v>DOPI-MUN-RP-PAV-AD-001-2016</v>
          </cell>
          <cell r="G15" t="str">
            <v>Guillermo</v>
          </cell>
          <cell r="H15" t="str">
            <v>Lara</v>
          </cell>
          <cell r="I15" t="str">
            <v>Vargas</v>
          </cell>
          <cell r="J15" t="str">
            <v>Desarrolladora Glar. S.A. de C.V. ZAP-0604</v>
          </cell>
          <cell r="K15" t="str">
            <v>DGL060620SUA</v>
          </cell>
          <cell r="L15">
            <v>999297</v>
          </cell>
          <cell r="V15">
            <v>42394</v>
          </cell>
          <cell r="AA15" t="str">
            <v>Reencarpetamiento de los carriles norte de la Avenida Acueducto del límite municipal a la Avenida Patria, incluye desbastado de la carpeta existente, Municipio de Zapopan, Jalisco</v>
          </cell>
          <cell r="AD15">
            <v>42396</v>
          </cell>
          <cell r="AE15">
            <v>42429</v>
          </cell>
        </row>
        <row r="16">
          <cell r="C16" t="str">
            <v>DOPI-MUN-RP-EP-AD-002-2016</v>
          </cell>
          <cell r="G16" t="str">
            <v>Héctor Guillermo</v>
          </cell>
          <cell r="H16" t="str">
            <v>Castro</v>
          </cell>
          <cell r="I16" t="str">
            <v>Gómez</v>
          </cell>
          <cell r="J16" t="str">
            <v>ARH Desarrollos Inmobiliarios, S.A. de C.V. ZAP-1740</v>
          </cell>
          <cell r="K16" t="str">
            <v>ADI130522MB7</v>
          </cell>
          <cell r="L16">
            <v>1615350.24</v>
          </cell>
          <cell r="V16">
            <v>42387</v>
          </cell>
          <cell r="AA16" t="str">
            <v>Demoliciones, preliminares, rellenos, plazoletas, rampas, protección de puentes, jardinería, en espacio público recuperado ubicado en Periferico Norte, entre la preparatoria No. 10 y el CUCEA, Municipio de Zapopan, Jalisco.</v>
          </cell>
          <cell r="AD16">
            <v>42388</v>
          </cell>
          <cell r="AE16">
            <v>42429</v>
          </cell>
        </row>
        <row r="17">
          <cell r="C17" t="str">
            <v>DOPI-MUN-RP-EP-AD-003-2016</v>
          </cell>
          <cell r="G17" t="str">
            <v>Salvador</v>
          </cell>
          <cell r="H17" t="str">
            <v>Barragán</v>
          </cell>
          <cell r="I17" t="str">
            <v>Fonseca</v>
          </cell>
          <cell r="J17" t="str">
            <v>Construcciones y Edificaciones Bato, S.A. de C.V.  ZAP-0066</v>
          </cell>
          <cell r="K17" t="str">
            <v>CEB961031DJ1</v>
          </cell>
          <cell r="L17">
            <v>1245297.3500000001</v>
          </cell>
          <cell r="V17">
            <v>42387</v>
          </cell>
          <cell r="AA17" t="str">
            <v>Mobiliario urbano, instalaciones eléctricas, alumbrado, defensa metálica, topes, aproches, bolardos, señalética, en espacio público recuperado ubicado en Periferico Norte, entre la preparatoria No. 10 y el CUCEA, Municipio de Zapopan, Jalisco.</v>
          </cell>
          <cell r="AD17">
            <v>42388</v>
          </cell>
          <cell r="AE17">
            <v>42429</v>
          </cell>
        </row>
        <row r="18">
          <cell r="C18" t="str">
            <v>DOPI-MUN-RP-CONT-AD-004-2016</v>
          </cell>
          <cell r="G18" t="str">
            <v>Bernardo</v>
          </cell>
          <cell r="H18" t="str">
            <v>Saenz</v>
          </cell>
          <cell r="I18" t="str">
            <v>Barba</v>
          </cell>
          <cell r="J18" t="str">
            <v>Grupo Edificador Mayab, S.A. de C.V. PCZ-032/2016</v>
          </cell>
          <cell r="K18" t="str">
            <v>GEM070112PX8</v>
          </cell>
          <cell r="L18">
            <v>1029282.85</v>
          </cell>
          <cell r="V18">
            <v>42413</v>
          </cell>
          <cell r="AA18" t="str">
            <v>Reparación de muro de contención en el arroyo seco en el tramo de López Mateos a calle Corresponsales en la colonia Periodistas; Protección de canal pluvial a base de parapetos y estructura metálica en la calle Industria Textil esquina con calle Tarragona, en la colonia Altagracia; Reposición de losas de vialidad con concreto MR-42, construcción de banquetas, guarniciones y reparación de muro de mampostería, en la colonia Jardines del Centinela, municipio de Zapopan, Jalisco</v>
          </cell>
          <cell r="AD18">
            <v>42415</v>
          </cell>
          <cell r="AE18">
            <v>42484</v>
          </cell>
        </row>
        <row r="19">
          <cell r="C19" t="str">
            <v>DOPI-MUN-RP-IS-AD-005-2016</v>
          </cell>
          <cell r="G19" t="str">
            <v>Maria Teresa</v>
          </cell>
          <cell r="H19" t="str">
            <v>Sánchez</v>
          </cell>
          <cell r="I19" t="str">
            <v>Cabrera</v>
          </cell>
          <cell r="J19" t="str">
            <v>Soluciones Integrales en Pavimentos de Guadalajara, S. A. de C. V. PCZ-012/2016</v>
          </cell>
          <cell r="K19" t="str">
            <v>SIP070803JZ8</v>
          </cell>
          <cell r="L19">
            <v>1480259.25</v>
          </cell>
          <cell r="V19">
            <v>42420</v>
          </cell>
          <cell r="AA19" t="str">
            <v>Rehabilitación de quirofanos, baños en el área de encamados, baños de recepción e impermeabilizaciones en azotea en la Cruz Verde Sur las Águilas, ubicada en Av. López Mateos y calle Cruz del Sur, en la colonia Las Águilas, municipio de Zapopan, Jalisco</v>
          </cell>
          <cell r="AD19">
            <v>42422</v>
          </cell>
          <cell r="AE19">
            <v>42505</v>
          </cell>
        </row>
        <row r="20">
          <cell r="C20" t="str">
            <v>DOPI-MUN-RP-IM-AD-006-2016</v>
          </cell>
          <cell r="G20" t="str">
            <v xml:space="preserve">Leobardo </v>
          </cell>
          <cell r="H20" t="str">
            <v>Preciado</v>
          </cell>
          <cell r="I20" t="str">
            <v>Zepeda</v>
          </cell>
          <cell r="J20" t="str">
            <v>Consorcio Constructor Adobes, S. A. de C. V. PCZ-004/2016</v>
          </cell>
          <cell r="K20" t="str">
            <v>CCA971126QC9</v>
          </cell>
          <cell r="L20">
            <v>595635.78</v>
          </cell>
          <cell r="V20">
            <v>42420</v>
          </cell>
          <cell r="AA20" t="str">
            <v>Reparación de bóvedas, reforzamiento de columnas de concreto, impermeabilización de azoteas, pintura interior en las instalaciones del DIF Nextipac, ubicado en la calle Venustiano Carranza esquina con calle Leona Vicario, en la localidad de Nextipac, municipio de Zapopan, Jalisco</v>
          </cell>
          <cell r="AD20">
            <v>42422</v>
          </cell>
          <cell r="AE20">
            <v>42484</v>
          </cell>
        </row>
        <row r="21">
          <cell r="C21" t="str">
            <v>DOPI-MUN-RP-REST-AD-007-2016</v>
          </cell>
          <cell r="G21" t="str">
            <v>Adriana Isabel</v>
          </cell>
          <cell r="H21" t="str">
            <v>Montañez</v>
          </cell>
          <cell r="I21" t="str">
            <v>Zamora</v>
          </cell>
          <cell r="J21" t="str">
            <v>Grupo Constructor TZOE, S. A. de C. V. PCZ-008/2016</v>
          </cell>
          <cell r="K21" t="str">
            <v>GCT12060233A</v>
          </cell>
          <cell r="L21">
            <v>680157.27</v>
          </cell>
          <cell r="V21">
            <v>42420</v>
          </cell>
          <cell r="AA21" t="str">
            <v>Restauración y reforzamiento de balcón principal y construcción de rampa de ingreso para personas con discapacidad en la presidencia municipal, municipio de Zapopan, Jalisco</v>
          </cell>
          <cell r="AD21">
            <v>42422</v>
          </cell>
          <cell r="AE21">
            <v>42484</v>
          </cell>
        </row>
        <row r="22">
          <cell r="C22" t="str">
            <v>DOPI-MUN-RP-PROY-AD-008-2016</v>
          </cell>
          <cell r="G22" t="str">
            <v>Ricardo</v>
          </cell>
          <cell r="H22" t="str">
            <v>Haro</v>
          </cell>
          <cell r="I22" t="str">
            <v>Bugarín</v>
          </cell>
          <cell r="J22" t="str">
            <v>Central Edificaciones, S. A. de C. V. PCZ-020/2016</v>
          </cell>
          <cell r="K22" t="str">
            <v>CED030514T47</v>
          </cell>
          <cell r="L22">
            <v>1135877.45</v>
          </cell>
          <cell r="V22">
            <v>42406</v>
          </cell>
          <cell r="AA22" t="str">
            <v>Diagnóstico, diseño y proyectos estructurales de diferentes elementos del programa 2016 primera etapa, municipio de Zapopan, Jalisco.</v>
          </cell>
          <cell r="AD22">
            <v>42408</v>
          </cell>
          <cell r="AE22">
            <v>42551</v>
          </cell>
        </row>
        <row r="23">
          <cell r="C23" t="str">
            <v>DOPI-MUN-RP-PROY-AD-009-2016</v>
          </cell>
          <cell r="G23" t="str">
            <v>Javier</v>
          </cell>
          <cell r="H23" t="str">
            <v>Ávila</v>
          </cell>
          <cell r="I23" t="str">
            <v>Flores</v>
          </cell>
          <cell r="J23" t="str">
            <v>Savho Consultoría y Construcción, S. A. de C. V. PCZ-025/2016</v>
          </cell>
          <cell r="K23" t="str">
            <v>SCC060622HZ3</v>
          </cell>
          <cell r="L23">
            <v>1394867.44</v>
          </cell>
          <cell r="V23">
            <v>42406</v>
          </cell>
          <cell r="AA23" t="str">
            <v>Diagnóstico, diseño y proyectos hidráulicos 2016, primera etapa, de diferentes redes de agua potable y alcantarillado, municipio de Zapopan Jalisco.</v>
          </cell>
          <cell r="AD23">
            <v>42408</v>
          </cell>
          <cell r="AE23">
            <v>42551</v>
          </cell>
        </row>
        <row r="24">
          <cell r="C24" t="str">
            <v>DOPI-MUN-RP-PROY-AD-010-2016</v>
          </cell>
          <cell r="G24" t="str">
            <v>Héctor Alejandro</v>
          </cell>
          <cell r="H24" t="str">
            <v>Ortega</v>
          </cell>
          <cell r="I24" t="str">
            <v>Rosales</v>
          </cell>
          <cell r="J24" t="str">
            <v>IME Servicios y Suministros, S. A. de C. V. PCZ-007/2016</v>
          </cell>
          <cell r="K24" t="str">
            <v>ISS920330811</v>
          </cell>
          <cell r="L24">
            <v>1293527.1299999999</v>
          </cell>
          <cell r="V24">
            <v>42406</v>
          </cell>
          <cell r="AA24" t="str">
            <v>Diagnóstico, diseño y proyectos de infraestructura eléctrica 2016, primera etapa, municipio de Zapopan, Jalisco.</v>
          </cell>
          <cell r="AD24">
            <v>42408</v>
          </cell>
          <cell r="AE24">
            <v>42551</v>
          </cell>
        </row>
        <row r="25">
          <cell r="C25" t="str">
            <v>DOPI-MUN-RP-PROY-AD-011-2016</v>
          </cell>
          <cell r="G25" t="str">
            <v xml:space="preserve">José </v>
          </cell>
          <cell r="H25" t="str">
            <v>Guillén</v>
          </cell>
          <cell r="I25" t="str">
            <v>Díaz</v>
          </cell>
          <cell r="J25" t="str">
            <v>Servicios Profesionales para la Construcción de Occidente, S. A. de C. V. PCZ-028/2016</v>
          </cell>
          <cell r="K25" t="str">
            <v>SPC050127BR0</v>
          </cell>
          <cell r="L25">
            <v>1456436.78</v>
          </cell>
          <cell r="V25">
            <v>42406</v>
          </cell>
          <cell r="AA25" t="str">
            <v>Control de calidad de diferentes obras 2016 del municipio de Zapopan, Jalisco, frente 1.</v>
          </cell>
          <cell r="AD25">
            <v>42408</v>
          </cell>
          <cell r="AE25">
            <v>42735</v>
          </cell>
        </row>
        <row r="26">
          <cell r="C26" t="str">
            <v>DOPI-MUN-RP-PROY-AD-012-2016</v>
          </cell>
          <cell r="G26" t="str">
            <v>José Alejandro</v>
          </cell>
          <cell r="H26" t="str">
            <v>Alva</v>
          </cell>
          <cell r="I26" t="str">
            <v>Delgado</v>
          </cell>
          <cell r="J26" t="str">
            <v>Servicios de Obras Civiles Serco, S. A. de C. V. PCZ-035/2016</v>
          </cell>
          <cell r="K26" t="str">
            <v>SOC150806E69</v>
          </cell>
          <cell r="L26">
            <v>1528326.3</v>
          </cell>
          <cell r="V26">
            <v>42406</v>
          </cell>
          <cell r="AA26" t="str">
            <v>Control de calidad de diferentes obras 2016 del municipio de Zapopan, Jalisco, frente 2.</v>
          </cell>
          <cell r="AD26">
            <v>42408</v>
          </cell>
          <cell r="AE26">
            <v>42735</v>
          </cell>
        </row>
        <row r="27">
          <cell r="C27" t="str">
            <v>DOPI-MUN-RP-PROY-AD-013-2016</v>
          </cell>
          <cell r="G27" t="str">
            <v>Héctor Hugo</v>
          </cell>
          <cell r="H27" t="str">
            <v>Guillén</v>
          </cell>
          <cell r="I27" t="str">
            <v>Guerrero</v>
          </cell>
          <cell r="J27" t="str">
            <v>Construdimensión, S.A. de C.V. PCZ-018/2016</v>
          </cell>
          <cell r="K27" t="str">
            <v>CON090306I19</v>
          </cell>
          <cell r="L27">
            <v>1201315.48</v>
          </cell>
          <cell r="V27">
            <v>42406</v>
          </cell>
          <cell r="AA27" t="str">
            <v>Estudios de mecánica de suelos y diseño de pavimentos de diferentes obras 2016, primera etapa, del municipio de Zapopan, Jalisco.</v>
          </cell>
          <cell r="AD27">
            <v>42408</v>
          </cell>
          <cell r="AE27">
            <v>42551</v>
          </cell>
        </row>
        <row r="28">
          <cell r="C28" t="str">
            <v>DOPI-MUN-RP-PROY-AD-014-2016</v>
          </cell>
          <cell r="G28" t="str">
            <v>Gabriel</v>
          </cell>
          <cell r="H28" t="str">
            <v>Franco</v>
          </cell>
          <cell r="I28" t="str">
            <v>Alatorre</v>
          </cell>
          <cell r="J28" t="str">
            <v>Constructora de Occidente MS S. A. de C. V. PCZ-038/2016</v>
          </cell>
          <cell r="K28" t="str">
            <v>COM141015F48</v>
          </cell>
          <cell r="L28">
            <v>1385659.75</v>
          </cell>
          <cell r="V28">
            <v>42406</v>
          </cell>
          <cell r="AA28" t="str">
            <v>Estudios básicos topográficos para diferentes obras 2016, primera etapa, del municipio de Zapopan, Jalisco.</v>
          </cell>
          <cell r="AD28">
            <v>42408</v>
          </cell>
          <cell r="AE28">
            <v>42551</v>
          </cell>
        </row>
        <row r="29">
          <cell r="C29" t="str">
            <v>DOPI-MUN-RP-EP-AD-015-2016</v>
          </cell>
          <cell r="G29" t="str">
            <v>Hugo Alejandro</v>
          </cell>
          <cell r="H29" t="str">
            <v>Almanzor</v>
          </cell>
          <cell r="I29" t="str">
            <v>González</v>
          </cell>
          <cell r="J29" t="str">
            <v>AL-Mansur Construcciones, S.A. de C.V. PCZ-015/2016</v>
          </cell>
          <cell r="K29" t="str">
            <v>ACO0806185Z3</v>
          </cell>
          <cell r="L29">
            <v>1547300.2</v>
          </cell>
          <cell r="V29">
            <v>42413</v>
          </cell>
          <cell r="AA29" t="str">
            <v>Demoliciones, rellenos, construcción de muros, banquetas, estacionamiento, cerca perimetral, banquetas y puente en el parque El Polvorin II, municipio de Zapopan, Jalisco.</v>
          </cell>
          <cell r="AD29">
            <v>42415</v>
          </cell>
          <cell r="AE29">
            <v>42475</v>
          </cell>
        </row>
        <row r="30">
          <cell r="C30" t="str">
            <v>DOPI-MUN-RP-OC-AD-032-16</v>
          </cell>
          <cell r="G30" t="str">
            <v>Raul</v>
          </cell>
          <cell r="H30" t="str">
            <v>Ortega</v>
          </cell>
          <cell r="I30" t="str">
            <v>Jara</v>
          </cell>
          <cell r="J30" t="str">
            <v>Construcciones Anayari, S. A. de C. V. PCZ-131/2016</v>
          </cell>
          <cell r="K30" t="str">
            <v>CAN030528ME0</v>
          </cell>
          <cell r="L30">
            <v>1555449.71</v>
          </cell>
          <cell r="V30">
            <v>42461</v>
          </cell>
          <cell r="AA30" t="str">
            <v>Desazolve y limpieza en el canal Tepeyac ubicado en la Avenida Las Torres colonia Miramar; desazolve, limpieza y rehabilitación de mampostería en el canal Puerta Plata ubicado en las colonias Royal Country y Puerta Plata, municipio de Zapopan, Jalisco.</v>
          </cell>
          <cell r="AD30">
            <v>42464</v>
          </cell>
          <cell r="AE30">
            <v>42536</v>
          </cell>
        </row>
        <row r="31">
          <cell r="C31" t="str">
            <v>DOPI-MUN-RP-IM-AD-033-16</v>
          </cell>
          <cell r="G31" t="str">
            <v>Juan José</v>
          </cell>
          <cell r="H31" t="str">
            <v>Gutiérrez</v>
          </cell>
          <cell r="I31" t="str">
            <v>Contreras</v>
          </cell>
          <cell r="J31" t="str">
            <v>Rencoist Construcciones, S. A. de C. V. PCZ-080/2016</v>
          </cell>
          <cell r="K31" t="str">
            <v>RCO130920JX9</v>
          </cell>
          <cell r="L31">
            <v>476740.63</v>
          </cell>
          <cell r="V31">
            <v>42461</v>
          </cell>
          <cell r="AA31" t="str">
            <v>Construcción de muro y rehabilitación de banquetas en Panteón Municipal ubicado en la localidad de Santa Ana Tepetitlán, municipio de Zapopan, Jalisco.</v>
          </cell>
          <cell r="AD31">
            <v>42464</v>
          </cell>
          <cell r="AE31">
            <v>42510</v>
          </cell>
        </row>
        <row r="32">
          <cell r="C32" t="str">
            <v>DOPI-MUN-RP-OC-AD-034-16</v>
          </cell>
          <cell r="G32" t="str">
            <v>Bernardo</v>
          </cell>
          <cell r="H32" t="str">
            <v>Saenz</v>
          </cell>
          <cell r="I32" t="str">
            <v>Barba</v>
          </cell>
          <cell r="J32" t="str">
            <v>Grupo Edificador Mayab, S. A. de C. V. PCZ-032/2016</v>
          </cell>
          <cell r="K32" t="str">
            <v>GEM070112PX8</v>
          </cell>
          <cell r="L32">
            <v>1475860.34</v>
          </cell>
          <cell r="V32">
            <v>42467</v>
          </cell>
          <cell r="AA32" t="str">
            <v>Desazolve y rectificación del arroyo seco en el tramo de la colonia Periodistas; en la colonia El Mante y del arroyo El Garabato en la colonia El Briseño, municipio de Zapopan, Jalisco.</v>
          </cell>
          <cell r="AD32">
            <v>42471</v>
          </cell>
          <cell r="AE32">
            <v>42536</v>
          </cell>
        </row>
        <row r="33">
          <cell r="C33" t="str">
            <v>DOPI-MUN-RP-OC-AD-035-16</v>
          </cell>
          <cell r="G33" t="str">
            <v>Jorge Guillermo</v>
          </cell>
          <cell r="H33" t="str">
            <v>Malacón</v>
          </cell>
          <cell r="I33" t="str">
            <v>Sainz</v>
          </cell>
          <cell r="J33" t="str">
            <v>Edficaciones Yazmin, S. A. de C. V.  PCZ-146/2016</v>
          </cell>
          <cell r="K33" t="str">
            <v>EYA020712BQ6</v>
          </cell>
          <cell r="L33">
            <v>1495685.74</v>
          </cell>
          <cell r="V33">
            <v>42475</v>
          </cell>
          <cell r="AA33" t="str">
            <v>Desazolve, limpieza y rectificación de canal La Martinica - Paseo de las Aves en el tramo de la colonia Altagracia y la colonia La Martinica; desazolve y limpieza del Arroyo Hondo en la colonia Arroyo Hondo, Municipio de Zapopan, Jalisco.</v>
          </cell>
          <cell r="AD33">
            <v>42478</v>
          </cell>
          <cell r="AE33">
            <v>42551</v>
          </cell>
        </row>
        <row r="34">
          <cell r="C34" t="str">
            <v>DOPI-MUN-RP-IM-AD-036-16</v>
          </cell>
          <cell r="G34" t="str">
            <v>Victor Martín</v>
          </cell>
          <cell r="H34" t="str">
            <v>López</v>
          </cell>
          <cell r="I34" t="str">
            <v>Santos</v>
          </cell>
          <cell r="J34" t="str">
            <v>Construcciones Citus, S. A. de C. V. PCZ-141/2016</v>
          </cell>
          <cell r="K34" t="str">
            <v>CCI020411HS5</v>
          </cell>
          <cell r="L34">
            <v>225850.48</v>
          </cell>
          <cell r="V34">
            <v>42475</v>
          </cell>
          <cell r="AA34" t="str">
            <v>Construcción de Bóveda de seguridad para alojamiento de valores en la recaudadora No. 6 ubicada en la Avenida Guadalupe esquina Periférico Poniente Manuel Gómez Morín, municipio de Zapopan, Jalisco.</v>
          </cell>
          <cell r="AD34">
            <v>42478</v>
          </cell>
          <cell r="AE34">
            <v>42525</v>
          </cell>
        </row>
        <row r="35">
          <cell r="C35" t="str">
            <v>DOPI-MUN-RP-IM-AD-037-16</v>
          </cell>
          <cell r="G35" t="str">
            <v>Adriana Del Refugio</v>
          </cell>
          <cell r="H35" t="str">
            <v>De la Torre</v>
          </cell>
          <cell r="I35" t="str">
            <v>Martín</v>
          </cell>
          <cell r="J35" t="str">
            <v>SDT Constructora S. A. de C. V. PCZ-147/2016</v>
          </cell>
          <cell r="K35" t="str">
            <v>SCO040813IIA</v>
          </cell>
          <cell r="L35">
            <v>385554.88</v>
          </cell>
          <cell r="V35">
            <v>42482</v>
          </cell>
          <cell r="AA35" t="str">
            <v>Rehabilitación en las oficinas y ampliación de comedor de empleados en el Dif Laureles, ubicado en Avenida Juan Pablo II, esquina con calle Lázaro Cárdenas, municipio de Zapopan, Jalisco.</v>
          </cell>
          <cell r="AD35">
            <v>42485</v>
          </cell>
          <cell r="AE35">
            <v>42521</v>
          </cell>
        </row>
        <row r="36">
          <cell r="C36" t="str">
            <v>DOPI-MUN-RP-OC-AD-038-16</v>
          </cell>
          <cell r="G36" t="str">
            <v>Omar</v>
          </cell>
          <cell r="H36" t="str">
            <v>Mora</v>
          </cell>
          <cell r="I36" t="str">
            <v>Montes de Oca</v>
          </cell>
          <cell r="J36" t="str">
            <v>Dommont Construcciones, S. A. de C. V. PCZ-133/2016</v>
          </cell>
          <cell r="K36" t="str">
            <v>DCO130215C16</v>
          </cell>
          <cell r="L36">
            <v>758305.64</v>
          </cell>
          <cell r="V36">
            <v>42482</v>
          </cell>
          <cell r="AA36" t="str">
            <v>Obras de protección consistentes en construcción de muro de mampostería; construcción de plantilla de zampeado en el arroyo Bugambilias de la colonia La Florida hasta el límite municipal; construcción de muro de contención de mampostería y construcción de losa de piso de mampostería, incluye limpieza y desazolve en la calle Gigante, calle Pino y calle Vicente Guerrero en la colonia Primavera Vicente Guerrero, Municipio de Zapopan, Jalisco.</v>
          </cell>
          <cell r="AD36">
            <v>42485</v>
          </cell>
          <cell r="AE36">
            <v>42536</v>
          </cell>
        </row>
        <row r="37">
          <cell r="C37" t="str">
            <v>DOPI-MUN-RP-ELE-AD-039-16</v>
          </cell>
          <cell r="G37" t="str">
            <v>Juan Pablo</v>
          </cell>
          <cell r="H37" t="str">
            <v>Vera</v>
          </cell>
          <cell r="I37" t="str">
            <v>Tavares</v>
          </cell>
          <cell r="J37" t="str">
            <v>Lizette Construcciones, S. A. de C. V. PCZ-045/2016</v>
          </cell>
          <cell r="K37" t="str">
            <v>LCO080228DN2</v>
          </cell>
          <cell r="L37">
            <v>377452.12</v>
          </cell>
          <cell r="V37">
            <v>42475</v>
          </cell>
          <cell r="AA37" t="str">
            <v>Red de alumbrado público y baja tensión en la calle Las Palmas y calle San Gonzálo en la colonia La Limera, municipio de Zapopan Jalisco.</v>
          </cell>
          <cell r="AD37">
            <v>42478</v>
          </cell>
          <cell r="AE37">
            <v>42545</v>
          </cell>
        </row>
        <row r="38">
          <cell r="C38" t="str">
            <v>DOPI-MUN-RP-ELE-AD-040-16</v>
          </cell>
          <cell r="G38" t="str">
            <v>Armando</v>
          </cell>
          <cell r="H38" t="str">
            <v>Arroyo</v>
          </cell>
          <cell r="I38" t="str">
            <v>Zepeda</v>
          </cell>
          <cell r="J38" t="str">
            <v>Construcciones y Extructuras ITZ, S. A. de C. V. PCZ-142/2016</v>
          </cell>
          <cell r="K38" t="str">
            <v>CEI000807E95</v>
          </cell>
          <cell r="L38">
            <v>365693.05</v>
          </cell>
          <cell r="V38">
            <v>42461</v>
          </cell>
          <cell r="AA38" t="str">
            <v>Red de alumbrado público en las calles Ecología de Conservación a Naturaleza, Conservación de Ecología a Naturaleza, Naturaleza de Conservación a Ecología, en la colonia Río Blanco; Electrificación en media y baja tensión y alumbrado público en las calles Manzano de San Francisco a Matamoros, San Miguel de San Francisco a Matamoros, Santa María  de San Francisco a Matamoros, Dolores Rodríguez de Matamoros a Ameca, Jalisco de Matamoros a Ameca en la colonia Lomas del Refugio, municipio de Zapopan, Jalisco.</v>
          </cell>
          <cell r="AD38">
            <v>42464</v>
          </cell>
          <cell r="AE38">
            <v>42545</v>
          </cell>
        </row>
        <row r="39">
          <cell r="C39" t="str">
            <v>DOPI-MUN-RP-AP-AD-041-16</v>
          </cell>
          <cell r="G39" t="str">
            <v>Jesús Alfredo</v>
          </cell>
          <cell r="H39" t="str">
            <v>Vargas</v>
          </cell>
          <cell r="I39" t="str">
            <v>Castellanos</v>
          </cell>
          <cell r="J39" t="str">
            <v>Topus Ingeniería, S. A. de C. V. PCZ-144/2016</v>
          </cell>
          <cell r="K39" t="str">
            <v>TIN130227AS1</v>
          </cell>
          <cell r="L39">
            <v>256955.42</v>
          </cell>
          <cell r="V39">
            <v>42482</v>
          </cell>
          <cell r="AA39" t="str">
            <v>Construcción de línea de drenaje sanitario y línea de agua potable en las calles andador Tequila de Tequila a Lagos de Moreno, Prolongación Zapopan de Jalisco a Prolongación Jalisco y Jalisco de Prolongación Zapopan a Prolongación Jalisco, en la colonia Lomas del Refugio, municipio de Zapopan, Jalisco.</v>
          </cell>
          <cell r="AD39">
            <v>42485</v>
          </cell>
          <cell r="AE39">
            <v>42518</v>
          </cell>
        </row>
        <row r="40">
          <cell r="C40" t="str">
            <v>DOPI-MUN-RP-IM-AD-042-16</v>
          </cell>
          <cell r="G40" t="str">
            <v>José Antonio</v>
          </cell>
          <cell r="H40" t="str">
            <v>Álvarez</v>
          </cell>
          <cell r="I40" t="str">
            <v>Garcia</v>
          </cell>
          <cell r="J40" t="str">
            <v>Urcoma 1970, S. A. de C. V. PCZ-041/2016</v>
          </cell>
          <cell r="K40" t="str">
            <v>UMN160125869</v>
          </cell>
          <cell r="L40">
            <v>1546969.15</v>
          </cell>
          <cell r="V40">
            <v>42501</v>
          </cell>
          <cell r="AA40" t="str">
            <v>Construcción de muro perimetral y rehabilitación de herrería en el CDI No. 2 "Pablo Casals", ubicado en la colonia Valle de Atemajac; suministro e instalación de malla sombra en patio central y rehabilitación de área exterior infantil, en el CDI No. 09, ubicado en la colonia Villa de Guadalupe; construcción de muro y malla perimetral en el CDC No. 20, ubicado en la colonia Arenales Tapatios; impermeabilización de azoteas en el CRI ubicado en Av. Laureles, colonia Unidad Fovissste; colocación de ladrillo de azotea e impermeabilización en el CEMAM, ubicado en la calle cerrada Santa Laura, colonia Santa Margarita Primera Sección, muncipio de Zapopan, Jalisco</v>
          </cell>
          <cell r="AD40">
            <v>42502</v>
          </cell>
          <cell r="AE40">
            <v>42582</v>
          </cell>
        </row>
        <row r="41">
          <cell r="C41" t="str">
            <v>DOPI-MUN-RP-PROY-AD-043-16</v>
          </cell>
          <cell r="G41" t="str">
            <v>Juan Francisco</v>
          </cell>
          <cell r="H41" t="str">
            <v>Toscano</v>
          </cell>
          <cell r="I41" t="str">
            <v>Lases</v>
          </cell>
          <cell r="J41" t="str">
            <v>Infografía Digital de Occidente, S. A. de C. V. PCZ-178/2016</v>
          </cell>
          <cell r="K41" t="str">
            <v>IDO100427QG2</v>
          </cell>
          <cell r="L41">
            <v>1495650.37</v>
          </cell>
          <cell r="V41">
            <v>42503</v>
          </cell>
          <cell r="AA41" t="str">
            <v>Proyecto ejecutivo para la construcción de la cruz verde ubicada en la colonia Villas de Guadalupe, municipio de Zapopan, Jalisco.</v>
          </cell>
          <cell r="AD41">
            <v>42506</v>
          </cell>
          <cell r="AE41">
            <v>42582</v>
          </cell>
        </row>
        <row r="42">
          <cell r="C42" t="str">
            <v>DOPI-MUN-RM-EM-AD-068-2016</v>
          </cell>
          <cell r="G42" t="str">
            <v>Alfredo</v>
          </cell>
          <cell r="H42" t="str">
            <v>Aguirre</v>
          </cell>
          <cell r="I42" t="str">
            <v>Montoya</v>
          </cell>
          <cell r="J42" t="str">
            <v>Torres Aguirre Ingenieros, S.A. de C.V.</v>
          </cell>
          <cell r="K42" t="str">
            <v>TAI920312952</v>
          </cell>
          <cell r="L42">
            <v>4496387.16</v>
          </cell>
          <cell r="V42">
            <v>42545</v>
          </cell>
          <cell r="AA42" t="str">
            <v>Construcción de solución pluvial y de reforzamiento en terreno afectado por deslaves en paredes de terreno natural en terreno anexo a Residencial Poniente, Municipio de Zapopan, Jalisco.</v>
          </cell>
          <cell r="AD42">
            <v>42548</v>
          </cell>
          <cell r="AE42">
            <v>42637</v>
          </cell>
        </row>
        <row r="43">
          <cell r="C43" t="str">
            <v>DOPI-MUN-RM-EM-AD-069-2016</v>
          </cell>
          <cell r="G43" t="str">
            <v>José Antonio</v>
          </cell>
          <cell r="H43" t="str">
            <v>Cuevas</v>
          </cell>
          <cell r="I43" t="str">
            <v>Briseño</v>
          </cell>
          <cell r="J43" t="str">
            <v>José Antonio Cuevas Briseño</v>
          </cell>
          <cell r="K43" t="str">
            <v>CUBA5705179V8</v>
          </cell>
          <cell r="V43">
            <v>42542</v>
          </cell>
          <cell r="Y43">
            <v>2358235.4400000004</v>
          </cell>
          <cell r="AA43" t="str">
            <v>Reconstrucción de la cimentación, instalaciones, estructura y terminados de viviendas, y construcción de casa habitación afectadas por la explosion sucitada en el fraccionamiento Tabachines en las confluencias de la calle Frambuesos y la Av. Caobas, Municipio de Zapopan, Jalisco.</v>
          </cell>
          <cell r="AD43">
            <v>42543</v>
          </cell>
          <cell r="AE43">
            <v>42632</v>
          </cell>
        </row>
        <row r="44">
          <cell r="C44" t="str">
            <v>DOPI-MUN-RM-CA-AD-070-2016</v>
          </cell>
          <cell r="G44" t="str">
            <v xml:space="preserve">Eduardo </v>
          </cell>
          <cell r="H44" t="str">
            <v>Plascencia</v>
          </cell>
          <cell r="I44" t="str">
            <v>Macias</v>
          </cell>
          <cell r="J44" t="str">
            <v>Constructora y Edificadora Plasma, S.A. de C.V.</v>
          </cell>
          <cell r="K44" t="str">
            <v>CEP080129EK6</v>
          </cell>
          <cell r="V44">
            <v>42542</v>
          </cell>
          <cell r="Y44">
            <v>1449650.2300000002</v>
          </cell>
          <cell r="AA44" t="str">
            <v>Rehabilitación de daños por sismo en aplanados, impermeabilizantes, pintura, plafones, pisos interiores y exteriores, jardineras, construcción de rampas, cubierta exterior, adecuaciones hidráulicas y acciones varias, en la Cruz Verde Santa Lucía, Municipio de Zapopan, Jalisco.</v>
          </cell>
          <cell r="AD44">
            <v>42543</v>
          </cell>
          <cell r="AE44">
            <v>42632</v>
          </cell>
        </row>
        <row r="45">
          <cell r="C45" t="str">
            <v>DOPI-MUN-RM-CA-AD-071-2016</v>
          </cell>
          <cell r="G45" t="str">
            <v>Ofelia</v>
          </cell>
          <cell r="H45" t="str">
            <v>Reyes</v>
          </cell>
          <cell r="I45" t="str">
            <v>Estrella</v>
          </cell>
          <cell r="J45" t="str">
            <v>Wences Construcciones, S.A. de C.V.</v>
          </cell>
          <cell r="K45" t="str">
            <v>WCO130628TM3</v>
          </cell>
          <cell r="V45">
            <v>42542</v>
          </cell>
          <cell r="Y45">
            <v>1301258.44</v>
          </cell>
          <cell r="AA45" t="str">
            <v>Construcción de banquetas, guarnición, pasos holandeses, cruces pluviales, muros de mamposteo, renivelaciones asfálticas y alumbrado público sobre Periférico Norte en las confluencias de la calle Parres Arias - Zona  CUCSH, para garantizar el cruce seguro de estudiantes, en zona Belenes, Municipio de Zapopan, Jalisco.</v>
          </cell>
          <cell r="AD45">
            <v>42543</v>
          </cell>
          <cell r="AE45">
            <v>42602</v>
          </cell>
        </row>
        <row r="46">
          <cell r="C46" t="str">
            <v>DOPI-MUN-RM-PAV-AD-072-2016</v>
          </cell>
          <cell r="G46" t="str">
            <v>Elba</v>
          </cell>
          <cell r="H46" t="str">
            <v xml:space="preserve">González </v>
          </cell>
          <cell r="I46" t="str">
            <v>Aguirre</v>
          </cell>
          <cell r="J46" t="str">
            <v>GA Urbanización, S.A. de C.V.</v>
          </cell>
          <cell r="K46" t="str">
            <v>GUR120612P22</v>
          </cell>
          <cell r="V46">
            <v>42542</v>
          </cell>
          <cell r="Y46">
            <v>1503202.18</v>
          </cell>
          <cell r="AA46" t="str">
            <v>Construcción de pavimento de concreto zampeado, guarniciones y banquetas, instalaciones hidrosanitarias y pluviales, conexión a puente peatonal, preparaciones de red eléctrica y de alumbrado público, en la calle  Venustiano Carranza en la colonia Agua Fría, Municipio de Zapopan, Jalisco.</v>
          </cell>
          <cell r="AD46">
            <v>42543</v>
          </cell>
          <cell r="AE46">
            <v>42632</v>
          </cell>
        </row>
        <row r="47">
          <cell r="C47" t="str">
            <v>DOPI-MUN-RM-IM-AD-073-2016</v>
          </cell>
          <cell r="G47" t="str">
            <v>Hugo Armando</v>
          </cell>
          <cell r="H47" t="str">
            <v>Prieto</v>
          </cell>
          <cell r="I47" t="str">
            <v>Jiménez</v>
          </cell>
          <cell r="J47" t="str">
            <v>Constructora Rural del Pais, S.A. de C.V.</v>
          </cell>
          <cell r="K47" t="str">
            <v>CRP870708I62</v>
          </cell>
          <cell r="V47">
            <v>42545</v>
          </cell>
          <cell r="Y47">
            <v>1398736.1200000003</v>
          </cell>
          <cell r="AA47" t="str">
            <v>Construcción y rehabilitación de bardas perimetrales en el Centro Comunitario No. 15 del DIF ubicado en San Juan de Ocotán y en la guardería CAIC del DIF ubicado en Miramar, Municipio de Zapopan, Jalisco.</v>
          </cell>
          <cell r="AD47">
            <v>42548</v>
          </cell>
          <cell r="AE47">
            <v>42607</v>
          </cell>
        </row>
        <row r="48">
          <cell r="C48" t="str">
            <v>DOPI-MUN-R33FORTA-OC-AD-074-2016</v>
          </cell>
          <cell r="G48" t="str">
            <v>Luis German</v>
          </cell>
          <cell r="H48" t="str">
            <v xml:space="preserve">Delgadillo </v>
          </cell>
          <cell r="I48" t="str">
            <v>Alcazar</v>
          </cell>
          <cell r="J48" t="str">
            <v>Axioma Proyectos e Ingeniería, S. A. de C. V.</v>
          </cell>
          <cell r="K48" t="str">
            <v>APE111122MI0</v>
          </cell>
          <cell r="V48">
            <v>42521</v>
          </cell>
          <cell r="Y48">
            <v>1472628.4000000001</v>
          </cell>
          <cell r="AA48" t="str">
            <v>Desazolve y construcción de muros de contención con mamposteria del Canal Puerta Plata en unión con Canal Santa Isabel, y desazolve de Canal Santa Lucia en la Colonia Santa Mónica Los Chorritos y Colonia Santa Lucia, Municipio de Zapopan, Jalisco.</v>
          </cell>
          <cell r="AD48">
            <v>42522</v>
          </cell>
          <cell r="AE48">
            <v>42566</v>
          </cell>
        </row>
        <row r="49">
          <cell r="C49" t="str">
            <v>DOPI-MUN-R33FORTA-OC-AD-075-2016</v>
          </cell>
          <cell r="G49" t="str">
            <v>Sergio Alberto</v>
          </cell>
          <cell r="H49" t="str">
            <v>Baylon</v>
          </cell>
          <cell r="I49" t="str">
            <v>Moreno</v>
          </cell>
          <cell r="J49" t="str">
            <v>Edificaciones Estructurales Cobay, S. A. de C. V.</v>
          </cell>
          <cell r="K49" t="str">
            <v>EEC9909173A7</v>
          </cell>
          <cell r="V49">
            <v>42521</v>
          </cell>
          <cell r="Y49">
            <v>1386929.62</v>
          </cell>
          <cell r="AA49" t="str">
            <v>Desazolve y limpieza en el canal Santa Catalina en el tramo de Av. Patria a Av. Mariano Otero, municipio de Zapopan, Jalisco.</v>
          </cell>
          <cell r="AD49">
            <v>42522</v>
          </cell>
          <cell r="AE49">
            <v>42566</v>
          </cell>
        </row>
        <row r="50">
          <cell r="C50" t="str">
            <v>DOPI-MUN-R33FORTA-OC-AD-076-2016</v>
          </cell>
          <cell r="G50" t="str">
            <v xml:space="preserve">Guillermo Alberto </v>
          </cell>
          <cell r="H50" t="str">
            <v>Rodríguez</v>
          </cell>
          <cell r="I50" t="str">
            <v>Allende</v>
          </cell>
          <cell r="J50" t="str">
            <v>Grupo Constructor MR de Jalisco, S. A. de C. V.</v>
          </cell>
          <cell r="K50" t="str">
            <v>GCM121112J86</v>
          </cell>
          <cell r="V50">
            <v>42523</v>
          </cell>
          <cell r="Y50">
            <v>1414800.1500000001</v>
          </cell>
          <cell r="AA50" t="str">
            <v>Reparación de muros de contención de mamposteria, demolición de elementos estructurales de concreto armado, construcción y rectificación de plantilla y de muro de mamposteria, rehabilitación y colocación de malla ciclonica de protección perimetral, construcción de puente peatonal metalico, limpieza y desazolve en el canal pluvial Villas Perisur, en la Colonia El Briseño; Construcción de muro de concreto reforzado divisorio de carriles para corregir escurrimientos superficiales para mitigar inundación en retorno deprimido en Periférico Póniente y Mariano Otero, Municipio de Zapopan, Jalisco.</v>
          </cell>
          <cell r="AD50">
            <v>42524</v>
          </cell>
          <cell r="AE50">
            <v>42573</v>
          </cell>
        </row>
        <row r="51">
          <cell r="C51" t="str">
            <v>DOPI-MUN-R33FORTA-PROY-AD-077-2016</v>
          </cell>
          <cell r="G51" t="str">
            <v>David</v>
          </cell>
          <cell r="H51" t="str">
            <v>Ledesma</v>
          </cell>
          <cell r="I51" t="str">
            <v>Martin del Campo</v>
          </cell>
          <cell r="J51" t="str">
            <v>Ing. David Ledesma Martin Del Campo</v>
          </cell>
          <cell r="K51" t="str">
            <v>LEMD880217U53</v>
          </cell>
          <cell r="V51">
            <v>42530</v>
          </cell>
          <cell r="Y51">
            <v>1495650.3600000003</v>
          </cell>
          <cell r="AA51" t="str">
            <v>Proyecto ejecutivo para la construcción de las unidades deportivas Santa María del Pueblito ubicada en calle Independencia S/N colonia Santa María del Pueblito; Santa Margarita ubicada en calle Santa Matilde S/N colonia Santa Margarita; Miguel de la Madrid ubicada en calle López Portillo S/N colonia Miguel de la Madrid; y Villas de Guadalupe ubicada en calle Febronio Lara esquina María Perfecta Llamas S/N colonia Villas de Guadalupe, Municipio de Zapopan, Jalisco.</v>
          </cell>
          <cell r="AD51">
            <v>42531</v>
          </cell>
          <cell r="AE51">
            <v>42643</v>
          </cell>
        </row>
        <row r="52">
          <cell r="C52" t="str">
            <v>DOPI-MUN-RM-IM-AD-078-2016</v>
          </cell>
          <cell r="G52" t="str">
            <v>J. Gerardo</v>
          </cell>
          <cell r="H52" t="str">
            <v>Nicanor</v>
          </cell>
          <cell r="I52" t="str">
            <v>Mejia Mariscal</v>
          </cell>
          <cell r="J52" t="str">
            <v>Ineco Construye, S.A. de C.V.</v>
          </cell>
          <cell r="K52" t="str">
            <v>ICO980722M04</v>
          </cell>
          <cell r="V52">
            <v>42545</v>
          </cell>
          <cell r="Y52">
            <v>1598479.88</v>
          </cell>
          <cell r="AA52" t="str">
            <v>Construcción de estacionamiento con pavimento asfáltico y sello tipo Slurry Seal, guarniciones, banquetas, adecuaciones a la instalación eléctrica y aire acondicionado en el archivo histórico de Zapopan, Municipio de Zapopan, Jalisco.</v>
          </cell>
          <cell r="AD52">
            <v>42548</v>
          </cell>
          <cell r="AE52">
            <v>42607</v>
          </cell>
        </row>
        <row r="53">
          <cell r="C53" t="str">
            <v>DOPI-MUN-RM-PROY-AD-079-2016</v>
          </cell>
          <cell r="G53" t="str">
            <v>Juan Ramón</v>
          </cell>
          <cell r="H53" t="str">
            <v>Ramírez</v>
          </cell>
          <cell r="I53" t="str">
            <v>Alatorre</v>
          </cell>
          <cell r="J53" t="str">
            <v>Quercus Geosoluciones, S.A. de C.V.</v>
          </cell>
          <cell r="K53" t="str">
            <v>QGE080213988</v>
          </cell>
          <cell r="V53">
            <v>42545</v>
          </cell>
          <cell r="Y53">
            <v>1115518.2</v>
          </cell>
          <cell r="AA53" t="str">
            <v>Proyecto ejecutivo para la construcción de la celda 5 en el relleno sanitario Picachos, Municipio de Zapopan, Jalisco.</v>
          </cell>
          <cell r="AD53">
            <v>42548</v>
          </cell>
          <cell r="AE53">
            <v>42592</v>
          </cell>
        </row>
        <row r="54">
          <cell r="C54" t="str">
            <v>DOPI-MUN-RM-MOV-AD-080-2016</v>
          </cell>
          <cell r="G54" t="str">
            <v>Jorge Alberto</v>
          </cell>
          <cell r="H54" t="str">
            <v>Mena</v>
          </cell>
          <cell r="I54" t="str">
            <v>Adames</v>
          </cell>
          <cell r="J54" t="str">
            <v>Divicon, S.A. de C.V.</v>
          </cell>
          <cell r="K54" t="str">
            <v>DIV010905510</v>
          </cell>
          <cell r="V54">
            <v>42552</v>
          </cell>
          <cell r="Y54">
            <v>1250236.98</v>
          </cell>
          <cell r="AA54" t="str">
            <v>Señalización vertical y horizontal en diferentes obras del municipio de Zapopan, Jalisco, frente 1.</v>
          </cell>
          <cell r="AD54">
            <v>42555</v>
          </cell>
          <cell r="AE54">
            <v>42724</v>
          </cell>
        </row>
        <row r="55">
          <cell r="C55" t="str">
            <v>DOPI-MUN-RM-PAV-AD-081-2016</v>
          </cell>
          <cell r="G55" t="str">
            <v>Miguel</v>
          </cell>
          <cell r="H55" t="str">
            <v>Rodríguez</v>
          </cell>
          <cell r="I55" t="str">
            <v>Rosas</v>
          </cell>
          <cell r="J55" t="str">
            <v>Stella Construcciones, S.A. de C.V.</v>
          </cell>
          <cell r="K55" t="str">
            <v>SCO0102137E1</v>
          </cell>
          <cell r="V55">
            <v>42552</v>
          </cell>
          <cell r="Y55">
            <v>1475028.6100000003</v>
          </cell>
          <cell r="AA55" t="str">
            <v>Construcción de pavimento de concreto hidráulico MR45, machuelos, banquetas e instalaciones hidráulicas en la calle Canal del Andador a la calle General Arteaga de la calle General Arteaga, de la calle Canal a la calle Agustín Rivera, colonia el Batán, municipio de Zapopan, Jalisco.</v>
          </cell>
          <cell r="AD55">
            <v>42555</v>
          </cell>
          <cell r="AE55">
            <v>42613</v>
          </cell>
        </row>
        <row r="56">
          <cell r="C56" t="str">
            <v>DOPI-MUN-RM-PAV-AD-082-2016</v>
          </cell>
          <cell r="G56" t="str">
            <v xml:space="preserve">José Luis </v>
          </cell>
          <cell r="H56" t="str">
            <v xml:space="preserve">Castillo </v>
          </cell>
          <cell r="I56" t="str">
            <v>Rodríguez</v>
          </cell>
          <cell r="J56" t="str">
            <v>Felal Construcciones, S.A. de C.V.</v>
          </cell>
          <cell r="K56" t="str">
            <v>FCO9911092V5</v>
          </cell>
          <cell r="V56">
            <v>42555</v>
          </cell>
          <cell r="Y56">
            <v>1497852.13</v>
          </cell>
          <cell r="AA56" t="str">
            <v>Construcción de pavimento de concreto hidráulico MR45, adecuaciones de pavimentos asfálticos, adecuaciones pluviales, corrección vial, muros de contención, banquetas, corrección de flujos viales y paso seguro de peatones, en el paso a desnivel aéreo y subterráneo de Juan Palomar y Arias y Periférico Poniente; y Construcción de banquetas en la calle Guillermo González Camarena y Av. Paseo Valle Real, municipio de Zapopan, Jalisco.</v>
          </cell>
          <cell r="AD56">
            <v>42556</v>
          </cell>
          <cell r="AE56">
            <v>42585</v>
          </cell>
        </row>
        <row r="57">
          <cell r="C57" t="str">
            <v>DOPI-MUN-RM-OC-AD-083-2016</v>
          </cell>
          <cell r="G57" t="str">
            <v>José Gilberto</v>
          </cell>
          <cell r="H57" t="str">
            <v>Luján</v>
          </cell>
          <cell r="I57" t="str">
            <v>Barajas</v>
          </cell>
          <cell r="J57" t="str">
            <v>Gilco Ingeniería, S.A. de C.V.</v>
          </cell>
          <cell r="K57" t="str">
            <v>GIN1202272F9</v>
          </cell>
          <cell r="V57">
            <v>42555</v>
          </cell>
          <cell r="Y57">
            <v>1394254.6600000001</v>
          </cell>
          <cell r="AA57" t="str">
            <v>Corrección de canal pluvial, construcción de mamposteos, zampeados, puente peatonal, accesos y aproches en el cruce del arroyo ubicado en la colonia Las Higueras, municipio de Zapopan, Jalisco.</v>
          </cell>
          <cell r="AD57">
            <v>42556</v>
          </cell>
          <cell r="AE57">
            <v>42615</v>
          </cell>
        </row>
        <row r="58">
          <cell r="C58" t="str">
            <v>DOPI-MUN-RM-BAN-AD-126-2016</v>
          </cell>
          <cell r="M58" t="str">
            <v>Guillermo</v>
          </cell>
          <cell r="N58" t="str">
            <v>Lara</v>
          </cell>
          <cell r="O58" t="str">
            <v>Vargas</v>
          </cell>
          <cell r="P58" t="str">
            <v>Desarrolladora Glar, S.A. de C.V.</v>
          </cell>
          <cell r="Q58" t="str">
            <v>DGL060620SUA</v>
          </cell>
          <cell r="V58">
            <v>42559</v>
          </cell>
          <cell r="Y58">
            <v>1497870.11</v>
          </cell>
          <cell r="AA58" t="str">
            <v>Peatonalización, construcción de banquetas, sustitución de guarniciones, bolardos, complemento de reencarpetado y sello tramo 1 de la Av. Pablo Neruda, municipio de Zapopan, Jalisco</v>
          </cell>
          <cell r="AD58">
            <v>42562</v>
          </cell>
          <cell r="AE58">
            <v>42598</v>
          </cell>
        </row>
        <row r="59">
          <cell r="C59" t="str">
            <v>DOPI-MUN-RM-PAV-AD-127-2016</v>
          </cell>
          <cell r="M59" t="str">
            <v>David Eduardo</v>
          </cell>
          <cell r="N59" t="str">
            <v>Lara</v>
          </cell>
          <cell r="O59" t="str">
            <v>Ochoa</v>
          </cell>
          <cell r="P59" t="str">
            <v xml:space="preserve">Construcciones ICU, S.A. de C.V. </v>
          </cell>
          <cell r="Q59" t="str">
            <v>CIC080626ER2</v>
          </cell>
          <cell r="V59">
            <v>42559</v>
          </cell>
          <cell r="Y59">
            <v>1439130.15</v>
          </cell>
          <cell r="AA59" t="str">
            <v>Peatonalización, construcción de banquetas, sustitución de guarniciones, bolardos, complemento de reencarpetado y sello tramo 2 de la Av. Pablo Neruda, municipio de Zapopan, Jalisco</v>
          </cell>
          <cell r="AD59">
            <v>42562</v>
          </cell>
          <cell r="AE59">
            <v>42598</v>
          </cell>
        </row>
        <row r="60">
          <cell r="C60" t="str">
            <v>DOPI-MUN-RM-PAV-AD-128-2016</v>
          </cell>
          <cell r="M60" t="str">
            <v>Adalberto</v>
          </cell>
          <cell r="N60" t="str">
            <v>Medina</v>
          </cell>
          <cell r="O60" t="str">
            <v>Morales</v>
          </cell>
          <cell r="P60" t="str">
            <v>Urdem, S.A. de C.V.</v>
          </cell>
          <cell r="Q60" t="str">
            <v>URD130830U21</v>
          </cell>
          <cell r="V60">
            <v>42566</v>
          </cell>
          <cell r="Y60">
            <v>1497520.4400000002</v>
          </cell>
          <cell r="AA60" t="str">
            <v>Construcción de banquetas, bolardos, sustitución de rejillas pluviales, rehabilitación de bocas de tormenta, aproches y arbolado en el tramo poniente de la Glorieta Venustiano Carranza en la colonia Constitución, municipio de Zapopan, Jalisco</v>
          </cell>
          <cell r="AD60">
            <v>42569</v>
          </cell>
          <cell r="AE60">
            <v>42613</v>
          </cell>
        </row>
        <row r="61">
          <cell r="C61" t="str">
            <v>DOPI-MUN-RM-PAV-AD-129-2016</v>
          </cell>
          <cell r="M61" t="str">
            <v>Arturo Rafael</v>
          </cell>
          <cell r="N61" t="str">
            <v>Salazar</v>
          </cell>
          <cell r="O61" t="str">
            <v>Martín del Campo</v>
          </cell>
          <cell r="P61" t="str">
            <v>Kalmani Constructora, S.A. de C.V.</v>
          </cell>
          <cell r="Q61" t="str">
            <v>KCO030922UM6</v>
          </cell>
          <cell r="V61">
            <v>42566</v>
          </cell>
          <cell r="Y61">
            <v>1499415.54</v>
          </cell>
          <cell r="AA61" t="str">
            <v>Construcción de banquetas, bolardos, sustitución de rejillas pluviales, rehabilitación de bocas de tormenta, aproches y arbolado en el tramo oriente de la Glorieta Venustiano Carranza en la colonia Constitución, municipio de Zapopan, Jalisco</v>
          </cell>
          <cell r="AD61">
            <v>42569</v>
          </cell>
          <cell r="AE61">
            <v>42613</v>
          </cell>
        </row>
        <row r="62">
          <cell r="C62" t="str">
            <v>DOPI-MUN-RM-PAV-AD-130-2016</v>
          </cell>
          <cell r="M62" t="str">
            <v>Sergio Cesar</v>
          </cell>
          <cell r="N62" t="str">
            <v>Díaz</v>
          </cell>
          <cell r="O62" t="str">
            <v>Quiroz</v>
          </cell>
          <cell r="P62" t="str">
            <v>Transcreto S.A. de C.V.</v>
          </cell>
          <cell r="Q62" t="str">
            <v>TRA750528286</v>
          </cell>
          <cell r="V62">
            <v>42566</v>
          </cell>
          <cell r="Y62">
            <v>1373625.4800000002</v>
          </cell>
          <cell r="AA62" t="str">
            <v>Construcción de Motor Lobby con concreto hidráulico en la plazoleta, plazoleta de acceso, acceso a estacionamiento y colocación de arbolado en la Glorieta Venustiano Carranza colonia Constitución, municipio de Zapopan, Jalisco</v>
          </cell>
          <cell r="AD62">
            <v>42569</v>
          </cell>
          <cell r="AE62">
            <v>42613</v>
          </cell>
        </row>
        <row r="63">
          <cell r="C63" t="str">
            <v>DOPI-MUN-RM-PAV-AD-131-2016</v>
          </cell>
          <cell r="M63" t="str">
            <v>Aurora Lucia</v>
          </cell>
          <cell r="N63" t="str">
            <v xml:space="preserve">Brenez </v>
          </cell>
          <cell r="O63" t="str">
            <v>Garnica</v>
          </cell>
          <cell r="P63" t="str">
            <v>Karol Urbanizaciones y Construcciones, S.A. de C.V.</v>
          </cell>
          <cell r="Q63" t="str">
            <v>KUC070424344</v>
          </cell>
          <cell r="V63">
            <v>42566</v>
          </cell>
          <cell r="Y63">
            <v>1498232.17</v>
          </cell>
          <cell r="AA63" t="str">
            <v>Repavimentación, sello Slurry Seal, nivelación de pozos de visita y cajas de válvulas, sustitución de rejillas pluviales y señalética horizontal y vertical en la calle Lomas Altas de límite municipal y la glorieta del paseo de la Canadá y en la calle La Cima de la calle Lomas Altas a Glorieta, en la colonia Lomas Altas, municipio de Zapopan, Jalisco.</v>
          </cell>
          <cell r="AD63">
            <v>42569</v>
          </cell>
          <cell r="AE63">
            <v>42628</v>
          </cell>
        </row>
        <row r="64">
          <cell r="C64" t="str">
            <v>DOPI-MUN-RM-OC-AD-132-2016</v>
          </cell>
          <cell r="M64" t="str">
            <v>Alberto</v>
          </cell>
          <cell r="N64" t="str">
            <v>Bañuelos</v>
          </cell>
          <cell r="O64" t="str">
            <v>García</v>
          </cell>
          <cell r="P64" t="str">
            <v>Grial Construcciones, S.A. de C.V.</v>
          </cell>
          <cell r="Q64" t="str">
            <v>GCO100226SU6</v>
          </cell>
          <cell r="V64">
            <v>42566</v>
          </cell>
          <cell r="Y64">
            <v>940138.27</v>
          </cell>
          <cell r="AA64" t="str">
            <v>Demolición de viviendas abandonadas, reforzamiento de taludes y adecuaciones sanitarias en la zona de inundación y canal de la Martinica, municipio de Zapopan Jalisco.</v>
          </cell>
          <cell r="AD64">
            <v>42569</v>
          </cell>
          <cell r="AE64">
            <v>42598</v>
          </cell>
        </row>
        <row r="65">
          <cell r="C65" t="str">
            <v>DOPI-MUN-RM-OC-AD-133-2016</v>
          </cell>
          <cell r="M65" t="str">
            <v>Hector Eugenio</v>
          </cell>
          <cell r="N65" t="str">
            <v>De la Torre</v>
          </cell>
          <cell r="O65" t="str">
            <v>Menchaca</v>
          </cell>
          <cell r="P65" t="str">
            <v>Ingenieros De la Torre, S.A. de C.V.</v>
          </cell>
          <cell r="Q65" t="str">
            <v>ITO951005HY5</v>
          </cell>
          <cell r="V65">
            <v>42566</v>
          </cell>
          <cell r="Y65">
            <v>1450005.23</v>
          </cell>
          <cell r="AA65" t="str">
            <v>Rectificación, rehabilitación y desazolve del arroyo La Campana; Adecuaciones hidráulicas y pluviales en las colindancias del nodo vial Santa Esther y Periférico; y reconstrucción de banquetas en Avenida Central, municipio de Zapopan, Jalisco</v>
          </cell>
          <cell r="AD65">
            <v>42569</v>
          </cell>
          <cell r="AE65">
            <v>42614</v>
          </cell>
        </row>
        <row r="66">
          <cell r="C66" t="str">
            <v>DOPI-MUN-RM-OC-AD-134-2016</v>
          </cell>
          <cell r="M66" t="str">
            <v>Heliodoro Nicolás</v>
          </cell>
          <cell r="N66" t="str">
            <v>Aceves</v>
          </cell>
          <cell r="O66" t="str">
            <v>Orozco</v>
          </cell>
          <cell r="P66" t="str">
            <v>Imaqsa, S.A. de C.V.</v>
          </cell>
          <cell r="Q66" t="str">
            <v>IMA050204LA9</v>
          </cell>
          <cell r="V66">
            <v>42578</v>
          </cell>
          <cell r="Y66">
            <v>1501235.7800000003</v>
          </cell>
          <cell r="AA66" t="str">
            <v>Construcción y reforzamiento de bordos primera etapa en el ejido de Santa Lucia, municipio de Zapopan, Jalisco.</v>
          </cell>
          <cell r="AD66">
            <v>42579</v>
          </cell>
          <cell r="AE66">
            <v>42698</v>
          </cell>
        </row>
        <row r="67">
          <cell r="C67" t="str">
            <v>DOPI-MUN-RM-EP-AD-135-2016</v>
          </cell>
          <cell r="M67" t="str">
            <v>Maria Eugenia</v>
          </cell>
          <cell r="N67" t="str">
            <v>Cortés</v>
          </cell>
          <cell r="O67" t="str">
            <v>González</v>
          </cell>
          <cell r="P67" t="str">
            <v>Aspavi, S.A. de C.V.</v>
          </cell>
          <cell r="Q67" t="str">
            <v>ASP100215RH9</v>
          </cell>
          <cell r="V67">
            <v>42587</v>
          </cell>
          <cell r="Y67">
            <v>1494650.15</v>
          </cell>
          <cell r="AA67" t="str">
            <v>Obra complementaria en el parque El Polvorin II, municipio de Zapopan, Jalisco.</v>
          </cell>
          <cell r="AD67">
            <v>42591</v>
          </cell>
          <cell r="AE67">
            <v>42613</v>
          </cell>
        </row>
        <row r="68">
          <cell r="C68" t="str">
            <v>DOPI-MUN-RM-PROY-AD-136-2016</v>
          </cell>
          <cell r="M68" t="str">
            <v>José Alejandro</v>
          </cell>
          <cell r="N68" t="str">
            <v>Alva</v>
          </cell>
          <cell r="O68" t="str">
            <v>Delgado</v>
          </cell>
          <cell r="P68" t="str">
            <v>Servicios de Obras Civiles Serco, S.A. de C.V.</v>
          </cell>
          <cell r="Q68" t="str">
            <v>SOC150806E69</v>
          </cell>
          <cell r="V68">
            <v>42586</v>
          </cell>
          <cell r="Y68">
            <v>602435.48</v>
          </cell>
          <cell r="AA68" t="str">
            <v>Estudios de mecánica de suelos y diseño de pavimentos de diferentes obras 2016, segunda etapa, del municipio de Zapopan, Jalisco.</v>
          </cell>
          <cell r="AD68">
            <v>42591</v>
          </cell>
          <cell r="AE68">
            <v>42735</v>
          </cell>
        </row>
        <row r="69">
          <cell r="C69" t="str">
            <v>DOPI-MUN-RM-AP-AD-137-2016</v>
          </cell>
          <cell r="M69" t="str">
            <v>Javier</v>
          </cell>
          <cell r="N69" t="str">
            <v xml:space="preserve">Ávila </v>
          </cell>
          <cell r="O69" t="str">
            <v>Flores</v>
          </cell>
          <cell r="P69" t="str">
            <v>Savho Consultoría y Construcción, S.A. de C.V.</v>
          </cell>
          <cell r="Q69" t="str">
            <v>SCC060622HZ3</v>
          </cell>
          <cell r="V69">
            <v>42594</v>
          </cell>
          <cell r="Y69">
            <v>1435250.48</v>
          </cell>
          <cell r="AA69" t="str">
            <v>Complemento de red de agua potable y tomas domiciliarias en la localidad de Milpillas, municipio de Zapopan, Jalisco</v>
          </cell>
          <cell r="AD69">
            <v>42597</v>
          </cell>
          <cell r="AE69">
            <v>42643</v>
          </cell>
        </row>
        <row r="70">
          <cell r="C70" t="str">
            <v>DOPI-MUN-RM-IM-AD-138-2016</v>
          </cell>
          <cell r="M70" t="str">
            <v>Oscar Luis</v>
          </cell>
          <cell r="N70" t="str">
            <v xml:space="preserve"> Chávez</v>
          </cell>
          <cell r="O70" t="str">
            <v>González</v>
          </cell>
          <cell r="P70" t="str">
            <v>Euro Trade, S.A. de C.V.</v>
          </cell>
          <cell r="Q70" t="str">
            <v>ETR070417NS8</v>
          </cell>
          <cell r="V70">
            <v>42607</v>
          </cell>
          <cell r="Y70">
            <v>1308547.98</v>
          </cell>
          <cell r="AA70" t="str">
            <v>Complemento de la construcción de muro oriente, rehabilitación de banquetas e instalación de malla ciclón en el Panteón Municipal ubicado en la localidad de Santa Ana Tepetitlán, municipio de Zapopan, Jalisco.</v>
          </cell>
          <cell r="AD70">
            <v>42611</v>
          </cell>
          <cell r="AE70">
            <v>42655</v>
          </cell>
        </row>
        <row r="71">
          <cell r="C71" t="str">
            <v>DOPI-MUN-RM-IM-AD-139-2016</v>
          </cell>
          <cell r="M71" t="str">
            <v>Víctor Eduardo</v>
          </cell>
          <cell r="N71" t="str">
            <v>López</v>
          </cell>
          <cell r="O71" t="str">
            <v>Carpio</v>
          </cell>
          <cell r="P71" t="str">
            <v>CCR Ingenieros, S.A. de C.V.</v>
          </cell>
          <cell r="Q71" t="str">
            <v>CIN101029PR5</v>
          </cell>
          <cell r="V71">
            <v>42607</v>
          </cell>
          <cell r="Y71">
            <v>1485649.36</v>
          </cell>
          <cell r="AA71" t="str">
            <v>Construcción de muro, banquetas, instalación de malla ciclón en el Panteón municipal ubicado en Atemajac, municipio de Zapopan, Jalisco</v>
          </cell>
          <cell r="AD71">
            <v>42611</v>
          </cell>
          <cell r="AE71">
            <v>42670</v>
          </cell>
        </row>
        <row r="72">
          <cell r="C72" t="str">
            <v>DOPI-MUN-RM-PAV-AD-159-2016</v>
          </cell>
          <cell r="M72" t="str">
            <v>José Jaime</v>
          </cell>
          <cell r="N72" t="str">
            <v>Camarena</v>
          </cell>
          <cell r="O72" t="str">
            <v>Correa</v>
          </cell>
          <cell r="P72" t="str">
            <v>Firmitas Constructa, S.A. de C.V.</v>
          </cell>
          <cell r="Q72" t="str">
            <v>FCO110711N24</v>
          </cell>
          <cell r="V72">
            <v>42613</v>
          </cell>
          <cell r="Y72">
            <v>1439734.18</v>
          </cell>
          <cell r="AA72" t="str">
            <v>Sustitución de rejillas en bocas de tormenta en Avenida Patria ente Avila Camacho y Real Acueducto, en Avenida Tepeyac entre Manuel J. Clouthier y limite municipal, lateral Periférico en su cruce con Mariano Otero, municipio de Zapopan, Jalisco</v>
          </cell>
          <cell r="AD72">
            <v>42618</v>
          </cell>
          <cell r="AE72">
            <v>42658</v>
          </cell>
        </row>
        <row r="73">
          <cell r="C73" t="str">
            <v>DOPI-MUN-RM-PAV-AD-160-2016</v>
          </cell>
          <cell r="M73" t="str">
            <v>Luis Armando</v>
          </cell>
          <cell r="N73" t="str">
            <v>Linares</v>
          </cell>
          <cell r="O73" t="str">
            <v>Cacho</v>
          </cell>
          <cell r="P73" t="str">
            <v>Urbanizadora y Constructora Roal, S.A. de C.V.</v>
          </cell>
          <cell r="Q73" t="str">
            <v>URC160310857</v>
          </cell>
          <cell r="V73">
            <v>42615</v>
          </cell>
          <cell r="Y73">
            <v>998750.24</v>
          </cell>
          <cell r="AA73" t="str">
            <v>Programa emergente de bacheo de vialidades en Zapopan Centro tramo 1, municipio de Zapopan, Jalisco.</v>
          </cell>
          <cell r="AD73">
            <v>42618</v>
          </cell>
          <cell r="AE73">
            <v>42674</v>
          </cell>
        </row>
        <row r="74">
          <cell r="C74" t="str">
            <v>DOPI-MUN-RM-PAV-AD-161-2016</v>
          </cell>
          <cell r="M74" t="str">
            <v>Orlando</v>
          </cell>
          <cell r="N74" t="str">
            <v>Hijar</v>
          </cell>
          <cell r="O74" t="str">
            <v>Casillas</v>
          </cell>
          <cell r="P74" t="str">
            <v>Constructora y Urbanizadora Ceda, S.A. de C.V.</v>
          </cell>
          <cell r="Q74" t="str">
            <v>CUC121107NV2</v>
          </cell>
          <cell r="V74">
            <v>42615</v>
          </cell>
          <cell r="Y74">
            <v>999587.49</v>
          </cell>
          <cell r="AA74" t="str">
            <v>Programa emergente de bacheo de vialidades en Zapopan Centro tramo 2, municipio de Zapopan, Jalisco.</v>
          </cell>
          <cell r="AD74">
            <v>42618</v>
          </cell>
          <cell r="AE74">
            <v>42674</v>
          </cell>
        </row>
        <row r="75">
          <cell r="C75" t="str">
            <v>DOPI-MUN-RM-PAV-AD-162-2016</v>
          </cell>
          <cell r="M75" t="str">
            <v>Ignacio Javier</v>
          </cell>
          <cell r="N75" t="str">
            <v>Curiel</v>
          </cell>
          <cell r="O75" t="str">
            <v>Dueñas</v>
          </cell>
          <cell r="P75" t="str">
            <v>TC Construcción y Mantenimiento, S.A. de C.V.</v>
          </cell>
          <cell r="Q75" t="str">
            <v>TCM100915HA1</v>
          </cell>
          <cell r="V75">
            <v>42615</v>
          </cell>
          <cell r="Y75">
            <v>1000115.36</v>
          </cell>
          <cell r="AA75" t="str">
            <v>Programa emergente de bacheo de vialidades en Zapopan Sur tramo 1, municipio de Zapopan, Jalisco.</v>
          </cell>
          <cell r="AD75">
            <v>42618</v>
          </cell>
          <cell r="AE75">
            <v>42674</v>
          </cell>
        </row>
        <row r="76">
          <cell r="C76" t="str">
            <v>DOPI-MUN-RM-PAV-AD-163-2016</v>
          </cell>
          <cell r="M76" t="str">
            <v>Regino</v>
          </cell>
          <cell r="N76" t="str">
            <v>Ruiz del Campo</v>
          </cell>
          <cell r="O76" t="str">
            <v>Medina</v>
          </cell>
          <cell r="P76" t="str">
            <v>Regino Ruiz del Campo Medina</v>
          </cell>
          <cell r="Q76" t="str">
            <v>RUMR771116UA8</v>
          </cell>
          <cell r="V76">
            <v>42615</v>
          </cell>
          <cell r="Y76">
            <v>1001250.87</v>
          </cell>
          <cell r="AA76" t="str">
            <v>Programa emergente de bacheo de vialidades en Zapopan Sur Poniente tramo 1, municipio de Zapopan, Jalisco.</v>
          </cell>
          <cell r="AD76">
            <v>42618</v>
          </cell>
          <cell r="AE76">
            <v>42674</v>
          </cell>
        </row>
        <row r="77">
          <cell r="C77" t="str">
            <v>DOPI-MUN-RM-PAV-AD-164-2016</v>
          </cell>
          <cell r="M77" t="str">
            <v>Carlos Ignacio</v>
          </cell>
          <cell r="N77" t="str">
            <v>Curiel</v>
          </cell>
          <cell r="O77" t="str">
            <v>Dueñas</v>
          </cell>
          <cell r="P77" t="str">
            <v>Constructora Cecuchi, S.A. de C.V.</v>
          </cell>
          <cell r="Q77" t="str">
            <v>CCE130723IR7</v>
          </cell>
          <cell r="V77">
            <v>42615</v>
          </cell>
          <cell r="Y77">
            <v>1002128.72</v>
          </cell>
          <cell r="AA77" t="str">
            <v>Programa emergente de bacheo de vialidades en Zapopan Sur Poniente tramo 2, municipio de Zapopan, Jalsico</v>
          </cell>
          <cell r="AD77">
            <v>42618</v>
          </cell>
          <cell r="AE77">
            <v>42674</v>
          </cell>
        </row>
        <row r="78">
          <cell r="C78" t="str">
            <v>DOPI-MUN-RM-PAV-AD-165-2016</v>
          </cell>
          <cell r="M78" t="str">
            <v>Antonio</v>
          </cell>
          <cell r="N78" t="str">
            <v>Chávez</v>
          </cell>
          <cell r="O78" t="str">
            <v>Navarro</v>
          </cell>
          <cell r="P78" t="str">
            <v>Constructora Industrial Chávez S.A. de C.V.</v>
          </cell>
          <cell r="Q78" t="str">
            <v>CIC960718BW4</v>
          </cell>
          <cell r="V78">
            <v>42615</v>
          </cell>
          <cell r="Y78">
            <v>997115.6</v>
          </cell>
          <cell r="AA78" t="str">
            <v>Programa emergente de bacheo de vialidades en Zapopan Poniente tramo 1, municipio de Zapopan, Jalsico</v>
          </cell>
          <cell r="AD78">
            <v>42618</v>
          </cell>
          <cell r="AE78">
            <v>42674</v>
          </cell>
        </row>
        <row r="79">
          <cell r="C79" t="str">
            <v>DOPI-MUN-RM-PAV-AD-166-2016</v>
          </cell>
          <cell r="M79" t="str">
            <v>Raquel</v>
          </cell>
          <cell r="N79" t="str">
            <v>Chávez</v>
          </cell>
          <cell r="O79" t="str">
            <v>Navarro</v>
          </cell>
          <cell r="P79" t="str">
            <v>Asfaltos Selectos de Ocotlán, S.A. de C.V.</v>
          </cell>
          <cell r="Q79" t="str">
            <v>ASO080408GY0</v>
          </cell>
          <cell r="V79">
            <v>42615</v>
          </cell>
          <cell r="Y79">
            <v>1003154.53</v>
          </cell>
          <cell r="AA79" t="str">
            <v>Programa emergente de bacheo de vialidades en Zapopan Poniente tramo 2, municipio de Zapopan, Jalsico</v>
          </cell>
          <cell r="AD79">
            <v>42618</v>
          </cell>
          <cell r="AE79">
            <v>42674</v>
          </cell>
        </row>
        <row r="80">
          <cell r="C80" t="str">
            <v>DOPI-MUN-RM-PAV-AD-167-2016</v>
          </cell>
          <cell r="M80" t="str">
            <v xml:space="preserve">Guillermo Emmanuel </v>
          </cell>
          <cell r="N80" t="str">
            <v xml:space="preserve">Lara </v>
          </cell>
          <cell r="O80" t="str">
            <v>Ochoa</v>
          </cell>
          <cell r="P80" t="str">
            <v>Alquimia Grupo Constructor, S.A. de C.V.</v>
          </cell>
          <cell r="Q80" t="str">
            <v>AGC070223J95</v>
          </cell>
          <cell r="V80">
            <v>42615</v>
          </cell>
          <cell r="Y80">
            <v>990472.15</v>
          </cell>
          <cell r="AA80" t="str">
            <v>Programa emergente de bacheo de vialidades en Zapopan Norponiente tramo 1, municipio de Zapopan, Jalisco.</v>
          </cell>
          <cell r="AD80">
            <v>42618</v>
          </cell>
          <cell r="AE80">
            <v>42674</v>
          </cell>
        </row>
        <row r="81">
          <cell r="C81" t="str">
            <v>DOPI-MUN-RM-PAV-AD-168-2016</v>
          </cell>
          <cell r="M81" t="str">
            <v>Aurora Lucia</v>
          </cell>
          <cell r="N81" t="str">
            <v xml:space="preserve">Brenez </v>
          </cell>
          <cell r="O81" t="str">
            <v>Garnica</v>
          </cell>
          <cell r="P81" t="str">
            <v>Karol Urbanizaciones y Construcciones, S.A. de C.V.</v>
          </cell>
          <cell r="Q81" t="str">
            <v>KUC070424344</v>
          </cell>
          <cell r="V81">
            <v>42615</v>
          </cell>
          <cell r="Y81">
            <v>988477.86</v>
          </cell>
          <cell r="AA81" t="str">
            <v>Programa emergente de bacheo de vialidades en Zapopan Norponiente tramo 2, municipio de Zapopan, Jalsico</v>
          </cell>
          <cell r="AD81">
            <v>42618</v>
          </cell>
          <cell r="AE81">
            <v>42674</v>
          </cell>
        </row>
        <row r="82">
          <cell r="C82" t="str">
            <v>DOPI-MUN-RM-PAV-AD-169-2016</v>
          </cell>
          <cell r="M82" t="str">
            <v>Carlos Felipe</v>
          </cell>
          <cell r="N82" t="str">
            <v>Vázquez</v>
          </cell>
          <cell r="O82" t="str">
            <v>Guerra</v>
          </cell>
          <cell r="P82" t="str">
            <v>Urbanizadora Vázquez Guerra, S.A. de C.V.</v>
          </cell>
          <cell r="Q82" t="str">
            <v>UVG841211G22</v>
          </cell>
          <cell r="V82">
            <v>42615</v>
          </cell>
          <cell r="Y82">
            <v>996236.89</v>
          </cell>
          <cell r="AA82" t="str">
            <v>Programa emergente de bacheo de vialidades en Zapopan Norte tramo 1, municipio de Zapopan, Jalsico</v>
          </cell>
          <cell r="AD82">
            <v>42618</v>
          </cell>
          <cell r="AE82">
            <v>42674</v>
          </cell>
        </row>
        <row r="83">
          <cell r="C83" t="str">
            <v>DOPI-MUN-RM-ELE-AD-170-2016</v>
          </cell>
          <cell r="M83" t="str">
            <v>Pia Lorena</v>
          </cell>
          <cell r="N83" t="str">
            <v>Buenrostro</v>
          </cell>
          <cell r="O83" t="str">
            <v>Ahued</v>
          </cell>
          <cell r="P83" t="str">
            <v>Birmek Construcciones, S.A. de C.V.</v>
          </cell>
          <cell r="Q83" t="str">
            <v>BCO070129512</v>
          </cell>
          <cell r="V83">
            <v>42636</v>
          </cell>
          <cell r="Y83">
            <v>1492750.23</v>
          </cell>
          <cell r="AA83" t="str">
            <v>Trabajos complementarios de infraestructura eléctrica y de alumbrado público, frente 1, municipio de Zapopan, Jalisco</v>
          </cell>
          <cell r="AD83">
            <v>42639</v>
          </cell>
          <cell r="AE83">
            <v>42719</v>
          </cell>
        </row>
        <row r="84">
          <cell r="C84" t="str">
            <v>DOPI-MUN-RM-PAV-AD-171-2016</v>
          </cell>
          <cell r="M84" t="str">
            <v>Omar</v>
          </cell>
          <cell r="N84" t="str">
            <v>Mora</v>
          </cell>
          <cell r="O84" t="str">
            <v>Montes de Oca</v>
          </cell>
          <cell r="P84" t="str">
            <v>Dommont Construcciones, S.A. de C.V.</v>
          </cell>
          <cell r="Q84" t="str">
            <v>DCO130215C16</v>
          </cell>
          <cell r="V84">
            <v>42622</v>
          </cell>
          <cell r="Y84">
            <v>1480115.18</v>
          </cell>
          <cell r="AA84" t="str">
            <v>Pavimentación con adoquín y empedrado tradicional con material producto de recuperación en diferentes vialidades en el Municipio de Zapopan, Jalisco</v>
          </cell>
          <cell r="AD84">
            <v>42624</v>
          </cell>
          <cell r="AE84">
            <v>42689</v>
          </cell>
        </row>
        <row r="85">
          <cell r="C85" t="str">
            <v>DOPI-MUN-RM-SIS-AD-172-2016</v>
          </cell>
          <cell r="M85" t="str">
            <v>Víctor Martín</v>
          </cell>
          <cell r="N85" t="str">
            <v>López</v>
          </cell>
          <cell r="O85" t="str">
            <v>Santos</v>
          </cell>
          <cell r="P85" t="str">
            <v>Desarrollos Vicsa, S.A. de C.V.</v>
          </cell>
          <cell r="Q85" t="str">
            <v>DVI0903301U3</v>
          </cell>
          <cell r="V85">
            <v>42622</v>
          </cell>
          <cell r="Y85">
            <v>435640.37</v>
          </cell>
          <cell r="AA85" t="str">
            <v>Programación e implementación de sistema informático para la programación, contratación, control y seguimiento de ejecución de obra, elaboración de estimaciones y padrón de contratistas del Municipio de Zapopan, Jalisco</v>
          </cell>
          <cell r="AD85">
            <v>42624</v>
          </cell>
          <cell r="AE85">
            <v>42689</v>
          </cell>
        </row>
        <row r="86">
          <cell r="C86" t="str">
            <v>DOPI-MUN-RM-PAV-AD-181-2016</v>
          </cell>
          <cell r="M86" t="str">
            <v>RAFAEL AUGUSTO</v>
          </cell>
          <cell r="N86" t="str">
            <v>CABALLERO</v>
          </cell>
          <cell r="O86" t="str">
            <v>QUIRARTE</v>
          </cell>
          <cell r="P86" t="str">
            <v>PROYECTOS ARQUITECTONICOS TRIANGULO, S.A. DE C.V.</v>
          </cell>
          <cell r="Q86" t="str">
            <v>PAT110331HH0</v>
          </cell>
          <cell r="V86">
            <v>42653</v>
          </cell>
          <cell r="Y86">
            <v>1494945.36</v>
          </cell>
          <cell r="AA86" t="str">
            <v>Programa emergente de bacheo de vialidades en Zapopan Norte tramo 2, municipio de Zapopan, Jalisco.</v>
          </cell>
          <cell r="AD86">
            <v>42654</v>
          </cell>
          <cell r="AE86">
            <v>42710</v>
          </cell>
        </row>
        <row r="87">
          <cell r="C87" t="str">
            <v>DOPI-MUN-RM-PAV-AD-182-2016</v>
          </cell>
          <cell r="M87" t="str">
            <v>ENRIQUE</v>
          </cell>
          <cell r="N87" t="str">
            <v>LUGO</v>
          </cell>
          <cell r="O87" t="str">
            <v>IBARRA</v>
          </cell>
          <cell r="P87" t="str">
            <v>LUGO IBARRA CONSORCIO CONSTRUCTOR, S.A. DE C.V.</v>
          </cell>
          <cell r="Q87" t="str">
            <v>LIC0208141P8</v>
          </cell>
          <cell r="V87">
            <v>42650</v>
          </cell>
          <cell r="Y87">
            <v>1498832.34</v>
          </cell>
          <cell r="AA87" t="str">
            <v>Rehabilitación de machuelos de concreto hidráulico en la Av. Juan Gil Preciado, tramo 1, municipio de Zapopan, Jalisco.</v>
          </cell>
          <cell r="AD87">
            <v>42653</v>
          </cell>
          <cell r="AE87">
            <v>42712</v>
          </cell>
        </row>
        <row r="88">
          <cell r="C88" t="str">
            <v>DOPI-MUN-RM-PAV-AD-183-2016</v>
          </cell>
          <cell r="M88" t="str">
            <v>ARTURO</v>
          </cell>
          <cell r="N88" t="str">
            <v>SARMIENTO</v>
          </cell>
          <cell r="O88" t="str">
            <v>SANCHEZ</v>
          </cell>
          <cell r="P88" t="str">
            <v>CONSTRUBRAVO, S.A. DE C.V.</v>
          </cell>
          <cell r="Q88" t="str">
            <v>CON020208696</v>
          </cell>
          <cell r="V88">
            <v>42650</v>
          </cell>
          <cell r="Y88">
            <v>1492150.48</v>
          </cell>
          <cell r="AA88" t="str">
            <v>Rehabilitación de machuelos de concreto hidráulico en la Av. Juan Gil Preciado, tramo 2, municipio de Zapopan, Jalisco.</v>
          </cell>
          <cell r="AD88">
            <v>42653</v>
          </cell>
          <cell r="AE88">
            <v>42712</v>
          </cell>
        </row>
        <row r="89">
          <cell r="C89" t="str">
            <v>DOPI-MUN-RM-DP-AD-184-2016</v>
          </cell>
          <cell r="M89" t="str">
            <v xml:space="preserve">EDUARDO </v>
          </cell>
          <cell r="N89" t="str">
            <v>ROMERO</v>
          </cell>
          <cell r="O89" t="str">
            <v>LUGO</v>
          </cell>
          <cell r="P89" t="str">
            <v>RS OBRAS Y SERVICIOS S.A. DE C.V.</v>
          </cell>
          <cell r="Q89" t="str">
            <v>ROS120904PV9</v>
          </cell>
          <cell r="V89">
            <v>42653</v>
          </cell>
          <cell r="Y89">
            <v>1478083.67</v>
          </cell>
          <cell r="AA89" t="str">
            <v>Construcción de colector pluvial en el camino al Arenero, municipio de Zapopan, Jalisco.</v>
          </cell>
          <cell r="AD89">
            <v>42654</v>
          </cell>
          <cell r="AE89">
            <v>42678</v>
          </cell>
        </row>
        <row r="90">
          <cell r="C90" t="str">
            <v>DOPI-MUN-RM-PROY-AD-185-2016</v>
          </cell>
          <cell r="M90" t="str">
            <v>ENRIQUE FRANCISCO</v>
          </cell>
          <cell r="N90" t="str">
            <v>TOUSSAINT</v>
          </cell>
          <cell r="O90" t="str">
            <v>OCHOA</v>
          </cell>
          <cell r="P90" t="str">
            <v>GRUPO ARQUITECTOS TOUSSAINT Y ORENDAIN SC</v>
          </cell>
          <cell r="Q90" t="str">
            <v>GAT920520R72</v>
          </cell>
          <cell r="V90">
            <v>42653</v>
          </cell>
          <cell r="Y90">
            <v>986034.8</v>
          </cell>
          <cell r="AA90" t="str">
            <v>Proyecto ejecutivo de la renovación y ampliación del Museo de Arte de Zapopan, ubicado en el Andador 20 de Noviembre y la calle 28 de Enero, en la cabecera municipal, de Zapopan, Jalisco.</v>
          </cell>
          <cell r="AD90">
            <v>42654</v>
          </cell>
          <cell r="AE90">
            <v>42750</v>
          </cell>
        </row>
        <row r="91">
          <cell r="C91" t="str">
            <v>DOPI-MUN-RM-DP-AD-186-2016</v>
          </cell>
          <cell r="M91" t="str">
            <v>JAVIER</v>
          </cell>
          <cell r="N91" t="str">
            <v xml:space="preserve">ÁVILA </v>
          </cell>
          <cell r="O91" t="str">
            <v>FLORES</v>
          </cell>
          <cell r="P91" t="str">
            <v>SAVHO CONSULTORÍA Y CONSTRUCCIÓN, S.A. DE C.V.</v>
          </cell>
          <cell r="Q91" t="str">
            <v>SCC060622HZ3</v>
          </cell>
          <cell r="V91">
            <v>42653</v>
          </cell>
          <cell r="Y91">
            <v>1479766.1</v>
          </cell>
          <cell r="AA91" t="str">
            <v>Solución Pluvial en Tesistán (colector pluvial de 36" y bocas de tormenta) en la calle Jalisco, Hidalgo, Puebla, en la localidad de Tesistán, municipio de Zapopan, Jalisco. Frente 1.</v>
          </cell>
          <cell r="AD91">
            <v>42654</v>
          </cell>
          <cell r="AE91">
            <v>42704</v>
          </cell>
        </row>
        <row r="92">
          <cell r="C92" t="str">
            <v>DOPI-MUN-RM-IE-AD-187-2016</v>
          </cell>
          <cell r="M92" t="str">
            <v>AARON</v>
          </cell>
          <cell r="N92" t="str">
            <v>AMARAL</v>
          </cell>
          <cell r="O92" t="str">
            <v>LOPEZ</v>
          </cell>
          <cell r="P92" t="str">
            <v>GLOBAL CONSTRUCCIONES Y CONSULTORIA, S.A. DE C.V.</v>
          </cell>
          <cell r="Q92" t="str">
            <v>GCC1102098R8</v>
          </cell>
          <cell r="V92">
            <v>42664</v>
          </cell>
          <cell r="Y92">
            <v>998756.32</v>
          </cell>
          <cell r="AA92" t="str">
            <v>Suministro y colocación de estructuras de protección de rayos ultravioleta y sustitución de losas de concreto en el plantel educativo Gustavo Diaz Ordaz, clave 14EPR1473U, colonia Gustavo Diaz Ordaz, Municipio de Zapopan, Jalisco.</v>
          </cell>
          <cell r="AD92">
            <v>42667</v>
          </cell>
          <cell r="AE92">
            <v>42726</v>
          </cell>
        </row>
        <row r="93">
          <cell r="C93" t="str">
            <v>DOPI-MUN-RM-AP-AD-212-2016</v>
          </cell>
          <cell r="M93" t="str">
            <v xml:space="preserve">HECTOR DAVID </v>
          </cell>
          <cell r="N93" t="str">
            <v>ROBLES</v>
          </cell>
          <cell r="O93" t="str">
            <v>ROBLES</v>
          </cell>
          <cell r="P93" t="str">
            <v>ESTRUCTURAS Y DISEÑOS DEL SOL, S.A. DE C.V.</v>
          </cell>
          <cell r="Q93" t="str">
            <v>EDS001103AJ2</v>
          </cell>
          <cell r="V93">
            <v>42653</v>
          </cell>
          <cell r="Y93">
            <v>1498750.44</v>
          </cell>
          <cell r="AA93" t="str">
            <v>Construcción de linea de agua potable, drenaje sanitario y linea de alejamiento en la calle La grana y calle Rastro, en la colonia San Isidro, municipio de Zapopan, Jalisco.</v>
          </cell>
          <cell r="AD93">
            <v>42654</v>
          </cell>
          <cell r="AE93">
            <v>42698</v>
          </cell>
        </row>
        <row r="94">
          <cell r="C94" t="str">
            <v>DOPI-MUN-RM-IM-AD-213-2016</v>
          </cell>
          <cell r="M94" t="str">
            <v>NORMA FABIOLA</v>
          </cell>
          <cell r="N94" t="str">
            <v>RODRIGUEZ</v>
          </cell>
          <cell r="O94" t="str">
            <v>CASTILLO</v>
          </cell>
          <cell r="P94" t="str">
            <v>PARED URBANA, S.A. DE C.V.</v>
          </cell>
          <cell r="Q94" t="str">
            <v>PUR071001L23</v>
          </cell>
          <cell r="V94">
            <v>42647</v>
          </cell>
          <cell r="Y94">
            <v>932552.22</v>
          </cell>
          <cell r="AA94" t="str">
            <v>Suministro e instalación de piso de danza flotado de duela de Maple en el escenario del auditorio del Centro Cultural Constitución, ,municipio de Zapopan, Jalisco.</v>
          </cell>
          <cell r="AD94">
            <v>42648</v>
          </cell>
          <cell r="AE94">
            <v>42677</v>
          </cell>
        </row>
        <row r="95">
          <cell r="C95" t="str">
            <v>DOPI-MUN-RM-PROY-AD-215-2016</v>
          </cell>
          <cell r="M95" t="str">
            <v>LUIS ERNESTO</v>
          </cell>
          <cell r="N95" t="str">
            <v>GONZALEZ</v>
          </cell>
          <cell r="O95" t="str">
            <v>LOZANO</v>
          </cell>
          <cell r="P95" t="str">
            <v>TOSCANA INGENIERIA, S. A.  DE C.V.</v>
          </cell>
          <cell r="Q95" t="str">
            <v>TIN04100824A</v>
          </cell>
          <cell r="V95">
            <v>42657</v>
          </cell>
          <cell r="Y95">
            <v>1350125.87</v>
          </cell>
          <cell r="AA95" t="str">
            <v>Estudios básicos topográficos para diferentes obras 2016, segunda etapa, del municipio de Zapopan, Jalisco.</v>
          </cell>
          <cell r="AD95">
            <v>42660</v>
          </cell>
          <cell r="AE95">
            <v>42735</v>
          </cell>
        </row>
        <row r="96">
          <cell r="C96" t="str">
            <v>DOPI-MUN-RM-PAV-AD-216-2016</v>
          </cell>
          <cell r="M96" t="str">
            <v>ESPERANZA</v>
          </cell>
          <cell r="N96" t="str">
            <v>CORONA</v>
          </cell>
          <cell r="O96" t="str">
            <v>JUAREZ</v>
          </cell>
          <cell r="P96" t="str">
            <v>GREEN PATCHER MEXICO, S. DE R.L. DE C.V.</v>
          </cell>
          <cell r="Q96" t="str">
            <v>ISA071206P64</v>
          </cell>
          <cell r="V96">
            <v>42674</v>
          </cell>
          <cell r="Y96">
            <v>1492596.99</v>
          </cell>
          <cell r="AA96" t="str">
            <v>Programa emergente de bacheo de vialidades en Zapopan Norte, tramo 3, municipio de Zapopan, Jalisco.</v>
          </cell>
          <cell r="AD96">
            <v>42675</v>
          </cell>
          <cell r="AE96">
            <v>42734</v>
          </cell>
        </row>
        <row r="97">
          <cell r="C97" t="str">
            <v>DOPI-MUN-RM-IM-AD-217-2016</v>
          </cell>
          <cell r="M97" t="str">
            <v xml:space="preserve">RAFAEL </v>
          </cell>
          <cell r="N97" t="str">
            <v>OROZCO</v>
          </cell>
          <cell r="O97" t="str">
            <v>MARTINEZ</v>
          </cell>
          <cell r="P97" t="str">
            <v>CEELE CONSTRUCCIONES, S.A. DE C.V.</v>
          </cell>
          <cell r="Q97" t="str">
            <v>CCO020123366</v>
          </cell>
          <cell r="V97">
            <v>42657</v>
          </cell>
          <cell r="Y97">
            <v>950216.14</v>
          </cell>
          <cell r="AA97" t="str">
            <v>Construcción de modulo de sanitarios, en el Panteón de Santa  Ana Tepetitlan, municipio de Zapopan, Jalisco.</v>
          </cell>
          <cell r="AD97">
            <v>42660</v>
          </cell>
          <cell r="AE97">
            <v>42714</v>
          </cell>
        </row>
        <row r="98">
          <cell r="C98" t="str">
            <v>DOPI-MUN-RM-PAV-AD-218-2016</v>
          </cell>
          <cell r="M98" t="str">
            <v>SALVADOR</v>
          </cell>
          <cell r="N98" t="str">
            <v>CASTRO</v>
          </cell>
          <cell r="O98" t="str">
            <v>GUZMAN</v>
          </cell>
          <cell r="P98" t="str">
            <v>GRUPO CONSTRUCTOR GLEOSS, S.A. DE C.V.</v>
          </cell>
          <cell r="Q98" t="str">
            <v>GCG041213LZ9</v>
          </cell>
          <cell r="V98">
            <v>42664</v>
          </cell>
          <cell r="Y98">
            <v>1494567.16</v>
          </cell>
          <cell r="AA98" t="str">
            <v>Construcción de pavimento de concreto hidráulico en la calle La Grana  y calle Rastro, en la colonia San Isidro, municipio de Zapopan, Jalisco.</v>
          </cell>
          <cell r="AD98">
            <v>42667</v>
          </cell>
          <cell r="AE98">
            <v>42726</v>
          </cell>
        </row>
        <row r="99">
          <cell r="C99" t="str">
            <v>DOPI-MUN-RM-DP-AD-219-2016</v>
          </cell>
          <cell r="M99" t="str">
            <v xml:space="preserve">RODOLFO </v>
          </cell>
          <cell r="N99" t="str">
            <v xml:space="preserve">VELAZQUEZ </v>
          </cell>
          <cell r="O99" t="str">
            <v>ORDOÑEZ</v>
          </cell>
          <cell r="P99" t="str">
            <v>VELAZQUEZ INGENIERIA ECOLOGICA, S.A. DE C.V.</v>
          </cell>
          <cell r="Q99" t="str">
            <v>VIE110125RL4</v>
          </cell>
          <cell r="V99">
            <v>42653</v>
          </cell>
          <cell r="Y99">
            <v>1421736.05</v>
          </cell>
          <cell r="AA99" t="str">
            <v>Solución Pluvial en Tesistán (colector pluvial de 36" y bocas de tormenta) en la calle Jalisco, Hidalgo, Puebla, en la localidad de Tesistán, municipio de Zapopan, Jalisco. Frente 2.</v>
          </cell>
          <cell r="AD99">
            <v>42654</v>
          </cell>
          <cell r="AE99">
            <v>42704</v>
          </cell>
        </row>
        <row r="100">
          <cell r="C100" t="str">
            <v>DOPI-MUN-RM-IM-AD-220-2016</v>
          </cell>
          <cell r="M100" t="str">
            <v>JOSE ANTONIO</v>
          </cell>
          <cell r="N100" t="str">
            <v>ALVAREZ</v>
          </cell>
          <cell r="O100" t="str">
            <v>ZULOAGA</v>
          </cell>
          <cell r="P100" t="str">
            <v>GRUPO DESARROLLADOR ALZU, S.A. DE C.V.</v>
          </cell>
          <cell r="Q100" t="str">
            <v>GDA150928286</v>
          </cell>
          <cell r="V100">
            <v>42647</v>
          </cell>
          <cell r="Y100">
            <v>1495360.54</v>
          </cell>
          <cell r="AA100" t="str">
            <v>Suministro y colocación de estructuras de protección de rayos ultravioleta, pozos de filtración, cancelería y albañilería en el CRI ubicado en Av. Laureles, colonia Unidad Fovissste; Pintura y aplanados en el aula del CDI No. 3, ubicado en Av, Laureles, colonia Unidad Fovissste; Suministro y colocación de lona, colocación de ladrillo de azotea e impermeabilización en el área de consultorios y albañilería en el CEMAM, ubicado en la calle cerrada Santa Laura, colonia Santa Margarita Primera Sección, muncipio de Zapopan, Jalisco</v>
          </cell>
          <cell r="AD100">
            <v>42648</v>
          </cell>
          <cell r="AE100">
            <v>42704</v>
          </cell>
        </row>
        <row r="101">
          <cell r="C101" t="str">
            <v>DOPI-MUN-RM-PAV-AD-221-2016</v>
          </cell>
          <cell r="M101" t="str">
            <v>JESUS DAVID</v>
          </cell>
          <cell r="N101" t="str">
            <v xml:space="preserve">GARZA </v>
          </cell>
          <cell r="O101" t="str">
            <v>GARCIA</v>
          </cell>
          <cell r="P101" t="str">
            <v>CONSTRUCCIONES  ELECTRIFICACIONES Y ARRENDAMIENTO DE MAQUINARIA S.A. DE C.V.</v>
          </cell>
          <cell r="Q101" t="str">
            <v>CEA010615GT0</v>
          </cell>
          <cell r="V101">
            <v>42685</v>
          </cell>
          <cell r="Y101">
            <v>1358863.01</v>
          </cell>
          <cell r="AA101" t="str">
            <v>Pavimentación con concreto asfáltico en el paso inferior de Periférico Norte Manuel Gomez Morín en su cruce con la Av. Santa Margarita, municipio de Zapopan, Jalisco.</v>
          </cell>
          <cell r="AD101">
            <v>42688</v>
          </cell>
          <cell r="AE101">
            <v>42726</v>
          </cell>
        </row>
        <row r="102">
          <cell r="C102" t="str">
            <v>DOPI-MUN-RM-PAV-AD-222-2016</v>
          </cell>
          <cell r="M102" t="str">
            <v>ESTEBAN</v>
          </cell>
          <cell r="N102" t="str">
            <v>PEREZ</v>
          </cell>
          <cell r="O102" t="str">
            <v>MUÑOZ</v>
          </cell>
          <cell r="P102" t="str">
            <v>GRUPO PG CONSTRUCTORES Y SUPERVISORES, S.A. DE C.V.</v>
          </cell>
          <cell r="Q102" t="str">
            <v>GPC110927671</v>
          </cell>
          <cell r="V102">
            <v>42650</v>
          </cell>
          <cell r="Y102">
            <v>1447543.87</v>
          </cell>
          <cell r="AA102" t="str">
            <v>Construccion y rehabilitación de guarniciones, banquetas, obra complementaria en camellones en diferentes zonas del municipio de Zapopan, Jalisco, frente 1.</v>
          </cell>
          <cell r="AD102">
            <v>42651</v>
          </cell>
          <cell r="AE102">
            <v>42714</v>
          </cell>
        </row>
        <row r="103">
          <cell r="C103" t="str">
            <v>DOPI-MUN-RM-BAN-AD-223-2016</v>
          </cell>
          <cell r="M103" t="str">
            <v>ANGELICA</v>
          </cell>
          <cell r="N103" t="str">
            <v>VALDERRAMA</v>
          </cell>
          <cell r="O103" t="str">
            <v>CASTRO</v>
          </cell>
          <cell r="P103" t="str">
            <v>GRUPO V Y CG, S.A. DE C.V.</v>
          </cell>
          <cell r="Q103" t="str">
            <v>GVC1101316W5</v>
          </cell>
          <cell r="V103">
            <v>42674</v>
          </cell>
          <cell r="Y103">
            <v>650250.36</v>
          </cell>
          <cell r="AA103" t="str">
            <v>Construcción de banquetas y guarniciones en la calle La Grana y calle Rastro, en la colonia San Isidro, municipio de Zapopan, Jalisco.</v>
          </cell>
          <cell r="AD103">
            <v>42675</v>
          </cell>
          <cell r="AE103">
            <v>42719</v>
          </cell>
        </row>
        <row r="104">
          <cell r="C104" t="str">
            <v>DOPI-MUN-RM-PROY-AD-227-2016</v>
          </cell>
          <cell r="M104" t="str">
            <v>VICTOR MARTIN</v>
          </cell>
          <cell r="N104" t="str">
            <v>LOPEZ</v>
          </cell>
          <cell r="O104" t="str">
            <v>SANTOS</v>
          </cell>
          <cell r="P104" t="str">
            <v>CONSTRUCCIONES CITUS, S.A. DE C.V.</v>
          </cell>
          <cell r="Q104" t="str">
            <v>CCI020411HS5</v>
          </cell>
          <cell r="V104">
            <v>42706</v>
          </cell>
          <cell r="Y104">
            <v>1199639.3999999999</v>
          </cell>
          <cell r="AA104" t="str">
            <v>Estudios y proyecto ejecutivo para estructuras de regulación hidráulica; Diagnóstico, diseño y proyectos hidráulicos 2016, tercera etapa, de diferentes redes de agua potable y alcantarillado, municipio de Zapopan, Jalisco.</v>
          </cell>
          <cell r="AD104">
            <v>42709</v>
          </cell>
          <cell r="AE104">
            <v>42859</v>
          </cell>
        </row>
        <row r="105">
          <cell r="C105" t="str">
            <v>DOPI-MUN-RM-MOV-AD-234-2016</v>
          </cell>
          <cell r="M105" t="str">
            <v xml:space="preserve">HUGO RAFAEL </v>
          </cell>
          <cell r="N105" t="str">
            <v>CABRERA</v>
          </cell>
          <cell r="O105" t="str">
            <v>ORTINEZ</v>
          </cell>
          <cell r="P105" t="str">
            <v>HUGO RAFAEL CABRERA ORTINEZ</v>
          </cell>
          <cell r="Q105" t="str">
            <v>CAOH671024T38</v>
          </cell>
          <cell r="V105">
            <v>42674</v>
          </cell>
          <cell r="Y105">
            <v>1342102.7</v>
          </cell>
          <cell r="AA105" t="str">
            <v>Señalización vertical y horizontal en diferentes obras del municipio de Zapopan, Jalisco, frente 2.</v>
          </cell>
          <cell r="AD105">
            <v>42675</v>
          </cell>
          <cell r="AE105">
            <v>42735</v>
          </cell>
        </row>
        <row r="106">
          <cell r="C106" t="str">
            <v>DOPI-MUN-RM-IM-AD-235-2016</v>
          </cell>
          <cell r="M106" t="str">
            <v>HIRAM</v>
          </cell>
          <cell r="N106" t="str">
            <v>SANCHEZ</v>
          </cell>
          <cell r="O106" t="str">
            <v>LUGO</v>
          </cell>
          <cell r="P106" t="str">
            <v>CONSTRUSANLU URBANIZADORA, S.A. DE C.V.</v>
          </cell>
          <cell r="Q106" t="str">
            <v>CUR130430U59</v>
          </cell>
          <cell r="V106">
            <v>42664</v>
          </cell>
          <cell r="Y106">
            <v>915870.14</v>
          </cell>
          <cell r="AA106" t="str">
            <v>Construcción de caseta de vigilancia en el parque Metropolitano, municipio de Zapopan, Jalisco</v>
          </cell>
          <cell r="AD106">
            <v>42667</v>
          </cell>
          <cell r="AE106">
            <v>42704</v>
          </cell>
        </row>
        <row r="107">
          <cell r="C107" t="str">
            <v>DOPI-MUN-RM-PROY-AD-236-2016</v>
          </cell>
          <cell r="M107" t="str">
            <v>JUAN RAMON</v>
          </cell>
          <cell r="N107" t="str">
            <v>RAMIREZ</v>
          </cell>
          <cell r="O107" t="str">
            <v>ALATORRE</v>
          </cell>
          <cell r="P107" t="str">
            <v>QUERCUS GEOSOLUCIONES, S.A. DE C.V.</v>
          </cell>
          <cell r="Q107" t="str">
            <v>QGE080213988</v>
          </cell>
          <cell r="V107">
            <v>42664</v>
          </cell>
          <cell r="Y107">
            <v>556069.19999999995</v>
          </cell>
          <cell r="AA107" t="str">
            <v>Estudios de impacto ambiental, diagnostico de impacto vial y estudio de impacto urbano, frente 1, municipio de Zapopan, Jalisco</v>
          </cell>
          <cell r="AD107">
            <v>42667</v>
          </cell>
          <cell r="AE107">
            <v>42735</v>
          </cell>
        </row>
        <row r="108">
          <cell r="C108" t="str">
            <v>DOPI-MUN-RM-PAV-AD-237-2016</v>
          </cell>
          <cell r="M108" t="str">
            <v>JOSE SERGIO</v>
          </cell>
          <cell r="N108" t="str">
            <v>CARMONA</v>
          </cell>
          <cell r="O108" t="str">
            <v>RUVALCABA</v>
          </cell>
          <cell r="P108" t="str">
            <v>QUANTUM CONSTRUCTORES Y PROYECTOS, S.A. DE C.V.</v>
          </cell>
          <cell r="Q108" t="str">
            <v>QCP1307172S6</v>
          </cell>
          <cell r="V108">
            <v>42664</v>
          </cell>
          <cell r="Y108">
            <v>1480216.87</v>
          </cell>
          <cell r="AA108" t="str">
            <v>Construcción de pavimento de concreto hidráulico, banquetas, adecuaciones de la red sanitaria e hidráulica en la Av. D, colonia El Tigre II, municipio de Zapopan, Jalisco, tramo 1.</v>
          </cell>
          <cell r="AD108">
            <v>42667</v>
          </cell>
          <cell r="AE108">
            <v>42719</v>
          </cell>
        </row>
        <row r="109">
          <cell r="C109" t="str">
            <v>DOPI-MUN-RM-IE-AD-239-2016</v>
          </cell>
          <cell r="G109" t="str">
            <v xml:space="preserve">GUILLERMO ALBERTO </v>
          </cell>
          <cell r="H109" t="str">
            <v>RODRIGUEZ</v>
          </cell>
          <cell r="I109" t="str">
            <v>ALLENDE</v>
          </cell>
          <cell r="J109" t="str">
            <v>GRUPO CONSTRUCTOR MR DE JALISCO S.A. DE C.V.</v>
          </cell>
          <cell r="K109" t="str">
            <v>GCM121112J86</v>
          </cell>
          <cell r="V109">
            <v>42657</v>
          </cell>
          <cell r="Y109">
            <v>315620.47999999998</v>
          </cell>
          <cell r="AA109" t="str">
            <v>Suministro y colocación de estructuras de protección de rayos ultravioleta en el Jardín de Niños Maria Trinidad Martínez Yañez, clave CT14DJN1601J, colonia Villas Perisur, municipio de Zapopan, Jalisco</v>
          </cell>
          <cell r="AD109">
            <v>42660</v>
          </cell>
          <cell r="AE109">
            <v>42704</v>
          </cell>
        </row>
        <row r="110">
          <cell r="C110" t="str">
            <v>DOPI-MUN-RM-IU-AD-240-2016</v>
          </cell>
          <cell r="G110" t="str">
            <v xml:space="preserve">ALEJANDRO LUIS </v>
          </cell>
          <cell r="H110" t="str">
            <v xml:space="preserve">VAIDOVITS </v>
          </cell>
          <cell r="I110" t="str">
            <v xml:space="preserve"> SCHNURER</v>
          </cell>
          <cell r="J110" t="str">
            <v>PROMACO DE MEXICO, S.A. DE C.V.</v>
          </cell>
          <cell r="K110" t="str">
            <v>PME930817EV7</v>
          </cell>
          <cell r="V110">
            <v>42692</v>
          </cell>
          <cell r="Y110">
            <v>1495635.47</v>
          </cell>
          <cell r="AA110" t="str">
            <v>Primera etapa de la renovación de imagen urbana en la localidad de Tesistan, municipio de Zapopan, Jalisco</v>
          </cell>
          <cell r="AD110">
            <v>42696</v>
          </cell>
          <cell r="AE110">
            <v>42766</v>
          </cell>
        </row>
        <row r="111">
          <cell r="C111" t="str">
            <v>DOPI-MUN-RM-IM-AD-241-2016</v>
          </cell>
          <cell r="G111" t="str">
            <v>OSCAR LUIS</v>
          </cell>
          <cell r="H111" t="str">
            <v>CHAVEZ</v>
          </cell>
          <cell r="I111" t="str">
            <v>GONZALEZ</v>
          </cell>
          <cell r="J111" t="str">
            <v>EURO TRADE, S.A. DE C.V.</v>
          </cell>
          <cell r="K111" t="str">
            <v>ETR070417NS8</v>
          </cell>
          <cell r="V111">
            <v>42671</v>
          </cell>
          <cell r="Y111">
            <v>1276850.24</v>
          </cell>
          <cell r="AA111" t="str">
            <v>Rehabiitación de instalación eléctrica e hidrosanitaria, estructura de protección de rayos ultravioleta y albañilería en el Centro de Desarrollo Infantil del Dif No. 1 Carmen Arce Zuno, ubicado en la colonia Constitución, municipio de Zapopan, Jalisco.</v>
          </cell>
          <cell r="AD111">
            <v>42674</v>
          </cell>
          <cell r="AE111">
            <v>42735</v>
          </cell>
        </row>
        <row r="112">
          <cell r="C112" t="str">
            <v>DOPI-MUN-RM-IM-AD-242-2016</v>
          </cell>
          <cell r="G112" t="str">
            <v>ORLANDO</v>
          </cell>
          <cell r="H112" t="str">
            <v>HIJAR</v>
          </cell>
          <cell r="I112" t="str">
            <v>CASILLAS</v>
          </cell>
          <cell r="J112" t="str">
            <v>CONSTRUCTORA Y URBANIZADORA CEDA, S.A. DE C.V.</v>
          </cell>
          <cell r="K112" t="str">
            <v>CUC121107NV2</v>
          </cell>
          <cell r="V112">
            <v>42671</v>
          </cell>
          <cell r="Y112">
            <v>1510250.48</v>
          </cell>
          <cell r="AA112" t="str">
            <v>Rehabilitación de carpintería, instalación eléctrica, hidráulica, sanitaria, estructuras de protección de rayos ultravioleta, pisos, juegos infantiles, herrería y albañilería en el Centro de Desarrollo Infantil del Dif No. 2 Pablo Casals, ubicado en la colonia Valle de Atemajac; Rehabilitación de instalación eléctrica, hidráulica y sanitaria, herrería, albañilería, pisos en el Centro de Desarrollo Infantil del Dif No. 9 Villa de Guadalupe, ubicado en la colonia Villa de Guadalupe, municipio de Zapopan, Jalisco.</v>
          </cell>
          <cell r="AD112">
            <v>42674</v>
          </cell>
          <cell r="AE112">
            <v>42735</v>
          </cell>
        </row>
        <row r="113">
          <cell r="C113" t="str">
            <v>DOPI-MUN-RM-IM-AD-243-2016</v>
          </cell>
          <cell r="G113" t="str">
            <v xml:space="preserve">EDUARDO </v>
          </cell>
          <cell r="H113" t="str">
            <v>PLASCENCIA</v>
          </cell>
          <cell r="I113" t="str">
            <v>MACIAS</v>
          </cell>
          <cell r="J113" t="str">
            <v>CONSTRUCTORA Y EDIFICADORA PLASMA, S.A. DE C.V.</v>
          </cell>
          <cell r="K113" t="str">
            <v>CEP080129EK6</v>
          </cell>
          <cell r="V113">
            <v>42671</v>
          </cell>
          <cell r="Y113">
            <v>1368256.1</v>
          </cell>
          <cell r="AA113" t="str">
            <v>Rehabilitación de carpintería, instalación eléctrica, hidráulica, sanitaria, estructuras de protección de rayos ultravioleta, pisos, construcción de aulas y albañilería en el Centro de Desarrollo Infantil del Dif No. 5 El Colli, ubicado en la colonia El Colli y en el Centro de Desarrollo Infantil del Dif No. 6 Tabachines, ubicado en la colonia Tabachines, municipio de Zapopan, Jalisco</v>
          </cell>
          <cell r="AD113">
            <v>42674</v>
          </cell>
          <cell r="AE113">
            <v>42735</v>
          </cell>
        </row>
        <row r="114">
          <cell r="C114" t="str">
            <v>DOPI-MUN-RM-IM-AD-244-2016</v>
          </cell>
          <cell r="G114" t="str">
            <v xml:space="preserve">EDUARDO </v>
          </cell>
          <cell r="H114" t="str">
            <v>MORA</v>
          </cell>
          <cell r="I114" t="str">
            <v>BLACKALLER</v>
          </cell>
          <cell r="J114" t="str">
            <v>GRUPO CONSTRUCTOR INNOBLACK, S.A. DE C.V.</v>
          </cell>
          <cell r="K114" t="str">
            <v>GCI070523CW4</v>
          </cell>
          <cell r="V114">
            <v>42671</v>
          </cell>
          <cell r="Y114">
            <v>1495678.36</v>
          </cell>
          <cell r="AA114" t="str">
            <v>Construcción de muro perimetral y herrería en el Centro de Atención Infantil Comunitario del Dif No. 2 Santa Ana Tepetitlán, ubicado en la colonia Santa Ana Tepetitlán y en el Centro de Atención Infantil Comunitario del Dif No 1 La Higuera, ubicado en la colonia La Higuera, municipio de Zapopan, Jalisco.</v>
          </cell>
          <cell r="AD114">
            <v>42674</v>
          </cell>
          <cell r="AE114">
            <v>42735</v>
          </cell>
        </row>
        <row r="115">
          <cell r="C115" t="str">
            <v>DOPI-MUN-RM-PAV-AD-245-2016</v>
          </cell>
          <cell r="G115" t="str">
            <v>JOEL</v>
          </cell>
          <cell r="H115" t="str">
            <v>ZULOAGA</v>
          </cell>
          <cell r="I115" t="str">
            <v>ACEVES</v>
          </cell>
          <cell r="J115" t="str">
            <v>TASUM SOLUCIONES EN CONSTRUCCION, S.A. DE C.V.</v>
          </cell>
          <cell r="K115" t="str">
            <v>TSC100210E48</v>
          </cell>
          <cell r="V115">
            <v>42692</v>
          </cell>
          <cell r="Y115">
            <v>1538300.1</v>
          </cell>
          <cell r="AA115" t="str">
            <v>Reencarpetamiento de la vialidad, desbastado de la carpeta existente, nivelación de pozos de visita, cajas de válvulas, rejillas pluviales, bocas de tormenta y elementos estructurales que sobresalen de la rasante de la vialidad, calafateos, señaletica horizontal de la calle Jacarandas de Pablo Neruda a Paseo Loma Larga, en la colonia Colinas de San Javier, municipio de Zapopan, Jalisco.</v>
          </cell>
          <cell r="AD115">
            <v>42695</v>
          </cell>
          <cell r="AE115">
            <v>42729</v>
          </cell>
        </row>
        <row r="116">
          <cell r="C116" t="str">
            <v>DOPI-MUN-RM-EM-AD-246-2016</v>
          </cell>
          <cell r="G116" t="str">
            <v>CLAUDIA PATRICIA</v>
          </cell>
          <cell r="H116" t="str">
            <v xml:space="preserve">SANCHEZ </v>
          </cell>
          <cell r="I116" t="str">
            <v>VALLES</v>
          </cell>
          <cell r="J116" t="str">
            <v>CONSTRUCTORA JMA, S.A. DE C.V.</v>
          </cell>
          <cell r="K116" t="str">
            <v>CJM121221Q73</v>
          </cell>
          <cell r="V116">
            <v>42674</v>
          </cell>
          <cell r="Y116">
            <v>275935.40000000002</v>
          </cell>
          <cell r="AA116" t="str">
            <v>Reconstrucción de habitación, baño y cubierta en vivienda ubicada en la calle López Mateos #61, en la colonia Santa Lucia, municipio de Zapopan, Jalisco</v>
          </cell>
          <cell r="AD116">
            <v>42675</v>
          </cell>
          <cell r="AE116">
            <v>42719</v>
          </cell>
        </row>
        <row r="117">
          <cell r="C117" t="str">
            <v>DOPI-MUN-RM-ELE-AD-248-2016</v>
          </cell>
          <cell r="M117" t="str">
            <v>PIA LORENA</v>
          </cell>
          <cell r="N117" t="str">
            <v>BUENROSTRO</v>
          </cell>
          <cell r="O117" t="str">
            <v>AHUED</v>
          </cell>
          <cell r="P117" t="str">
            <v>BIRMEK CONSTRUCCIONES, S.A. DE C.V.</v>
          </cell>
          <cell r="Q117" t="str">
            <v>BCO070129512</v>
          </cell>
          <cell r="V117">
            <v>42706</v>
          </cell>
          <cell r="Y117">
            <v>969037.98</v>
          </cell>
          <cell r="AA117" t="str">
            <v>Eléctrificación de pozo en el Ejido Copalita y pozo en la localidad de Cerca Morada, municipio de Zapopan, Jalisco</v>
          </cell>
          <cell r="AD117">
            <v>42709</v>
          </cell>
          <cell r="AE117">
            <v>42799</v>
          </cell>
        </row>
        <row r="118">
          <cell r="C118" t="str">
            <v>DOPI-MUN-R33-IS-AD-249-2016</v>
          </cell>
          <cell r="M118" t="str">
            <v>JOSE DE JESUS</v>
          </cell>
          <cell r="N118" t="str">
            <v>PALAFOX</v>
          </cell>
          <cell r="O118" t="str">
            <v>VILLEGAS</v>
          </cell>
          <cell r="P118" t="str">
            <v>MEGAENLACE CONSTRUCCIONES S.A. DE C.V.</v>
          </cell>
          <cell r="Q118" t="str">
            <v>MCO1510113H8</v>
          </cell>
          <cell r="V118">
            <v>42699</v>
          </cell>
          <cell r="Y118">
            <v>1405850.23</v>
          </cell>
          <cell r="AA118" t="str">
            <v>Construcción de línea de drenaje sanitario de 16" en calle Central, de calle del Bosque al Arroyo, en la colonia el Tizate, en el municipio de Zapopan, Jalisco.</v>
          </cell>
          <cell r="AD118">
            <v>42702</v>
          </cell>
          <cell r="AE118">
            <v>42762</v>
          </cell>
        </row>
        <row r="119">
          <cell r="C119" t="str">
            <v>DOPI-MUN-RM-PROY-AD-250-2016</v>
          </cell>
          <cell r="M119" t="str">
            <v>GABRIEL</v>
          </cell>
          <cell r="N119" t="str">
            <v xml:space="preserve">FRANCO </v>
          </cell>
          <cell r="O119" t="str">
            <v>ALATORRE</v>
          </cell>
          <cell r="P119" t="str">
            <v>CONSTRUCTORA DE OCCIDENTE MS, S.A. DE C.V.</v>
          </cell>
          <cell r="Q119" t="str">
            <v>COM141015F48</v>
          </cell>
          <cell r="V119">
            <v>42699</v>
          </cell>
          <cell r="Y119">
            <v>1365001</v>
          </cell>
          <cell r="AA119" t="str">
            <v>Estudios básicos topográficos para diferentes obras 2016, tercera etapa, del municipio de Zapopan, Jalisco.</v>
          </cell>
          <cell r="AD119">
            <v>42702</v>
          </cell>
          <cell r="AE119">
            <v>42855</v>
          </cell>
        </row>
        <row r="120">
          <cell r="C120" t="str">
            <v>DOPI-MUN-R33-IH-AD-251-2016</v>
          </cell>
          <cell r="M120" t="str">
            <v>JOSE SERGIO</v>
          </cell>
          <cell r="N120" t="str">
            <v>CARMONA</v>
          </cell>
          <cell r="O120" t="str">
            <v>RUVALCABA</v>
          </cell>
          <cell r="P120" t="str">
            <v>QUANTUM CONSTRUCTORES Y PROYECTOS, S.A. DE C.V.</v>
          </cell>
          <cell r="Q120" t="str">
            <v>QCP1307172S6</v>
          </cell>
          <cell r="V120">
            <v>42699</v>
          </cell>
          <cell r="Y120">
            <v>1475636.47</v>
          </cell>
          <cell r="AA120" t="str">
            <v>Construcción de línea de conducción de agua potable, en la localidad Los Patios, de pozo Los Patios A Conexión Existente, en el municipio de Zapopan, Jalisco.</v>
          </cell>
          <cell r="AD120">
            <v>42702</v>
          </cell>
          <cell r="AE120">
            <v>42852</v>
          </cell>
        </row>
        <row r="121">
          <cell r="C121" t="str">
            <v>DOPI-MUN-R33-IH-AD-252-2016</v>
          </cell>
          <cell r="M121" t="str">
            <v>JUAN PABLO</v>
          </cell>
          <cell r="N121" t="str">
            <v>VERA</v>
          </cell>
          <cell r="O121" t="str">
            <v>TAVARES</v>
          </cell>
          <cell r="P121" t="str">
            <v>LIZETTE CONSTRUCCIONES, S.A. DE C.V.</v>
          </cell>
          <cell r="Q121" t="str">
            <v>LCO080228DN2</v>
          </cell>
          <cell r="V121">
            <v>42699</v>
          </cell>
          <cell r="Y121">
            <v>1298415.18</v>
          </cell>
          <cell r="AA121" t="str">
            <v>Construcción de línea de agua potable y drenaje sanitario en la calle Panorama, tramo 1, municipio de Zapopan, Jalisco.</v>
          </cell>
          <cell r="AD121">
            <v>42702</v>
          </cell>
          <cell r="AE121">
            <v>42792</v>
          </cell>
        </row>
        <row r="122">
          <cell r="C122" t="str">
            <v>DOPI-MUN-R33-IH-AD-253-2016</v>
          </cell>
          <cell r="M122" t="str">
            <v xml:space="preserve">RICARDO </v>
          </cell>
          <cell r="N122" t="str">
            <v>RIZO</v>
          </cell>
          <cell r="O122" t="str">
            <v>SOSA</v>
          </cell>
          <cell r="P122" t="str">
            <v>NEOINGENIERIA, S.A. DE C.V.</v>
          </cell>
          <cell r="Q122" t="str">
            <v>NEO080722M53</v>
          </cell>
          <cell r="V122">
            <v>42699</v>
          </cell>
          <cell r="Y122">
            <v>1140318.97</v>
          </cell>
          <cell r="AA122" t="str">
            <v>Construcción de línea de agua potable en la calle 22 de Junio, Privada 12 de Octubre, Prolongación Vicente Guerrero, Privada Niño Artillero 1, Privada Niño Artillero 2; Rehabilitación de drenaje sanitario en la calle Niño Artillero, en la colonia Indígena de Mezquitán I Sección, municipio de Zapopan, Jalisco.</v>
          </cell>
          <cell r="AD122">
            <v>42702</v>
          </cell>
          <cell r="AE122">
            <v>42822</v>
          </cell>
        </row>
        <row r="123">
          <cell r="C123" t="str">
            <v>DOPI-MUN-R33-IH-AD-254-2016</v>
          </cell>
          <cell r="M123" t="str">
            <v>GABINO</v>
          </cell>
          <cell r="N123" t="str">
            <v>MONTUFAR</v>
          </cell>
          <cell r="O123" t="str">
            <v>NUÑEZ</v>
          </cell>
          <cell r="P123" t="str">
            <v>DI.COB, S.A. DE C.V.</v>
          </cell>
          <cell r="Q123" t="str">
            <v>DCO021029737</v>
          </cell>
          <cell r="V123">
            <v>42699</v>
          </cell>
          <cell r="Y123">
            <v>1010226.87</v>
          </cell>
          <cell r="AA123" t="str">
            <v>Construcción de línea agua potable en la calle Miguel Hidalgo, de calle Josefa Ortíz De Domínguez a Cerrada, en la colonia Indígena De Mezquitan I Sección, en el municipio de Zapopan, Jalisco.</v>
          </cell>
          <cell r="AD123">
            <v>42702</v>
          </cell>
          <cell r="AE123">
            <v>42822</v>
          </cell>
        </row>
        <row r="124">
          <cell r="C124" t="str">
            <v>DOPI-MUN-R33-PAV-AD-255-2016</v>
          </cell>
          <cell r="M124" t="str">
            <v>JOSE GILBERTO</v>
          </cell>
          <cell r="N124" t="str">
            <v>LUJAN</v>
          </cell>
          <cell r="O124" t="str">
            <v>BARAJAS</v>
          </cell>
          <cell r="P124" t="str">
            <v>GILCO INGENIERIA, S.A. DE C.V.</v>
          </cell>
          <cell r="Q124" t="str">
            <v>GIN1202272F9</v>
          </cell>
          <cell r="V124">
            <v>42699</v>
          </cell>
          <cell r="Y124">
            <v>1494784.36</v>
          </cell>
          <cell r="AA124" t="str">
            <v>Construcción de pavimento zamepado en la calle Laureles, de calle Paseo de los Manzanos a calle Palmeras, en la colonia Lomas de Tabachines  I sección, en el municipio de Zapopan, Jalisco. Frente 1</v>
          </cell>
          <cell r="AD124">
            <v>42702</v>
          </cell>
          <cell r="AE124">
            <v>42822</v>
          </cell>
        </row>
        <row r="125">
          <cell r="C125" t="str">
            <v>DOPI-MUN-R33-PAV-AD-256-2016</v>
          </cell>
          <cell r="M125" t="str">
            <v>AMALIA</v>
          </cell>
          <cell r="N125" t="str">
            <v>MORENO</v>
          </cell>
          <cell r="O125" t="str">
            <v>MALDONADO</v>
          </cell>
          <cell r="P125" t="str">
            <v>GRUPO CONSTRUCTOR LOS MUROS, S.A. DE C.V.</v>
          </cell>
          <cell r="Q125" t="str">
            <v>GCM020226F28</v>
          </cell>
          <cell r="V125">
            <v>42699</v>
          </cell>
          <cell r="Y125">
            <v>1208435.74</v>
          </cell>
          <cell r="AA125" t="str">
            <v>Pavimentación empedrado zampeado, línea de agua potable y drenaje sanitario,  en la calle Laurel, de calle Abelardo Rodríguez a calle Palmeras y calle Palmeras, de calle Laurel a Cerrada, en la colonia Emiliano Zapata, municipio de Zapopan Jalisco.</v>
          </cell>
          <cell r="AD125">
            <v>42702</v>
          </cell>
          <cell r="AE125">
            <v>42822</v>
          </cell>
        </row>
        <row r="126">
          <cell r="C126" t="str">
            <v>DOPI-MUN-R33-PAV-AD-257-2016</v>
          </cell>
          <cell r="M126" t="str">
            <v>JOAQUIN</v>
          </cell>
          <cell r="N126" t="str">
            <v>RAMIREZ</v>
          </cell>
          <cell r="O126" t="str">
            <v>GALLARDO</v>
          </cell>
          <cell r="P126" t="str">
            <v>A. &amp; G. URBANIZADORA, S.A. DE C.V.</v>
          </cell>
          <cell r="Q126" t="str">
            <v>AUR100826KX0</v>
          </cell>
          <cell r="V126">
            <v>42699</v>
          </cell>
          <cell r="Y126">
            <v>1524750.48</v>
          </cell>
          <cell r="AA126" t="str">
            <v>Construcción de pavimento zamepado en la calle Laureles, de calle Paseo de los Manzanos a calle Palmeras, en la colonia Lomas de Tabachines  I sección, en el municipio de Zapopan, Jalisco. Frente 2</v>
          </cell>
          <cell r="AD126">
            <v>42702</v>
          </cell>
          <cell r="AE126">
            <v>42822</v>
          </cell>
        </row>
        <row r="127">
          <cell r="C127" t="str">
            <v>DOPI-MUN-R33-ELE-AD-258-2016</v>
          </cell>
          <cell r="M127" t="str">
            <v>JOSE DE JESUS</v>
          </cell>
          <cell r="N127" t="str">
            <v>MARQUEZ</v>
          </cell>
          <cell r="O127" t="str">
            <v>AVILA</v>
          </cell>
          <cell r="P127" t="str">
            <v>FUTUROBRAS, S.A. DE C.V.</v>
          </cell>
          <cell r="Q127" t="str">
            <v>FUT1110275V9</v>
          </cell>
          <cell r="V127">
            <v>42699</v>
          </cell>
          <cell r="Y127">
            <v>1393254.78</v>
          </cell>
          <cell r="AA127" t="str">
            <v>Alumbrado público en la calle Santa María, de calle Santa María a calle Dolores Rodríguez, calle Dolores Rodríguez de calle Santa María a calle Jalisco, Privada Lagos De Moreno de calle Jalisco al Arroyo, calle Tequila de calle Jalisco al Arroyo, calle Agua Prieta de calle Jalisco al Arroyo, en la colonia Lomas Del Refugio, en el municipio de Zapopan, Jalisco.</v>
          </cell>
          <cell r="AD127">
            <v>42702</v>
          </cell>
          <cell r="AE127">
            <v>42852</v>
          </cell>
        </row>
        <row r="128">
          <cell r="C128" t="str">
            <v>DOPI-MUN-R33-ELE-AD-259-2016</v>
          </cell>
          <cell r="M128" t="str">
            <v>RODRIGO</v>
          </cell>
          <cell r="N128" t="str">
            <v>SOLIS</v>
          </cell>
          <cell r="O128" t="str">
            <v>RUIZ</v>
          </cell>
          <cell r="P128" t="str">
            <v>EQUIPO MANTENIMIENTO Y PLANEACION ELECTRICA, S.A. DE C.V.</v>
          </cell>
          <cell r="Q128" t="str">
            <v>EMP080630FL0</v>
          </cell>
          <cell r="V128">
            <v>42710</v>
          </cell>
          <cell r="Y128">
            <v>992115.87</v>
          </cell>
          <cell r="AA128" t="str">
            <v>Electrificación y alumbrado público en calle Latón, de calle Platino a calle Centenario, calle Limonita, de calle Níquel al Arroyo y calle Uranio, de calle Río Bajo al arroyo, en la colonia Arenales Tapatíos II, en el municipio de Zapopan, Jalisco.</v>
          </cell>
          <cell r="AD128">
            <v>42711</v>
          </cell>
          <cell r="AE128">
            <v>42794</v>
          </cell>
        </row>
        <row r="129">
          <cell r="C129" t="str">
            <v>DOPI-MUN-R33-ELE-AD-260-2016</v>
          </cell>
          <cell r="M129" t="str">
            <v>FAUSTO</v>
          </cell>
          <cell r="N129" t="str">
            <v>GARNICA</v>
          </cell>
          <cell r="O129" t="str">
            <v>PADILLA</v>
          </cell>
          <cell r="P129" t="str">
            <v>FAUSTO GARNICA PADILLA</v>
          </cell>
          <cell r="Q129" t="str">
            <v>GAPF5912193V9</v>
          </cell>
          <cell r="V129">
            <v>42710</v>
          </cell>
          <cell r="Y129">
            <v>1502368.1</v>
          </cell>
          <cell r="AA129" t="str">
            <v xml:space="preserve">Electrificación de pozo, en la localidad Los Patios, en el municipio de Zapopan, Jalisco. </v>
          </cell>
          <cell r="AD129">
            <v>42711</v>
          </cell>
          <cell r="AE129">
            <v>42861</v>
          </cell>
        </row>
        <row r="130">
          <cell r="C130" t="str">
            <v>DOPI-MUN-R33-IH-AD-261-2016</v>
          </cell>
          <cell r="M130" t="str">
            <v>MADELEINE</v>
          </cell>
          <cell r="N130" t="str">
            <v xml:space="preserve">GARZA </v>
          </cell>
          <cell r="O130" t="str">
            <v>ESTRADA</v>
          </cell>
          <cell r="P130" t="str">
            <v>SINERGIA URBANA, S.A. DE C.V.</v>
          </cell>
          <cell r="Q130" t="str">
            <v>SUR091203ERA</v>
          </cell>
          <cell r="V130">
            <v>42710</v>
          </cell>
          <cell r="Y130">
            <v>560225.48</v>
          </cell>
          <cell r="AA130" t="str">
            <v>Construcción de línea de drenaje sanitario en la calle Rosal, de calle Colorines a calle Jazmín, en la colonia Floresta Del Collí; Obra complementaria de la línea de agua potable, en la colonia Misión San Genaro (Nuevo México), en el municipio de Zapopan Jalisco.</v>
          </cell>
          <cell r="AD130">
            <v>42711</v>
          </cell>
          <cell r="AE130">
            <v>42771</v>
          </cell>
        </row>
        <row r="131">
          <cell r="C131" t="str">
            <v>DOPI-MUN-R33-IH-AD-262-2016</v>
          </cell>
          <cell r="M131" t="str">
            <v>JUAN</v>
          </cell>
          <cell r="N131" t="str">
            <v>PADILLA</v>
          </cell>
          <cell r="O131" t="str">
            <v>AILHAUD</v>
          </cell>
          <cell r="P131" t="str">
            <v>TRAMA CONSTRUCTORA Y MAQUINARIA, S.A. DE C.V.</v>
          </cell>
          <cell r="Q131" t="str">
            <v>TCM0111148H5</v>
          </cell>
          <cell r="V131">
            <v>42713</v>
          </cell>
          <cell r="Y131">
            <v>1337560.18</v>
          </cell>
          <cell r="AA131" t="str">
            <v>Construcción de línea de agua potable en la calle Tuna, de calle Carlos Herrera Jasso a calle Vista Hermosa, calle vista al poniente, de calle Carlos Herrera Jasso a calle Vista Hermosa, calle Vista Sur, de calle Vista Bonita a calle Vista Alta  y calle Vista Rivera, de calle Vista Bonita a calle Vista Alta, en la colonia Vista Hermosa, en el municipio de Zapopan Jalisco</v>
          </cell>
          <cell r="AD131">
            <v>42716</v>
          </cell>
          <cell r="AE131">
            <v>42806</v>
          </cell>
        </row>
        <row r="132">
          <cell r="C132" t="str">
            <v>DOPI-MUN-R33-PAV-AD-263-2016</v>
          </cell>
          <cell r="M132" t="str">
            <v>ROBERTO</v>
          </cell>
          <cell r="N132" t="str">
            <v>FLORES</v>
          </cell>
          <cell r="O132" t="str">
            <v>ARREOLA</v>
          </cell>
          <cell r="P132" t="str">
            <v>ESTUDIOS SISTEMAS Y CONSTRUCCIONES, S.A. DE C.V.</v>
          </cell>
          <cell r="Q132" t="str">
            <v>ESC930617KW9</v>
          </cell>
          <cell r="V132">
            <v>42713</v>
          </cell>
          <cell r="Y132">
            <v>1510487.16</v>
          </cell>
          <cell r="AA132" t="str">
            <v>Pavimentación con empedrado zampeado de la calle El Salto, de calle Fernando Montes De Oca a calle Valentín Gómez Farías; Construcción de Andador en la calle El Salto de la calle Valentín Gómez Farías al Arroyo, municipio de Zapopan, Jalisco</v>
          </cell>
          <cell r="AD132">
            <v>42716</v>
          </cell>
          <cell r="AE132">
            <v>42836</v>
          </cell>
        </row>
        <row r="133">
          <cell r="C133" t="str">
            <v>DOPI-MUN-R33 BAN-AD-264-2016</v>
          </cell>
          <cell r="M133" t="str">
            <v>BRUNO</v>
          </cell>
          <cell r="N133" t="str">
            <v>RUIZ</v>
          </cell>
          <cell r="O133" t="str">
            <v>CASTAÑEDA</v>
          </cell>
          <cell r="P133" t="str">
            <v>SERVICIOS DE INGENIERIA APLICADA, S.A. DE C.V.</v>
          </cell>
          <cell r="Q133" t="str">
            <v>SIA011224UN1</v>
          </cell>
          <cell r="V133">
            <v>42713</v>
          </cell>
          <cell r="Y133">
            <v>1495874.33</v>
          </cell>
          <cell r="AA133" t="str">
            <v>Construcción de puente peatonal en el cruce de la calle Albañiles y calle Mirador, en la colonia Cabañitas, municipio de Zapopan, Jalisco.</v>
          </cell>
          <cell r="AD133">
            <v>42716</v>
          </cell>
          <cell r="AE133">
            <v>42836</v>
          </cell>
        </row>
        <row r="134">
          <cell r="C134" t="str">
            <v>DOPI-MUN-R33-ELE-AD-265-2016</v>
          </cell>
          <cell r="M134" t="str">
            <v xml:space="preserve">HÉCTOR ALEJANDRO </v>
          </cell>
          <cell r="N134" t="str">
            <v xml:space="preserve">ORTEGA </v>
          </cell>
          <cell r="O134" t="str">
            <v>ROSALES</v>
          </cell>
          <cell r="P134" t="str">
            <v>IME SERVICIOS Y SUMINISTROS, S.A. DE C.V.</v>
          </cell>
          <cell r="Q134" t="str">
            <v>ISS920330811</v>
          </cell>
          <cell r="V134">
            <v>42713</v>
          </cell>
          <cell r="Y134">
            <v>1475654.13</v>
          </cell>
          <cell r="AA134" t="str">
            <v>Electrificación en la calle La Sidra, de calle Naranjo a 700 m,  en la localidad San Esteban,  en el municipio de Zapopan, Jalisco.</v>
          </cell>
          <cell r="AD134">
            <v>42716</v>
          </cell>
          <cell r="AE134">
            <v>42866</v>
          </cell>
        </row>
        <row r="135">
          <cell r="C135" t="str">
            <v>DOPI-MUN-R33-ELE-AD-266-2016</v>
          </cell>
          <cell r="M135" t="str">
            <v>JOSUE FERNANDO RAFAEL</v>
          </cell>
          <cell r="N135" t="str">
            <v>ESCANES</v>
          </cell>
          <cell r="O135" t="str">
            <v>TAMES</v>
          </cell>
          <cell r="P135" t="str">
            <v>JALCO ILUMINACION, S.A. DE C.V.</v>
          </cell>
          <cell r="Q135" t="str">
            <v>JIL9410139F9</v>
          </cell>
          <cell r="V135">
            <v>42713</v>
          </cell>
          <cell r="Y135">
            <v>1497365.47</v>
          </cell>
          <cell r="AA135" t="str">
            <v xml:space="preserve">Línea de electrificación de pozo, en la localidad Milpillas Mesa De San Juan, en el municipio de Zapopan, Jalisco. </v>
          </cell>
          <cell r="AD135">
            <v>42716</v>
          </cell>
          <cell r="AE135">
            <v>42866</v>
          </cell>
        </row>
        <row r="136">
          <cell r="C136" t="str">
            <v>DOPI-MUN-RM-IM-AD-267-2016</v>
          </cell>
          <cell r="M136" t="str">
            <v xml:space="preserve">RAFAEL </v>
          </cell>
          <cell r="N136" t="str">
            <v>ARREGUIN</v>
          </cell>
          <cell r="O136" t="str">
            <v>RENTERIA</v>
          </cell>
          <cell r="P136" t="str">
            <v xml:space="preserve">ARH DESARROLLOS INMOBILIARIOS, S.A. DE C.V. </v>
          </cell>
          <cell r="Q136" t="str">
            <v>ADI130522MB7</v>
          </cell>
          <cell r="V136">
            <v>42713</v>
          </cell>
          <cell r="Y136">
            <v>1390897.36</v>
          </cell>
          <cell r="AA136" t="str">
            <v>Rehabilitación de carpintería, instalación eléctrica, hidráulica, sanitaria, estructuras de protección de rayos ultravioleta, pisos, y albañilería en el Centro de Desarrollo Infantil del DIF No. 3 Irene Robledo García, ubicado en la colonia Fovissste, municipio de Zapopa</v>
          </cell>
          <cell r="AD136">
            <v>42716</v>
          </cell>
          <cell r="AE136">
            <v>42746</v>
          </cell>
        </row>
        <row r="137">
          <cell r="C137" t="str">
            <v>DOPI-MUN-RM-IM-AD-268-2016</v>
          </cell>
          <cell r="M137" t="str">
            <v xml:space="preserve">GUILLERMO </v>
          </cell>
          <cell r="N137" t="str">
            <v>RODRIGUEZ</v>
          </cell>
          <cell r="O137" t="str">
            <v>MEZA</v>
          </cell>
          <cell r="P137" t="str">
            <v>CORPORATIVO ALMIRA DE JALISCO, S.A. DE C.V.</v>
          </cell>
          <cell r="Q137" t="str">
            <v>CAJ1208151M8</v>
          </cell>
          <cell r="V137">
            <v>42713</v>
          </cell>
          <cell r="Y137">
            <v>1472678.88</v>
          </cell>
          <cell r="AA137" t="str">
            <v>Rehabilitación de carpintería, instalación eléctrica, hidráulica, sanitaria, estructuras de protección de rayos ultravioleta, pisos, juegos infantiles y albañilería en el Centro de Desarrollo Infantil del DIF No. 4 Melvin Jones, ubicado en la colonia Jardines del Sol, municipio de Zapopan, Jalisco</v>
          </cell>
          <cell r="AD137">
            <v>42716</v>
          </cell>
          <cell r="AE137">
            <v>42776</v>
          </cell>
        </row>
        <row r="138">
          <cell r="C138" t="str">
            <v>DOPI-MUN-RM-PROY-AD-269-2016</v>
          </cell>
          <cell r="M138" t="str">
            <v xml:space="preserve">RODOLFO </v>
          </cell>
          <cell r="N138" t="str">
            <v xml:space="preserve">VELAZQUEZ </v>
          </cell>
          <cell r="O138" t="str">
            <v>ORDOÑEZ</v>
          </cell>
          <cell r="P138" t="str">
            <v>VELAZQUEZ INGENIERIA ECOLOGICA, S.A. DE C.V.</v>
          </cell>
          <cell r="Q138" t="str">
            <v>VIE110125RL4</v>
          </cell>
          <cell r="V138">
            <v>42713</v>
          </cell>
          <cell r="Y138">
            <v>1095388.1499999999</v>
          </cell>
          <cell r="AA138" t="str">
            <v>Diagnóstico, diseño y proyectos hidráulicos 2016, segunda etapa, de diferentes redes de agua potable y alcantarillado, municipio de Zapopan Jalisco.</v>
          </cell>
          <cell r="AD138">
            <v>42716</v>
          </cell>
          <cell r="AE138">
            <v>42866</v>
          </cell>
        </row>
        <row r="139">
          <cell r="C139" t="str">
            <v>DOPI-MUN-RM-IM-AD-270-2016</v>
          </cell>
          <cell r="M139" t="str">
            <v xml:space="preserve">JUAN RAUL </v>
          </cell>
          <cell r="N139" t="str">
            <v>RODRIGUEZ</v>
          </cell>
          <cell r="O139" t="str">
            <v>GUERRERO</v>
          </cell>
          <cell r="P139" t="str">
            <v xml:space="preserve">SUMA TERRA OBRAS Y PROYECTOS, S.A. DE C.V. </v>
          </cell>
          <cell r="Q139" t="str">
            <v>STO0707062J9</v>
          </cell>
          <cell r="V139">
            <v>42713</v>
          </cell>
          <cell r="Y139">
            <v>1485215.47</v>
          </cell>
          <cell r="AA139" t="str">
            <v>Rehabilitación de baños públicos en el Centro Acuatico Zapopan, Unidad Deportiva Francisco Villa y en la Unidad Deportiva Base Aérea, Municipio de Zapopan, Jalisco.</v>
          </cell>
          <cell r="AD139">
            <v>42716</v>
          </cell>
          <cell r="AE139">
            <v>42806</v>
          </cell>
        </row>
        <row r="140">
          <cell r="C140" t="str">
            <v>DOPI-MUN-RM-IM-AD-272-2016</v>
          </cell>
          <cell r="M140" t="str">
            <v xml:space="preserve">ARTURO </v>
          </cell>
          <cell r="N140" t="str">
            <v>DISTANCIA</v>
          </cell>
          <cell r="O140" t="str">
            <v>SANCHEZ</v>
          </cell>
          <cell r="P140" t="str">
            <v>JAVAX CONSULTORES, S.A. DE C.V.</v>
          </cell>
          <cell r="Q140" t="str">
            <v>JCO160413SK4</v>
          </cell>
          <cell r="V140">
            <v>42713</v>
          </cell>
          <cell r="Y140">
            <v>1450236.87</v>
          </cell>
          <cell r="AA140" t="str">
            <v>Rehabilitación de baños públicos en la Unidad Deportiva El Vergel, Unidad Deportiva Santa Margarita "Las Margaritas" y en la Unidad Deportiva Santa Ana Tepetitlán, municipio de Zapopan, Jalisco</v>
          </cell>
          <cell r="AD140">
            <v>42716</v>
          </cell>
          <cell r="AE140">
            <v>42806</v>
          </cell>
        </row>
        <row r="141">
          <cell r="C141" t="str">
            <v>DOPI-MUN-RM-ELE-AD-274-2016</v>
          </cell>
          <cell r="M141" t="str">
            <v>PIA LORENA</v>
          </cell>
          <cell r="N141" t="str">
            <v>BUENROSTRO</v>
          </cell>
          <cell r="O141" t="str">
            <v>AHUED</v>
          </cell>
          <cell r="P141" t="str">
            <v>BIRMEK CONSTRUCCIONES, S.A. DE C.V.</v>
          </cell>
          <cell r="Q141" t="str">
            <v>BCO070129512</v>
          </cell>
          <cell r="V141">
            <v>42713</v>
          </cell>
          <cell r="Y141">
            <v>569255.19400000002</v>
          </cell>
          <cell r="AA141" t="str">
            <v>Suministro e instalación de sistema de pararrayos en el Centro Cultural Constitución, municipio de Zapopan, Jalisco</v>
          </cell>
          <cell r="AD141">
            <v>42716</v>
          </cell>
          <cell r="AE141">
            <v>42766</v>
          </cell>
        </row>
        <row r="142">
          <cell r="C142" t="str">
            <v>DOPI-MUN-RM-PAV-AD-275-2016</v>
          </cell>
          <cell r="M142" t="str">
            <v>JESUS DAVID</v>
          </cell>
          <cell r="N142" t="str">
            <v xml:space="preserve">GARZA </v>
          </cell>
          <cell r="O142" t="str">
            <v>GARCIA</v>
          </cell>
          <cell r="P142" t="str">
            <v>CONSTRUCCION GG, S.A. DE C.V.</v>
          </cell>
          <cell r="Q142" t="str">
            <v>CGG040518F81</v>
          </cell>
          <cell r="V142">
            <v>42713</v>
          </cell>
          <cell r="Y142">
            <v>876527.94</v>
          </cell>
          <cell r="AA142" t="str">
            <v>Pavimentación con concreto asfáltico en el retorno Periférico Sur hacía Av, Santa Esther y en el retorno Periférico Norte hacía Av. Juan Pablo II, municipio de Zapopan, Jalisco</v>
          </cell>
          <cell r="AD142">
            <v>42716</v>
          </cell>
          <cell r="AE142">
            <v>42766</v>
          </cell>
        </row>
        <row r="143">
          <cell r="C143" t="str">
            <v>DOPI-MUN-RM-IH-AD-277-2016</v>
          </cell>
          <cell r="M143" t="str">
            <v>JOSE ANTONIO</v>
          </cell>
          <cell r="N143" t="str">
            <v>ALVAREZ</v>
          </cell>
          <cell r="O143" t="str">
            <v>ZULOAGA</v>
          </cell>
          <cell r="P143" t="str">
            <v>GRUPO DESARROLLADOR ALZU, S.A. DE C.V.</v>
          </cell>
          <cell r="Q143" t="str">
            <v>GDA150928286</v>
          </cell>
          <cell r="V143">
            <v>42699</v>
          </cell>
          <cell r="Y143">
            <v>924106.84</v>
          </cell>
          <cell r="AA143" t="str">
            <v xml:space="preserve">Construcción de red de drenaje sanitario en la calle Malinalli, de la calle Cholollan a la calle Delli, colonia Mesa Colorada, municipio de Zapopan, Jalisco </v>
          </cell>
          <cell r="AD143">
            <v>42702</v>
          </cell>
          <cell r="AE143">
            <v>42750</v>
          </cell>
        </row>
        <row r="144">
          <cell r="C144" t="str">
            <v>DOPI-MUN-RM-IH-AD-278-2016</v>
          </cell>
          <cell r="M144" t="str">
            <v>JAVIER</v>
          </cell>
          <cell r="N144" t="str">
            <v xml:space="preserve">ÁVILA </v>
          </cell>
          <cell r="O144" t="str">
            <v>FLORES</v>
          </cell>
          <cell r="P144" t="str">
            <v>SAVHO CONSULTORÍA Y CONSTRUCCIÓN, S.A. DE C.V.</v>
          </cell>
          <cell r="Q144" t="str">
            <v>SCC060622HZ3</v>
          </cell>
          <cell r="V144">
            <v>42706</v>
          </cell>
          <cell r="Y144">
            <v>626297.09</v>
          </cell>
          <cell r="AA144" t="str">
            <v>Instalación de tomas domiciliarias en la colonia Marcelino García Barragán, municipio de Zapopan, Jalisco</v>
          </cell>
          <cell r="AD144">
            <v>42709</v>
          </cell>
          <cell r="AE144">
            <v>42754</v>
          </cell>
        </row>
        <row r="145">
          <cell r="C145" t="str">
            <v>DOPI-MUN-RM-SERV-AD-279-2016</v>
          </cell>
          <cell r="M145" t="str">
            <v>DANIEL</v>
          </cell>
          <cell r="N145" t="str">
            <v>SEGURA</v>
          </cell>
          <cell r="O145" t="str">
            <v>URBANO</v>
          </cell>
          <cell r="P145" t="str">
            <v>SEGURA URBANO  DANIEL</v>
          </cell>
          <cell r="Q145" t="str">
            <v>SEUD690208177</v>
          </cell>
          <cell r="V145">
            <v>42720</v>
          </cell>
          <cell r="Y145">
            <v>1214979.8</v>
          </cell>
          <cell r="AA145" t="str">
            <v>Servicios de consultoría para la elaboración de bases, coordinación técnica del proceso de licitación, contratación y supervisión técnica de la ejecución del complejo C4 Zapopan, municipio de Zapopan, Jalisco</v>
          </cell>
          <cell r="AD145">
            <v>42723</v>
          </cell>
          <cell r="AE145">
            <v>42886</v>
          </cell>
        </row>
        <row r="146">
          <cell r="C146" t="str">
            <v>DOPI-MUN-R33-IH-AD-280-2016</v>
          </cell>
          <cell r="M146" t="str">
            <v xml:space="preserve">RODOLFO </v>
          </cell>
          <cell r="N146" t="str">
            <v xml:space="preserve">VELAZQUEZ </v>
          </cell>
          <cell r="O146" t="str">
            <v>ORDOÑEZ</v>
          </cell>
          <cell r="P146" t="str">
            <v>VELAZQUEZ INGENIERIA ECOLOGICA, S.A. DE C.V.</v>
          </cell>
          <cell r="Q146" t="str">
            <v>VIE110125RL4</v>
          </cell>
          <cell r="V146">
            <v>42720</v>
          </cell>
          <cell r="Y146">
            <v>825634.87</v>
          </cell>
          <cell r="AA146" t="str">
            <v>Construcción de línea de agua potable en la colonia Prados de Santa Lucía, primera etapa, municipio de Zapopan, Jalisco.</v>
          </cell>
          <cell r="AD146">
            <v>42723</v>
          </cell>
          <cell r="AE146">
            <v>42873</v>
          </cell>
        </row>
        <row r="147">
          <cell r="C147" t="str">
            <v>DOPI-MUN-R33-PAV-AD-281-2016</v>
          </cell>
          <cell r="M147" t="str">
            <v>RAUL</v>
          </cell>
          <cell r="N147" t="str">
            <v xml:space="preserve">ORTEGA </v>
          </cell>
          <cell r="O147" t="str">
            <v>JARA</v>
          </cell>
          <cell r="P147" t="str">
            <v>CONSTRUCCIONES ANAYARI, S.A. DE C.V.</v>
          </cell>
          <cell r="Q147" t="str">
            <v>CAN030528ME0</v>
          </cell>
          <cell r="V147">
            <v>42720</v>
          </cell>
          <cell r="Y147">
            <v>1502354.73</v>
          </cell>
          <cell r="AA147" t="str">
            <v>Pavimentación con concreto hidráulico en la calle Manzanos, colonia Agua Fría, incluye: agua potable, drenaje sanitario, guarniciones, banquetas, accesibilidad y servicios complementarios, en el municipio de Zapopan, Jalisco, frente 1.</v>
          </cell>
          <cell r="AD147">
            <v>42723</v>
          </cell>
          <cell r="AE147">
            <v>42873</v>
          </cell>
        </row>
        <row r="148">
          <cell r="C148" t="str">
            <v>DOPI-MUN-R33-PAV-AD-282-2016</v>
          </cell>
          <cell r="M148" t="str">
            <v>CARLOS</v>
          </cell>
          <cell r="N148" t="str">
            <v>PEREZ</v>
          </cell>
          <cell r="O148" t="str">
            <v>CRUZ</v>
          </cell>
          <cell r="P148" t="str">
            <v>CONSTRUCTORA PECRU, S.A. DE C.V.</v>
          </cell>
          <cell r="Q148" t="str">
            <v>CPE070123PD4</v>
          </cell>
          <cell r="V148">
            <v>42720</v>
          </cell>
          <cell r="Y148">
            <v>1495225.08</v>
          </cell>
          <cell r="AA148" t="str">
            <v>Pavimentación con concreto hidráulico en la calle Manzanos, colonia Agua Fría, incluye: agua potable, drenaje sanitario, guarniciones, banquetas, accesibilidad y servicios complementarios, en el municipio de Zapopan, Jalisco, frente 2.</v>
          </cell>
          <cell r="AD148">
            <v>42723</v>
          </cell>
          <cell r="AE148">
            <v>42873</v>
          </cell>
        </row>
        <row r="149">
          <cell r="C149" t="str">
            <v>DOPI-MUN-R33-IH-AD-283-2016</v>
          </cell>
          <cell r="M149" t="str">
            <v>ABIMAEL</v>
          </cell>
          <cell r="N149" t="str">
            <v>MONTUFAR</v>
          </cell>
          <cell r="O149" t="str">
            <v>LOPEZ</v>
          </cell>
          <cell r="P149" t="str">
            <v>CONSTRUCTORA ACUIFERO, S.A. DE C.V.</v>
          </cell>
          <cell r="Q149" t="str">
            <v>CAC1308225S7</v>
          </cell>
          <cell r="V149">
            <v>42720</v>
          </cell>
          <cell r="Y149">
            <v>702114.36</v>
          </cell>
          <cell r="AA149" t="str">
            <v>Construcción de línea drenaje sanitario en la calle Miguel Hidalgo, de calle Josefa Ortíz de Domínguez a Cerrada, en la colonia Indígena de Mezquitan Sección I, en el municipio de Zapopan, Jalisco.</v>
          </cell>
          <cell r="AD149">
            <v>42723</v>
          </cell>
          <cell r="AE149">
            <v>42873</v>
          </cell>
        </row>
        <row r="150">
          <cell r="C150" t="str">
            <v>DOPI-MUN-FORTA-PROY-AD-005-2017</v>
          </cell>
          <cell r="M150" t="str">
            <v>Juan Francisco</v>
          </cell>
          <cell r="N150" t="str">
            <v>Toscano</v>
          </cell>
          <cell r="O150" t="str">
            <v>Lases</v>
          </cell>
          <cell r="P150" t="str">
            <v>Infografía Digital de Occidente, S. A. de C. V. PCZ-178/2016</v>
          </cell>
          <cell r="Q150" t="str">
            <v>IDO100427QG2</v>
          </cell>
          <cell r="V150">
            <v>42793</v>
          </cell>
          <cell r="Y150">
            <v>1496360.35</v>
          </cell>
          <cell r="AA150" t="str">
            <v>Elaboración de proyectos arquitectónicos en diferentes obras del programa 2017, municipio de Zapopan, Jalisco.</v>
          </cell>
          <cell r="AD150">
            <v>42795</v>
          </cell>
          <cell r="AE150">
            <v>42947</v>
          </cell>
        </row>
        <row r="151">
          <cell r="C151" t="str">
            <v>DOPI-MUN-RM-IH-AD-008-2017</v>
          </cell>
          <cell r="M151" t="str">
            <v>Edwin</v>
          </cell>
          <cell r="N151" t="str">
            <v>Aguiar</v>
          </cell>
          <cell r="O151" t="str">
            <v>Escatel</v>
          </cell>
          <cell r="P151" t="str">
            <v>Manjarrez Urbanizaciones, S.A. de C.V. PCZ-093/2016</v>
          </cell>
          <cell r="Q151" t="str">
            <v>MUR090325P33</v>
          </cell>
          <cell r="Y151">
            <v>1485041.89</v>
          </cell>
          <cell r="AA151" t="str">
            <v>Rehabilitación de líneas de agua potable y alcantarillado sanitario, en la Av. Ángel Leaño, tramo zona del Nixticuil, municipio de Zapopan, Jalisco.</v>
          </cell>
          <cell r="AD151">
            <v>42793</v>
          </cell>
          <cell r="AE151">
            <v>42858</v>
          </cell>
        </row>
        <row r="152">
          <cell r="C152" t="str">
            <v>DOPI-MUN-FORTA-SER-AD-009-2017</v>
          </cell>
          <cell r="M152" t="str">
            <v>Héctor Manuel</v>
          </cell>
          <cell r="N152" t="str">
            <v>Zepeda</v>
          </cell>
          <cell r="O152" t="str">
            <v>Angulo</v>
          </cell>
          <cell r="P152" t="str">
            <v>Colegio de Ingenieros Civiles del Estado de Jalisco, A. C. PCZ-480/2017</v>
          </cell>
          <cell r="Q152" t="str">
            <v>CIC680115AK4</v>
          </cell>
          <cell r="Y152">
            <v>985746.57</v>
          </cell>
          <cell r="AA152" t="str">
            <v>Elaboración de peritajes estructurales en infraestructura urbana, municipio de Zapopan, Jalisco.</v>
          </cell>
          <cell r="AD152">
            <v>42814</v>
          </cell>
          <cell r="AE152">
            <v>42977</v>
          </cell>
        </row>
        <row r="153">
          <cell r="C153" t="str">
            <v>DOPI-MUN-FORTA-PROY-AD-010-2017</v>
          </cell>
          <cell r="M153" t="str">
            <v>Pia Lorena</v>
          </cell>
          <cell r="N153" t="str">
            <v>Buenrostro</v>
          </cell>
          <cell r="O153" t="str">
            <v>Ahued</v>
          </cell>
          <cell r="P153" t="str">
            <v>Birmek Construcciones, S.A. de C.V.</v>
          </cell>
          <cell r="Q153" t="str">
            <v>BCO070129512</v>
          </cell>
          <cell r="Y153">
            <v>1002698.13</v>
          </cell>
          <cell r="AA153" t="str">
            <v>Diagnóstico, diseño y proyectos de infraestructura eléctrica 2017, primera etapa, municipio de Zapopan, Jalisco.</v>
          </cell>
          <cell r="AD153">
            <v>42814</v>
          </cell>
          <cell r="AE153">
            <v>42977</v>
          </cell>
        </row>
        <row r="154">
          <cell r="C154" t="str">
            <v>DOPI-MUN-FORTA-PROY-AD-011-2017</v>
          </cell>
          <cell r="M154" t="str">
            <v xml:space="preserve">Rene </v>
          </cell>
          <cell r="N154" t="str">
            <v>Caro</v>
          </cell>
          <cell r="O154" t="str">
            <v>Gómez</v>
          </cell>
          <cell r="P154" t="str">
            <v>Rene Caro Gómez</v>
          </cell>
          <cell r="Q154" t="str">
            <v>CAGR720818NC1</v>
          </cell>
          <cell r="V154">
            <v>42793</v>
          </cell>
          <cell r="Y154">
            <v>472500.2</v>
          </cell>
          <cell r="AA154" t="str">
            <v>Proyecto ejecutivo para la construcción de ciclovia y rehabilitación de banquetas en la Glorieta Chapalita y la Av. Guadalupe de la Glorieta Chapalita a la Av. Niño Obrero, municipio de Zapopan, Jalisco.</v>
          </cell>
          <cell r="AD154">
            <v>42795</v>
          </cell>
          <cell r="AE154">
            <v>42886</v>
          </cell>
        </row>
        <row r="155">
          <cell r="C155" t="str">
            <v>DOPI-MUN-FORTA-ID-AD-012-2017</v>
          </cell>
          <cell r="M155" t="str">
            <v>DAVID</v>
          </cell>
          <cell r="N155" t="str">
            <v>LEDESMA</v>
          </cell>
          <cell r="O155" t="str">
            <v>MARTIN DEL CAMPO</v>
          </cell>
          <cell r="P155" t="str">
            <v>David Ledesma Martin Del Campo</v>
          </cell>
          <cell r="Q155" t="str">
            <v>LEMD880217U53</v>
          </cell>
          <cell r="V155">
            <v>42811</v>
          </cell>
          <cell r="Y155">
            <v>1045280.32</v>
          </cell>
          <cell r="AA155" t="str">
            <v>Construcción de Skatepark en la Unidad Deportiva Santa Margarita, municipio de Zapopan, Jalisco.</v>
          </cell>
          <cell r="AD155">
            <v>42814</v>
          </cell>
          <cell r="AE155">
            <v>42886</v>
          </cell>
        </row>
        <row r="156">
          <cell r="C156" t="str">
            <v>DOPI-MUN-FORTA-ELE-AD-013-2017</v>
          </cell>
          <cell r="M156" t="str">
            <v>FAUSTO</v>
          </cell>
          <cell r="N156" t="str">
            <v>GARNICA</v>
          </cell>
          <cell r="O156" t="str">
            <v>PADILLA</v>
          </cell>
          <cell r="P156" t="str">
            <v>Fausto Garnica Padilla</v>
          </cell>
          <cell r="Q156" t="str">
            <v>GAPF5912193V9</v>
          </cell>
          <cell r="V156">
            <v>42797</v>
          </cell>
          <cell r="Y156">
            <v>603813.25</v>
          </cell>
          <cell r="AA156" t="str">
            <v>Instalación de la media tensión, equipos de medición y alimentación a tableros en la Unidad Deportiva El Polvorín, municipio de Zapopan, Jalisco.</v>
          </cell>
          <cell r="AD156">
            <v>42800</v>
          </cell>
          <cell r="AE156">
            <v>42886</v>
          </cell>
        </row>
        <row r="157">
          <cell r="C157" t="str">
            <v>DOPI-MUN-FORTA-ELE-AD-014-2017</v>
          </cell>
          <cell r="M157" t="str">
            <v>HECTOR MANUEL</v>
          </cell>
          <cell r="N157" t="str">
            <v>ALVAREZ</v>
          </cell>
          <cell r="O157" t="str">
            <v>ORGANISTA</v>
          </cell>
          <cell r="P157" t="str">
            <v>Acaspoluca Consultoría y Construcción, S. A. de C. V.</v>
          </cell>
          <cell r="Q157" t="str">
            <v>ACC0202071Z6</v>
          </cell>
          <cell r="V157">
            <v>42811</v>
          </cell>
          <cell r="Y157">
            <v>1377688.14</v>
          </cell>
          <cell r="AA157" t="str">
            <v>Alumbrado en andadores, canchas y áreas comunes en la Unidad Deportiva El Polvorín, municipio de Zapopan, Jalisco.</v>
          </cell>
          <cell r="AD157">
            <v>42814</v>
          </cell>
          <cell r="AE157">
            <v>42886</v>
          </cell>
        </row>
        <row r="158">
          <cell r="C158" t="str">
            <v>DOPI-MUN-FORTA-ID-AD-015-2017</v>
          </cell>
          <cell r="M158" t="str">
            <v>MARIA EUGENIA</v>
          </cell>
          <cell r="N158" t="str">
            <v xml:space="preserve">CORTES </v>
          </cell>
          <cell r="O158" t="str">
            <v>GONZALEZ</v>
          </cell>
          <cell r="P158" t="str">
            <v>Aspavi, S. A. de C. V.</v>
          </cell>
          <cell r="Q158" t="str">
            <v>ASP100215RH9</v>
          </cell>
          <cell r="V158">
            <v>42811</v>
          </cell>
          <cell r="Y158">
            <v>1502150.14</v>
          </cell>
          <cell r="AA158" t="str">
            <v>Construcción cancha de voleibol de playa, rehabilitación de andador, instalaciones para la operación, mobiliario urbano y obra  complementaria en la Unidad Deportiva El Polvorín, municipio de Zapopan, Jalisco.</v>
          </cell>
          <cell r="AD158">
            <v>42814</v>
          </cell>
          <cell r="AE158">
            <v>42886</v>
          </cell>
        </row>
        <row r="159">
          <cell r="C159" t="str">
            <v>DOPI-MUN-FORTA-BAN-AD-016-2017</v>
          </cell>
          <cell r="M159" t="str">
            <v>REGINO</v>
          </cell>
          <cell r="N159" t="str">
            <v>RUIZ DEL CAMPO</v>
          </cell>
          <cell r="O159" t="str">
            <v>MEDINA</v>
          </cell>
          <cell r="P159" t="str">
            <v>Regino Ruiz del Campo Medina</v>
          </cell>
          <cell r="Q159" t="str">
            <v>RUMR771116UA8</v>
          </cell>
          <cell r="V159">
            <v>42811</v>
          </cell>
          <cell r="Y159">
            <v>1415754.87</v>
          </cell>
          <cell r="AA159" t="str">
            <v>Construcción y rehabilitación de guarniciones, banquetas, obra complementaria en camellones en diferentes zonas del municipio de Zapopan, Jalisco, frente 1.</v>
          </cell>
          <cell r="AD159">
            <v>42814</v>
          </cell>
          <cell r="AE159">
            <v>42916</v>
          </cell>
        </row>
        <row r="160">
          <cell r="C160" t="str">
            <v>DOPI-MUN-FORTA-BAN-AD-017-2017</v>
          </cell>
          <cell r="M160" t="str">
            <v>SERGIO CESAR</v>
          </cell>
          <cell r="N160" t="str">
            <v>DIAZ</v>
          </cell>
          <cell r="O160" t="str">
            <v>QUIROZ</v>
          </cell>
          <cell r="P160" t="str">
            <v>Transcreto, S. A. de C. V.</v>
          </cell>
          <cell r="Q160" t="str">
            <v>TRA750528286</v>
          </cell>
          <cell r="V160">
            <v>42811</v>
          </cell>
          <cell r="Y160">
            <v>1358967.17</v>
          </cell>
          <cell r="AA160" t="str">
            <v xml:space="preserve">Peatonalización, construcción de banquetas, sustitución de guarniciones, bolardos, primera etapa en la colonia Constitución, municipio de Zapopan, Jalisco.  </v>
          </cell>
          <cell r="AD160">
            <v>42814</v>
          </cell>
          <cell r="AE160">
            <v>42855</v>
          </cell>
        </row>
        <row r="161">
          <cell r="C161" t="str">
            <v>DOPI-MUN-FORTA-BAN-AD-018-2017</v>
          </cell>
          <cell r="M161" t="str">
            <v>GUSTAVO</v>
          </cell>
          <cell r="N161" t="str">
            <v>DURAN</v>
          </cell>
          <cell r="O161" t="str">
            <v>JIMENEZ</v>
          </cell>
          <cell r="P161" t="str">
            <v>Duran Jiménez Arquitectos, S. A. de C. V.</v>
          </cell>
          <cell r="Q161" t="str">
            <v>DJA9405184G7</v>
          </cell>
          <cell r="V161">
            <v>42811</v>
          </cell>
          <cell r="Y161">
            <v>1475115.16</v>
          </cell>
          <cell r="AA161" t="str">
            <v>Peatonalización (banquetas y obras de accesibilidad) del área de influencia de las escuelas: Primaria Vicente Guerrero clave 14DPR3223C, Primaria Urbana Juan Escutia 1130 clave 14EPR0783R, Primaria José María Morelos y Pavón clave 14DPR3388L, y Primaria Gustavo Díaz Ordaz clave 14EPR1473U, municipio de Zapopan, Jalisco.</v>
          </cell>
          <cell r="AD161">
            <v>42814</v>
          </cell>
          <cell r="AE161">
            <v>42916</v>
          </cell>
        </row>
        <row r="162">
          <cell r="C162" t="str">
            <v>DOPI-MUN-FORTA-DES-AD-019-2017</v>
          </cell>
          <cell r="M162" t="str">
            <v>CLARISSA GABRIELA</v>
          </cell>
          <cell r="N162" t="str">
            <v>VALDEZ</v>
          </cell>
          <cell r="O162" t="str">
            <v>MANJARREZ</v>
          </cell>
          <cell r="P162" t="str">
            <v>Tekton Grupo Empresarial, S. A. de C. V.</v>
          </cell>
          <cell r="Q162" t="str">
            <v>TGE101215JI6</v>
          </cell>
          <cell r="V162">
            <v>42804</v>
          </cell>
          <cell r="Y162">
            <v>1515350.23</v>
          </cell>
          <cell r="AA162" t="str">
            <v>Desazolve, limpieza, rectificación y obras de protección de cauce y canal del Arroyo La Culebra, en Villas Universidad, Royal Country y Puerta Plata, municipio de Zapopan, Jalisco.</v>
          </cell>
          <cell r="AD162">
            <v>42807</v>
          </cell>
          <cell r="AE162">
            <v>42870</v>
          </cell>
        </row>
        <row r="163">
          <cell r="C163" t="str">
            <v>DOPI-MUN-FORTA-DES-AD-020-2017</v>
          </cell>
          <cell r="M163" t="str">
            <v>JOSE ANTONIO</v>
          </cell>
          <cell r="N163" t="str">
            <v>ALVAREZ</v>
          </cell>
          <cell r="O163" t="str">
            <v>GARCIA</v>
          </cell>
          <cell r="P163" t="str">
            <v>Urcoma 1970, S. A. de C. V.</v>
          </cell>
          <cell r="Q163" t="str">
            <v>UMN160125869</v>
          </cell>
          <cell r="V163">
            <v>42804</v>
          </cell>
          <cell r="Y163">
            <v>1405369.66</v>
          </cell>
          <cell r="AA163" t="str">
            <v>Desazolve, limpieza, rectificación y obras de protección de cauce y canal del Arroyos El Húmedo y El caracol y el canal Las Agujas Poniente, municipio de Zapopan, Jalisco.</v>
          </cell>
          <cell r="AD163">
            <v>42807</v>
          </cell>
          <cell r="AE163">
            <v>42870</v>
          </cell>
        </row>
        <row r="164">
          <cell r="C164" t="str">
            <v>DOPI-MUN-FORTA-DES-AD-021-2017</v>
          </cell>
          <cell r="M164" t="str">
            <v>JOSE ANTONIO</v>
          </cell>
          <cell r="N164" t="str">
            <v>ALVAREZ</v>
          </cell>
          <cell r="O164" t="str">
            <v>ZULOAGA</v>
          </cell>
          <cell r="P164" t="str">
            <v>Grupo Desarrollador Alzu, S. A. de C. V.</v>
          </cell>
          <cell r="Q164" t="str">
            <v>GDA150928286</v>
          </cell>
          <cell r="V164">
            <v>42804</v>
          </cell>
          <cell r="Y164">
            <v>1452877.98</v>
          </cell>
          <cell r="AA164" t="str">
            <v>Desazolve, limpieza, rectificación, obras de protección y adecuaciones pluviales en el canal Las Agujas Oriente, municipio de Zapopan, Jalisco.</v>
          </cell>
          <cell r="AD164">
            <v>42807</v>
          </cell>
          <cell r="AE164">
            <v>42870</v>
          </cell>
        </row>
        <row r="165">
          <cell r="C165" t="str">
            <v>DOPI-MUN-FORTA-DES-AD-022-2017</v>
          </cell>
          <cell r="M165" t="str">
            <v xml:space="preserve">GUILLERMO ALBERTO </v>
          </cell>
          <cell r="N165" t="str">
            <v>RODRIGUEZ</v>
          </cell>
          <cell r="O165" t="str">
            <v>ALLENDE</v>
          </cell>
          <cell r="P165" t="str">
            <v>Grupo Constructor MR de Jalisco, S. A. de C. V.</v>
          </cell>
          <cell r="Q165" t="str">
            <v>GCM121112J86</v>
          </cell>
          <cell r="V165">
            <v>42804</v>
          </cell>
          <cell r="Y165">
            <v>1383674.16</v>
          </cell>
          <cell r="AA165" t="str">
            <v>Desazolve, limpieza, rectificación y obras de protección en los Arroyos Seco y El Garabato, municipio de Zapopan, Jalisco.</v>
          </cell>
          <cell r="AD165">
            <v>42807</v>
          </cell>
          <cell r="AE165">
            <v>42870</v>
          </cell>
        </row>
        <row r="166">
          <cell r="C166" t="str">
            <v>DOPI-MUN-FORTA-DES-AD-023-2017</v>
          </cell>
          <cell r="M166" t="str">
            <v>OSCAR LUIS</v>
          </cell>
          <cell r="N166" t="str">
            <v>CHAVEZ</v>
          </cell>
          <cell r="O166" t="str">
            <v>GONZALEZ</v>
          </cell>
          <cell r="P166" t="str">
            <v>Euro Trade, S. A. de C. V.</v>
          </cell>
          <cell r="Q166" t="str">
            <v>ETR070417NS8</v>
          </cell>
          <cell r="V166">
            <v>42804</v>
          </cell>
          <cell r="Y166">
            <v>1475823.51</v>
          </cell>
          <cell r="AA166" t="str">
            <v>Desazolve, limpieza, rectificación, obras de protección y colocación de Gaviones en el Arroyo La Campana frente 1, municipio de Zapopan, Jalisco.</v>
          </cell>
          <cell r="AD166">
            <v>42807</v>
          </cell>
          <cell r="AE166">
            <v>42870</v>
          </cell>
        </row>
        <row r="167">
          <cell r="C167" t="str">
            <v>DOPI-MUN-FORTA-OC-024-AD-2017</v>
          </cell>
          <cell r="M167" t="str">
            <v>ELBA</v>
          </cell>
          <cell r="N167" t="str">
            <v xml:space="preserve">GONZÁLEZ </v>
          </cell>
          <cell r="O167" t="str">
            <v>AGUIRRE</v>
          </cell>
          <cell r="P167" t="str">
            <v>GA Urbanización, S. A. de C. V.</v>
          </cell>
          <cell r="Q167" t="str">
            <v>GUR120612P22</v>
          </cell>
          <cell r="V167">
            <v>42804</v>
          </cell>
          <cell r="Y167">
            <v>1350254.48</v>
          </cell>
          <cell r="AA167" t="str">
            <v>Obras emergentes de reparación y reconstrucción de infraestructura urbana pluvial y sanitaria, en el municipio de Zapopan, frente 1.</v>
          </cell>
          <cell r="AD167">
            <v>42807</v>
          </cell>
          <cell r="AE167">
            <v>42931</v>
          </cell>
        </row>
        <row r="168">
          <cell r="C168" t="str">
            <v>DOPI-MUN-FORTA-OC-AD-025-2017</v>
          </cell>
          <cell r="M168" t="str">
            <v>GUSTAVO ALEJANDRO</v>
          </cell>
          <cell r="N168" t="str">
            <v>LEDEZMA</v>
          </cell>
          <cell r="O168" t="str">
            <v xml:space="preserve"> CERVANTES</v>
          </cell>
          <cell r="P168" t="str">
            <v>Edificaciones y Proyectos Roca, S. A. de C. V.</v>
          </cell>
          <cell r="Q168" t="str">
            <v>EPR131016I71</v>
          </cell>
          <cell r="V168">
            <v>42804</v>
          </cell>
          <cell r="Y168">
            <v>1510624.8</v>
          </cell>
          <cell r="AA168" t="str">
            <v>Construcción de cárcamos para el manejo de filtraciones de lixiviados en el relleno sanitario Picachos, municipio de Zapopan, Jalisco.</v>
          </cell>
          <cell r="AD168">
            <v>42807</v>
          </cell>
          <cell r="AE168">
            <v>42870</v>
          </cell>
        </row>
        <row r="169">
          <cell r="C169" t="str">
            <v>DOPI-MUN-FORTA-OC-AD-026-2017</v>
          </cell>
          <cell r="M169" t="str">
            <v>MARÍA RAQUEL</v>
          </cell>
          <cell r="N169" t="str">
            <v>ROMO</v>
          </cell>
          <cell r="O169" t="str">
            <v>LÓPEZ</v>
          </cell>
          <cell r="P169" t="str">
            <v>B&amp;G Construcción y Rehabilitación de Redes, S. A. de C. V.</v>
          </cell>
          <cell r="Q169" t="str">
            <v>BCR080530NPA</v>
          </cell>
          <cell r="V169">
            <v>42811</v>
          </cell>
          <cell r="Y169">
            <v>917334.92</v>
          </cell>
          <cell r="AA169" t="str">
            <v>Trabajos de rehabilitación (manga con curado ultravioleta) de colector sanitario López Mateos - Pinar de la Calma, para evitar socavaciones, en el tramo de Av. Galileo Galilei a La Glorieta Las Fuentes, municipio de Zapopan, Jalisco.</v>
          </cell>
          <cell r="AD169">
            <v>42814</v>
          </cell>
          <cell r="AE169">
            <v>42885</v>
          </cell>
        </row>
        <row r="170">
          <cell r="C170" t="str">
            <v>DOPI-MUN-FORTA-IE-AD-027-2017</v>
          </cell>
          <cell r="M170" t="str">
            <v xml:space="preserve">ALEJANDRO LUIS </v>
          </cell>
          <cell r="N170" t="str">
            <v xml:space="preserve">VAIDOVITS </v>
          </cell>
          <cell r="O170" t="str">
            <v xml:space="preserve"> SCHNURER</v>
          </cell>
          <cell r="P170" t="str">
            <v>Promaco de México, S. A. de C. V.</v>
          </cell>
          <cell r="Q170" t="str">
            <v>PME930817EV7</v>
          </cell>
          <cell r="V170">
            <v>42811</v>
          </cell>
          <cell r="Y170">
            <v>1357288.84</v>
          </cell>
          <cell r="AA170" t="str">
            <v>Suministro y colocación de estructuras de protección de rayos ultravioleta en los planteles educativos: Primaria Diego Rivera (14DPR3789G) y Escuela Alfredo V. Bonfil (14EPR1115G), municipio de Zapopan, Jalisco.</v>
          </cell>
          <cell r="AD170">
            <v>42814</v>
          </cell>
          <cell r="AE170">
            <v>42901</v>
          </cell>
        </row>
        <row r="171">
          <cell r="C171" t="str">
            <v>DOPI-MUN-FORTA-IE-AD-028-2017</v>
          </cell>
          <cell r="M171" t="str">
            <v>ARTURO RAFAEL</v>
          </cell>
          <cell r="N171" t="str">
            <v>SALAZAR</v>
          </cell>
          <cell r="O171" t="str">
            <v>MARTIN DEL CAMPO</v>
          </cell>
          <cell r="P171" t="str">
            <v>Kalmani Constructora, S. A. de C. V.</v>
          </cell>
          <cell r="Q171" t="str">
            <v>KCO030922UM6</v>
          </cell>
          <cell r="V171">
            <v>42811</v>
          </cell>
          <cell r="Y171">
            <v>1374368.14</v>
          </cell>
          <cell r="AD171">
            <v>42814</v>
          </cell>
          <cell r="AE171">
            <v>42901</v>
          </cell>
        </row>
        <row r="172">
          <cell r="C172" t="str">
            <v>DOPI-MUN-FORTA-CAL-AD-029-2017</v>
          </cell>
          <cell r="M172" t="str">
            <v>RICARDO</v>
          </cell>
          <cell r="N172" t="str">
            <v>MEZA</v>
          </cell>
          <cell r="O172" t="str">
            <v>PONCE</v>
          </cell>
          <cell r="P172" t="str">
            <v>CME Calidad, Modelo de Eficacia, S. A. de C. V.</v>
          </cell>
          <cell r="Q172" t="str">
            <v>CCM1405243C4</v>
          </cell>
          <cell r="V172">
            <v>42797</v>
          </cell>
          <cell r="Y172">
            <v>975338.12</v>
          </cell>
          <cell r="AA172" t="str">
            <v>Control de calidad de diferentes obras 2017 del municipio de Zapopan, Jalisco, etapa 1.</v>
          </cell>
          <cell r="AD172">
            <v>42800</v>
          </cell>
          <cell r="AE172">
            <v>42978</v>
          </cell>
        </row>
        <row r="173">
          <cell r="C173" t="str">
            <v>DOPI-MUN-RM-PAV-AD-030-2017</v>
          </cell>
          <cell r="M173" t="str">
            <v>JOSE DE JESUS</v>
          </cell>
          <cell r="N173" t="str">
            <v xml:space="preserve">CASTILLO </v>
          </cell>
          <cell r="O173" t="str">
            <v>CARRILLO</v>
          </cell>
          <cell r="P173" t="str">
            <v>Mapa Obras y Pavimentos, S.A. de C.V.</v>
          </cell>
          <cell r="Q173" t="str">
            <v>MOP080610I53</v>
          </cell>
          <cell r="V173">
            <v>42811</v>
          </cell>
          <cell r="Y173">
            <v>1115083.45</v>
          </cell>
          <cell r="AA173" t="str">
            <v>Reencarpetamiento de la vialidad, desbastado de la carpeta existente, nivelación de pozos de visita, cajas de válvulas, rejillas pluviales, bocas de tormenta y elementos estructurales que sobresalen de la rasante de la vialidad, calafateos, señalética horizontal, en el fraccionamiento Villas Torremolinos, municipio de Zapopan, Jalisco.</v>
          </cell>
          <cell r="AD173">
            <v>42814</v>
          </cell>
          <cell r="AE173">
            <v>42855</v>
          </cell>
        </row>
        <row r="174">
          <cell r="C174" t="str">
            <v>DOPI-MUN-RM-PAV-AD-031-2017</v>
          </cell>
          <cell r="M174" t="str">
            <v>DAVID EDUARDO</v>
          </cell>
          <cell r="N174" t="str">
            <v>LARA</v>
          </cell>
          <cell r="O174" t="str">
            <v>OCHOA</v>
          </cell>
          <cell r="P174" t="str">
            <v>Construcciones Icu, S. A. de C. V</v>
          </cell>
          <cell r="Q174" t="str">
            <v>CIC080626ER2</v>
          </cell>
          <cell r="V174">
            <v>42811</v>
          </cell>
          <cell r="Y174">
            <v>1498750.24</v>
          </cell>
          <cell r="AA174" t="str">
            <v>Pavimentación, sello y bacheo en las calles Río Tuito, Río Lerma y Río Tequila en el tramo comprendido de Av. Tabachines a Av. Sierra de Tapalpa; y  calle Encinos de Av. Patria a calle Río Cihutatlán, en la colonia Loma Bonita Ejidal, municipio de Zapopan, Jalisco.</v>
          </cell>
          <cell r="AD174">
            <v>42814</v>
          </cell>
          <cell r="AE174">
            <v>42855</v>
          </cell>
        </row>
        <row r="175">
          <cell r="C175" t="str">
            <v>DOPI-MUN-RM-PAV-AD-032-2017</v>
          </cell>
          <cell r="M175" t="str">
            <v>JOSE DE JESUS</v>
          </cell>
          <cell r="N175" t="str">
            <v>PALAFOX</v>
          </cell>
          <cell r="O175" t="str">
            <v>VILLEGAS</v>
          </cell>
          <cell r="P175" t="str">
            <v>Megaenlace Construcciones, S. A. de C. V.</v>
          </cell>
          <cell r="Q175" t="str">
            <v>MCO1510113H8</v>
          </cell>
          <cell r="V175">
            <v>42811</v>
          </cell>
          <cell r="Y175">
            <v>1015789.16</v>
          </cell>
          <cell r="AA175" t="str">
            <v>Pavimentación con adoquín y empedrado tradicional con material producto de recuperación en diferentes vialidades en el Municipio de Zapopan, Jalisco.</v>
          </cell>
          <cell r="AD175">
            <v>42814</v>
          </cell>
          <cell r="AE175">
            <v>42901</v>
          </cell>
        </row>
        <row r="176">
          <cell r="C176" t="str">
            <v>DOPI-MUN-RM-PAV-AD-033-2017</v>
          </cell>
          <cell r="M176" t="str">
            <v>ARTURO</v>
          </cell>
          <cell r="N176" t="str">
            <v>SARMIENTO</v>
          </cell>
          <cell r="O176" t="str">
            <v>SANCHEZ</v>
          </cell>
          <cell r="P176" t="str">
            <v>Construbravo, S. A. de C. V.</v>
          </cell>
          <cell r="Q176" t="str">
            <v>CON020208696</v>
          </cell>
          <cell r="V176">
            <v>42811</v>
          </cell>
          <cell r="Y176">
            <v>954124.73</v>
          </cell>
          <cell r="AA176" t="str">
            <v>Rehabilitación de machuelos de concreto hidráulico en la Av. Juan Gil Preciado, tramo 3, municipio de Zapopan, Jalisco.</v>
          </cell>
          <cell r="AD176">
            <v>42814</v>
          </cell>
          <cell r="AE176">
            <v>42855</v>
          </cell>
        </row>
        <row r="177">
          <cell r="C177" t="str">
            <v>DOPI-MUN-RM-PAV-AD-034-2017</v>
          </cell>
          <cell r="M177" t="str">
            <v>ANDRES EDUARDO</v>
          </cell>
          <cell r="N177" t="str">
            <v>ACEVES</v>
          </cell>
          <cell r="O177" t="str">
            <v>CASTAÑEDA</v>
          </cell>
          <cell r="P177" t="str">
            <v>Secri Constructora, S. A. de C. V.</v>
          </cell>
          <cell r="Q177" t="str">
            <v>SCO100609EVA</v>
          </cell>
          <cell r="V177">
            <v>42811</v>
          </cell>
          <cell r="Y177">
            <v>1401225.41</v>
          </cell>
          <cell r="AA177" t="str">
            <v>Construcción de pavimento de concreto hidráulico, banquetas, guarniciones, cajas de válvulas, pozos de visita, descargas sanitarias, señalamiento vertical y horizontal, en el crucero y área de influencia de la calle Ejido en su cruce con Av. Juan Gil Preciado, municipio de Zapopan, Jalisco.</v>
          </cell>
          <cell r="AD177">
            <v>42814</v>
          </cell>
          <cell r="AE177">
            <v>42855</v>
          </cell>
        </row>
        <row r="178">
          <cell r="C178" t="str">
            <v>DOPI-MUN-RM-PAV-AD-035-2017</v>
          </cell>
          <cell r="M178" t="str">
            <v>JOSE DANIEL</v>
          </cell>
          <cell r="N178" t="str">
            <v xml:space="preserve">MARTINEZ </v>
          </cell>
          <cell r="O178" t="str">
            <v>CASILLAS</v>
          </cell>
          <cell r="P178" t="str">
            <v>Constructora Tesisteka, S.A. de C.V.</v>
          </cell>
          <cell r="Q178" t="str">
            <v>CTE060615JX2</v>
          </cell>
          <cell r="V178">
            <v>42811</v>
          </cell>
          <cell r="Y178">
            <v>385367</v>
          </cell>
          <cell r="AA178" t="str">
            <v>Rehabilitación de la superficie de rodamiento y modificación vial del crucero de Prolongación Guadalupe y Periférico Poniente Manuel Gómez Morín, municipio de Zapopan, Jalisco.</v>
          </cell>
          <cell r="AD178">
            <v>42814</v>
          </cell>
          <cell r="AE178">
            <v>42870</v>
          </cell>
        </row>
        <row r="179">
          <cell r="C179" t="str">
            <v>DOPI-MUN-RM-PAV-AD-036-2017</v>
          </cell>
          <cell r="M179" t="str">
            <v>SERGIO CESAR</v>
          </cell>
          <cell r="N179" t="str">
            <v>DIAZ</v>
          </cell>
          <cell r="O179" t="str">
            <v>QUIROZ</v>
          </cell>
          <cell r="P179" t="str">
            <v>Grupo Unicreto de México, S.A. de C.V.</v>
          </cell>
          <cell r="Q179" t="str">
            <v>GUM111201IA5</v>
          </cell>
          <cell r="V179">
            <v>42811</v>
          </cell>
          <cell r="Y179">
            <v>1301166.0900000001</v>
          </cell>
          <cell r="AA179" t="str">
            <v>Obra complementaria en la incorporación de Av. Ecónomos a Periférico Poniente, municipio de Zapopan, Jalisco.</v>
          </cell>
          <cell r="AD179">
            <v>42814</v>
          </cell>
          <cell r="AE179">
            <v>42865</v>
          </cell>
        </row>
        <row r="180">
          <cell r="C180" t="str">
            <v>DOPI-MUN-RM-PAV-AD-037-2017</v>
          </cell>
          <cell r="M180" t="str">
            <v>JOSE OMAR</v>
          </cell>
          <cell r="N180" t="str">
            <v>FERNANDEZ</v>
          </cell>
          <cell r="O180" t="str">
            <v>VAZQUEZ</v>
          </cell>
          <cell r="P180" t="str">
            <v>Extra Construcciones, S.A. de C.V.</v>
          </cell>
          <cell r="Q180" t="str">
            <v>ECO0908115Z7</v>
          </cell>
          <cell r="V180">
            <v>42804</v>
          </cell>
          <cell r="Y180">
            <v>1112558.02</v>
          </cell>
          <cell r="AA180" t="str">
            <v>Construcción de vialidad con concreto hidráulico calle Cuatlicue desde la calle Ozomatlí a la calle Tul, incluye: guarniciones, banquetas, red de agua potable, alcantarillado, servicios complementarios, zona las Mesas, Municipio de Zapopan, Jalisco.</v>
          </cell>
          <cell r="AD180">
            <v>42807</v>
          </cell>
          <cell r="AE180">
            <v>42855</v>
          </cell>
        </row>
        <row r="181">
          <cell r="C181" t="str">
            <v>DOPI-MUN-RM-IM-AD-038-2017</v>
          </cell>
          <cell r="M181" t="str">
            <v>HUGO ARMANDO</v>
          </cell>
          <cell r="N181" t="str">
            <v>PRIETO</v>
          </cell>
          <cell r="O181" t="str">
            <v>JIMENEZ</v>
          </cell>
          <cell r="P181" t="str">
            <v>Constructora Rural del País, S. A. de C. V.</v>
          </cell>
          <cell r="Q181" t="str">
            <v>CRP870708I62</v>
          </cell>
          <cell r="V181">
            <v>42811</v>
          </cell>
          <cell r="Y181">
            <v>1215075.44</v>
          </cell>
          <cell r="AA181" t="str">
            <v>Rehabilitación y ampliación de bardas perimetrales de infraestructura hidráulica municipal, primera etapa, municipio de Zapopan, Jalisco.</v>
          </cell>
          <cell r="AD181">
            <v>42814</v>
          </cell>
          <cell r="AE181">
            <v>42886</v>
          </cell>
        </row>
        <row r="182">
          <cell r="C182" t="str">
            <v>DOPI-MUN-RM-ELE-AD-039-2017</v>
          </cell>
          <cell r="M182" t="str">
            <v>JUAN PABLO</v>
          </cell>
          <cell r="N182" t="str">
            <v>VERA</v>
          </cell>
          <cell r="O182" t="str">
            <v>TAVARES</v>
          </cell>
          <cell r="P182" t="str">
            <v>Lizette Construcciones, S. A. de C. V.</v>
          </cell>
          <cell r="Q182" t="str">
            <v>LCO080228DN2</v>
          </cell>
          <cell r="V182">
            <v>42811</v>
          </cell>
          <cell r="Y182">
            <v>196108.13</v>
          </cell>
          <cell r="AA182" t="str">
            <v>Instalación de la media tensión en la caseta de vigilancia del parque metropolitano, municipio de Zapopan, Jalisco.</v>
          </cell>
          <cell r="AD182">
            <v>42814</v>
          </cell>
          <cell r="AE182">
            <v>42855</v>
          </cell>
        </row>
        <row r="183">
          <cell r="C183" t="str">
            <v>DOPI-MUN-RM-AP-AD-040-2017</v>
          </cell>
          <cell r="M183" t="str">
            <v>EDGARDO</v>
          </cell>
          <cell r="N183" t="str">
            <v>ZUÑIGA</v>
          </cell>
          <cell r="O183" t="str">
            <v>BERISTAIN</v>
          </cell>
          <cell r="P183" t="str">
            <v>Proyección Integral Zure, S. A. de C. V.</v>
          </cell>
          <cell r="Q183" t="str">
            <v>PIZ070717DX6</v>
          </cell>
          <cell r="V183">
            <v>42804</v>
          </cell>
          <cell r="Y183">
            <v>1389276.63</v>
          </cell>
          <cell r="AA183" t="str">
            <v>Sustitución de red de agua potable en la calle Laurel de la calle Paseo de los Manzanos a calle Palmeras, en la colonia Lomas de Tabachines I sección, en el municipio de Zapopan, Jalisco.</v>
          </cell>
          <cell r="AD183">
            <v>42807</v>
          </cell>
          <cell r="AE183">
            <v>42855</v>
          </cell>
        </row>
        <row r="184">
          <cell r="C184" t="str">
            <v>DOPI-MUN-RM-IH-AD-052-2017</v>
          </cell>
          <cell r="M184" t="str">
            <v xml:space="preserve">EDUARDO </v>
          </cell>
          <cell r="N184" t="str">
            <v>MORA</v>
          </cell>
          <cell r="O184" t="str">
            <v>BLACKALLER</v>
          </cell>
          <cell r="P184" t="str">
            <v>Grupo Constructor Innoblack,
S. A. de C. V.</v>
          </cell>
          <cell r="Q184" t="str">
            <v>GCI070523CW4</v>
          </cell>
          <cell r="V184">
            <v>42824</v>
          </cell>
          <cell r="Y184">
            <v>1484671.02</v>
          </cell>
          <cell r="AA184" t="str">
            <v>Construcción de banquetas, línea de agua potable y drenaje sanitario en la Av. Aviación; Construcción de línea de agua potable en la calle Ocampo de Av. Aviación a calle Independencia, calle Privada Ocampo, calle Privada Solidaridad, en la colonia San Juan de Ocotán, municipio de Zapopan, Jalisco.</v>
          </cell>
          <cell r="AD184">
            <v>42826</v>
          </cell>
          <cell r="AE184">
            <v>42885</v>
          </cell>
        </row>
        <row r="185">
          <cell r="C185" t="str">
            <v>DOPI-MUN-RM-OC-AD-053-2017</v>
          </cell>
          <cell r="M185" t="str">
            <v xml:space="preserve">RODOLFO </v>
          </cell>
          <cell r="N185" t="str">
            <v xml:space="preserve">VELAZQUEZ </v>
          </cell>
          <cell r="O185" t="str">
            <v>ORDOÑEZ</v>
          </cell>
          <cell r="P185" t="str">
            <v>Velázquez Ingeniería Ecológica, S. A. de C. V.</v>
          </cell>
          <cell r="Q185" t="str">
            <v>VIE110125RL4</v>
          </cell>
          <cell r="V185">
            <v>42794</v>
          </cell>
          <cell r="Y185">
            <v>771128.46</v>
          </cell>
          <cell r="AA185" t="str">
            <v>Construcción de bocas de tormenta para prevención de inundaciones y conexión al colector pluvial Jalisco, ubicado en Tesistán, municipio de Zapopan, Jalisco.</v>
          </cell>
          <cell r="AD185">
            <v>42795</v>
          </cell>
          <cell r="AE185">
            <v>42855</v>
          </cell>
        </row>
        <row r="186">
          <cell r="C186" t="str">
            <v>DOPI-MUN-RM-OC-AD-054-2017</v>
          </cell>
          <cell r="M186" t="str">
            <v>GUADALUPE ALEJANDRINA</v>
          </cell>
          <cell r="N186" t="str">
            <v>MALDONADO</v>
          </cell>
          <cell r="O186" t="str">
            <v>LARA</v>
          </cell>
          <cell r="P186" t="str">
            <v>L &amp; A Ejecución Construcción y Proyectos Coorporativo JM, S. A. de C. V.</v>
          </cell>
          <cell r="Q186" t="str">
            <v>LAE1306263B5</v>
          </cell>
          <cell r="V186">
            <v>42804</v>
          </cell>
          <cell r="Y186">
            <v>518095.34</v>
          </cell>
          <cell r="AA186" t="str">
            <v>Construcción de canal pluvial prefabricado para prevención de inundaciones en la calle J. García Praga, de la calle Jalisco a la calle Ramón Corona, en la localidad de Tesistán, municipio de Zapopan, Jalisco.</v>
          </cell>
          <cell r="AD186">
            <v>42809</v>
          </cell>
          <cell r="AE186">
            <v>42855</v>
          </cell>
        </row>
        <row r="187">
          <cell r="C187" t="str">
            <v>DOPI-MUN-FORTA-BAN-AD-055-2017</v>
          </cell>
          <cell r="M187" t="str">
            <v xml:space="preserve">HÉCTOR HUGO </v>
          </cell>
          <cell r="N187" t="str">
            <v xml:space="preserve">GUILLÉN </v>
          </cell>
          <cell r="O187" t="str">
            <v>GUERRERO</v>
          </cell>
          <cell r="P187" t="str">
            <v>Construdimensión, S.A. de C.V.</v>
          </cell>
          <cell r="Q187" t="str">
            <v>CON090306I19</v>
          </cell>
          <cell r="V187">
            <v>42818</v>
          </cell>
          <cell r="Y187">
            <v>1450320.18</v>
          </cell>
          <cell r="AA187" t="str">
            <v>Peatonalización (banquetas y obras de accesibilidad) del área de influencia de las escuelas: Primaria Idolina Gaona Cosío de V. matrícula 14EPR1441B, Primaria Rafael Ramírez matrícula 14DPR3739Z, primaria Antonio Caso y Patria matrícula 14DPR2420X Y primaria Niños Héroes matrícula 14DPR2162Z, municipio de Zapopan, Jalisco.</v>
          </cell>
          <cell r="AD187">
            <v>42828</v>
          </cell>
          <cell r="AE187">
            <v>42886</v>
          </cell>
        </row>
        <row r="188">
          <cell r="C188" t="str">
            <v>DOPI-MUN-RM-DS-AD-056-2017</v>
          </cell>
          <cell r="M188" t="str">
            <v>ARTURO</v>
          </cell>
          <cell r="N188" t="str">
            <v>RANGEL</v>
          </cell>
          <cell r="O188" t="str">
            <v>PAEZ</v>
          </cell>
          <cell r="P188" t="str">
            <v>CONSTRUCTORA LASA, S.A. DE C.V.</v>
          </cell>
          <cell r="Q188" t="str">
            <v>CLA890925ER5</v>
          </cell>
          <cell r="V188">
            <v>42842</v>
          </cell>
          <cell r="Y188">
            <v>1102435.22</v>
          </cell>
          <cell r="AA188" t="str">
            <v>Construcción de línea de alejamiento de aguas residuales en la lateral de la carretera a Saltillo, de la calle Casiano Torres Poniente a canal pluvial, en la colonia Villa de Guadalupe, municipio de Zapopan, Jalisco.</v>
          </cell>
          <cell r="AD188">
            <v>42842</v>
          </cell>
          <cell r="AE188">
            <v>42901</v>
          </cell>
        </row>
        <row r="189">
          <cell r="C189" t="str">
            <v>DOPI-MUN-RM-IU-AD-057-2017</v>
          </cell>
          <cell r="M189" t="str">
            <v xml:space="preserve">ALEJANDRO LUIS </v>
          </cell>
          <cell r="N189" t="str">
            <v xml:space="preserve">VAIDOVITS </v>
          </cell>
          <cell r="O189" t="str">
            <v xml:space="preserve"> SCHNURER</v>
          </cell>
          <cell r="P189" t="str">
            <v>PROMACO DE MEXICO, S.A. DE C.V.</v>
          </cell>
          <cell r="Q189" t="str">
            <v>PME930817EV7</v>
          </cell>
          <cell r="V189">
            <v>42846</v>
          </cell>
          <cell r="Y189">
            <v>955444.17</v>
          </cell>
          <cell r="AA189" t="str">
            <v>Primera etapa de la renovación de imagen urbana en las localidades de Santa Ana Tepetitlán y San Juan de Ocotán, municipio de Zapopan, Jalisco.</v>
          </cell>
          <cell r="AD189">
            <v>42849</v>
          </cell>
          <cell r="AE189">
            <v>42896</v>
          </cell>
        </row>
        <row r="190">
          <cell r="C190" t="str">
            <v>DOPI-MUN-RM-IE-AD-058-2017</v>
          </cell>
          <cell r="M190" t="str">
            <v xml:space="preserve">HÉCTOR ALEJANDRO </v>
          </cell>
          <cell r="N190" t="str">
            <v xml:space="preserve">ORTEGA </v>
          </cell>
          <cell r="O190" t="str">
            <v>ROSALES</v>
          </cell>
          <cell r="P190" t="str">
            <v>IME SERVICIOS Y SUMINISTROS, S.A. DE C.V.</v>
          </cell>
          <cell r="Q190" t="str">
            <v>ISS920330811</v>
          </cell>
          <cell r="V190">
            <v>42853</v>
          </cell>
          <cell r="Y190">
            <v>1493490.23</v>
          </cell>
          <cell r="AA190" t="str">
            <v>Suministro e instalación de red de electrificación en media y baja tensión en las calle Ciprés Italiano, Gigante, Olivo, Eucalipto, Monte Sumae, Puesta del Sol y Prol. 1 de Mayo en la colonia El Zapote I; y en las calles Prol. 1 de Mayo y Puesta del Sol de la colonia Hogares de Nuevo México, municipio de Zapopan, Jalisco.</v>
          </cell>
          <cell r="AD190">
            <v>42857</v>
          </cell>
          <cell r="AE190">
            <v>42916</v>
          </cell>
        </row>
        <row r="191">
          <cell r="C191" t="str">
            <v>DOPI-MUN-FORTA-ID-AD-059-2017</v>
          </cell>
          <cell r="M191" t="str">
            <v xml:space="preserve">EDUARDO </v>
          </cell>
          <cell r="N191" t="str">
            <v>MERCADO</v>
          </cell>
          <cell r="O191" t="str">
            <v>VAZQUEZ</v>
          </cell>
          <cell r="P191" t="str">
            <v>ANITSUJ, S.A. DE C.V.</v>
          </cell>
          <cell r="Q191" t="str">
            <v>ANI1102217W2</v>
          </cell>
          <cell r="V191">
            <v>42846</v>
          </cell>
          <cell r="Y191">
            <v>1477840.24</v>
          </cell>
          <cell r="AA191" t="str">
            <v>Construcción de Andadores, Recubrimientos y Acabados en la Unidad Deportiva Paseos del Briseño Municipio de Zapopan, Jalisco.</v>
          </cell>
          <cell r="AD191">
            <v>42849</v>
          </cell>
          <cell r="AE191">
            <v>42946</v>
          </cell>
        </row>
        <row r="192">
          <cell r="C192" t="str">
            <v>DOPI-MUN-FORTA-SERV-AD-060-2017</v>
          </cell>
          <cell r="M192" t="str">
            <v>JOSE ALEJANDRO</v>
          </cell>
          <cell r="N192" t="str">
            <v>ALVA</v>
          </cell>
          <cell r="O192" t="str">
            <v>DELGADO</v>
          </cell>
          <cell r="P192" t="str">
            <v>SERVICIOS DE OBRAS CIVILES SERCO, S.A. DE C.V.</v>
          </cell>
          <cell r="Q192" t="str">
            <v>SOC150806E69</v>
          </cell>
          <cell r="V192">
            <v>42825</v>
          </cell>
          <cell r="Y192">
            <v>996523.74</v>
          </cell>
          <cell r="AA192" t="str">
            <v>Control de calidad de diferentes obras 2017 del municipio de Zapopan, Jalisco, etapa 2.</v>
          </cell>
          <cell r="AD192">
            <v>42828</v>
          </cell>
          <cell r="AE192">
            <v>43008</v>
          </cell>
        </row>
        <row r="193">
          <cell r="C193" t="str">
            <v>DOPI-MUN-RM-PAV-AD-061-2017</v>
          </cell>
          <cell r="M193" t="str">
            <v>HECTOR EUGENIO</v>
          </cell>
          <cell r="N193" t="str">
            <v>DE LA TORRE</v>
          </cell>
          <cell r="O193" t="str">
            <v>MENCHACA</v>
          </cell>
          <cell r="P193" t="str">
            <v>INGENIEROS DE LA TORRE, S.A. DE C.V.</v>
          </cell>
          <cell r="Q193" t="str">
            <v>ITO951005HY5</v>
          </cell>
          <cell r="V193">
            <v>42874</v>
          </cell>
          <cell r="Y193">
            <v>1510227.11</v>
          </cell>
          <cell r="AA193" t="str">
            <v>Construcción de pavimento de concreto hidráulico, incluye: agua potable, alcantarillado, guarniciones, banquetas, accesibilidad y servicios complementarios en la Calle Loma del Sol, de Calle Loma Real a Calle Loma del Valle, Colonia Loma Chica Municipio de Zapopan, Jalisco.</v>
          </cell>
          <cell r="AD193">
            <v>42877</v>
          </cell>
          <cell r="AE193">
            <v>42872</v>
          </cell>
        </row>
        <row r="194">
          <cell r="C194" t="str">
            <v>DOPI-MUN-RM-PAV-AD-062-2017</v>
          </cell>
          <cell r="M194" t="str">
            <v>ALBERTO</v>
          </cell>
          <cell r="N194" t="str">
            <v>BAÑUELOS</v>
          </cell>
          <cell r="O194" t="str">
            <v>GARCIA</v>
          </cell>
          <cell r="P194" t="str">
            <v>GRIAL CONSTRUCCIONES, S.A. DE C.V.</v>
          </cell>
          <cell r="Q194" t="str">
            <v>GCO100226SU6</v>
          </cell>
          <cell r="V194">
            <v>42874</v>
          </cell>
          <cell r="Y194">
            <v>1496365.17</v>
          </cell>
          <cell r="AA194" t="str">
            <v>Construcción de pavimento de concreto hidráulico, incluye: agua potable, alcantarillado, guarniciones, banquetas, accesibilidad y servicios complementarios en la Calle María Perfecta Llamas de Calle Lucio Martínez a Calle Febronio Lara, Colonia Villa de Guadalupe, Municipio de Zapopan, Jalisco.</v>
          </cell>
          <cell r="AD194">
            <v>42877</v>
          </cell>
          <cell r="AE194">
            <v>42993</v>
          </cell>
        </row>
        <row r="195">
          <cell r="C195" t="str">
            <v>DOPI-MUN-FORTA-EP-AD-067-2017</v>
          </cell>
          <cell r="M195" t="str">
            <v>HECTOR ANDRES</v>
          </cell>
          <cell r="N195" t="str">
            <v>VALADES</v>
          </cell>
          <cell r="O195" t="str">
            <v>SANCHEZ</v>
          </cell>
          <cell r="P195" t="str">
            <v>CONSTRUMOVA, S.A. P.I. DE C.V.</v>
          </cell>
          <cell r="Q195" t="str">
            <v>CON130531FB8</v>
          </cell>
          <cell r="V195">
            <v>42879</v>
          </cell>
          <cell r="Y195">
            <v>1325750.33</v>
          </cell>
          <cell r="AA195" t="str">
            <v>Instalación de reja de acero, reubicación de mobiliario existente y trabajos de adecuación en el estanque de retención de aguas pluviales en Santa María del Pueblito, municipio de Zapopan, Jalisco.</v>
          </cell>
          <cell r="AD195">
            <v>42880</v>
          </cell>
          <cell r="AE195">
            <v>42916</v>
          </cell>
        </row>
        <row r="196">
          <cell r="C196" t="str">
            <v>DOPI-MUN-FORTA-ID-AD-068-2017</v>
          </cell>
          <cell r="M196" t="str">
            <v>OSCAR LUIS</v>
          </cell>
          <cell r="N196" t="str">
            <v>CHAVEZ</v>
          </cell>
          <cell r="O196" t="str">
            <v>GONZALEZ</v>
          </cell>
          <cell r="P196" t="str">
            <v>EURO TRADE, S.A. DE C.V.</v>
          </cell>
          <cell r="Q196" t="str">
            <v>ETR070417NS8</v>
          </cell>
          <cell r="V196">
            <v>42867</v>
          </cell>
          <cell r="Y196">
            <v>1491328.97</v>
          </cell>
          <cell r="AA196" t="str">
            <v>Rehabilitación de infraestructura de servicios en el Centro Acuático Zapopan, Unidad Deportiva Francisco Villa y en la Unidad Deportiva Base Aérea, municipio de Zapopan, Jalisco.</v>
          </cell>
          <cell r="AD196">
            <v>42870</v>
          </cell>
          <cell r="AE196">
            <v>42940</v>
          </cell>
        </row>
        <row r="197">
          <cell r="C197" t="str">
            <v>DOPI-MUN-FORTA-CONT-AD-069-2017</v>
          </cell>
          <cell r="M197" t="str">
            <v>JOSE</v>
          </cell>
          <cell r="N197" t="str">
            <v xml:space="preserve">GUILLEN </v>
          </cell>
          <cell r="O197" t="str">
            <v xml:space="preserve">DIAZ  </v>
          </cell>
          <cell r="P197" t="str">
            <v>SERVICIOS PROFESIONALES PARA LA CONSTRUCCIÓN DE OCCIDENTE, S.A. DE C.V.</v>
          </cell>
          <cell r="Q197" t="str">
            <v>SPC050127BR0</v>
          </cell>
          <cell r="V197">
            <v>42881</v>
          </cell>
          <cell r="Y197">
            <v>622364.78</v>
          </cell>
          <cell r="AA197" t="str">
            <v>Obras de prevención de inundaciones en la calle Privada Guayabitos, colonia Lomas de Tabachines, municipio de Zapopan, Jalisco.</v>
          </cell>
          <cell r="AD197">
            <v>42884</v>
          </cell>
          <cell r="AE197">
            <v>42916</v>
          </cell>
        </row>
        <row r="198">
          <cell r="C198" t="str">
            <v>DOPI-MUN-FORTA-CAL-AD-070-2017</v>
          </cell>
          <cell r="M198" t="str">
            <v>JOEL</v>
          </cell>
          <cell r="N198" t="str">
            <v>ZULOAGA</v>
          </cell>
          <cell r="O198" t="str">
            <v>ACEVES</v>
          </cell>
          <cell r="P198" t="str">
            <v>TASUM SOLUCIONES EN CONSTRUCCION, S.A. DE C.V.</v>
          </cell>
          <cell r="Q198" t="str">
            <v>TSC100210E48</v>
          </cell>
          <cell r="V198">
            <v>42845</v>
          </cell>
          <cell r="Y198">
            <v>754065.98</v>
          </cell>
          <cell r="AA198" t="str">
            <v>Control de calidad de diferentes obras 2017 del municipio de Zapopan, Jalisco, etapa 3.</v>
          </cell>
          <cell r="AD198">
            <v>42849</v>
          </cell>
          <cell r="AE198">
            <v>43013</v>
          </cell>
        </row>
        <row r="199">
          <cell r="C199" t="str">
            <v>DOPI-MUN-FORTA-PROY-AD-071-2017</v>
          </cell>
          <cell r="M199" t="str">
            <v>JOSE DE JESUS</v>
          </cell>
          <cell r="N199" t="str">
            <v xml:space="preserve">CASTILLO </v>
          </cell>
          <cell r="O199" t="str">
            <v>CARRILLO</v>
          </cell>
          <cell r="P199" t="str">
            <v>MAPA OBRAS Y PAVIMENTOS, S.A. DE C.V.</v>
          </cell>
          <cell r="Q199" t="str">
            <v>MOP080610I53</v>
          </cell>
          <cell r="V199">
            <v>42845</v>
          </cell>
          <cell r="Y199">
            <v>1002644.28</v>
          </cell>
          <cell r="AA199" t="str">
            <v>Estudios de mecánica de suelos y diseño de pavimentos de diferentes obras 2017 del municipio de Zapopan, Jalisco, etapa 1.</v>
          </cell>
          <cell r="AD199">
            <v>42849</v>
          </cell>
          <cell r="AE199">
            <v>43013</v>
          </cell>
        </row>
        <row r="200">
          <cell r="C200" t="str">
            <v>DOPI-MUN-FORTA-BAN-AD-072-2017</v>
          </cell>
          <cell r="M200" t="str">
            <v>ERICK</v>
          </cell>
          <cell r="N200" t="str">
            <v>VILLASEÑOR</v>
          </cell>
          <cell r="O200" t="str">
            <v>GUTIERREZ</v>
          </cell>
          <cell r="P200" t="str">
            <v>PIXIDE CONSTRUCTORA, S.A. DE C.V.</v>
          </cell>
          <cell r="Q200" t="str">
            <v>PCO140829425</v>
          </cell>
          <cell r="V200">
            <v>42859</v>
          </cell>
          <cell r="Y200">
            <v>506572.74</v>
          </cell>
          <cell r="AA200" t="str">
            <v>Peatonalización, construcción de banquetas, sustitución de guarniciones y bolardos en calle Ingeniero Alberto Mora López, desde la calle Elote a Carretera a Saltillo, zona las Mesas, municipio de Zapopan, Jalisco.</v>
          </cell>
          <cell r="AD200">
            <v>42863</v>
          </cell>
          <cell r="AE200">
            <v>42916</v>
          </cell>
        </row>
        <row r="201">
          <cell r="C201" t="str">
            <v>DOPI-MUN-FORTA-ID-AD-073-2017</v>
          </cell>
          <cell r="M201" t="str">
            <v>DAVID</v>
          </cell>
          <cell r="N201" t="str">
            <v>LEDESMA</v>
          </cell>
          <cell r="O201" t="str">
            <v>MARTIN DEL CAMPO</v>
          </cell>
          <cell r="P201" t="str">
            <v>DAVID LEDESMA MARTIN DEL CAMPO</v>
          </cell>
          <cell r="Q201" t="str">
            <v>LEMD880217U53</v>
          </cell>
          <cell r="V201">
            <v>42853</v>
          </cell>
          <cell r="Y201">
            <v>621688.56000000006</v>
          </cell>
          <cell r="AA201" t="str">
            <v>Construcción de Skatepark en la Unidad Deportiva Miguel de la Madrid, municipio de Zapopan, Jalisco.</v>
          </cell>
          <cell r="AD201">
            <v>42857</v>
          </cell>
          <cell r="AE201">
            <v>42946</v>
          </cell>
        </row>
        <row r="202">
          <cell r="C202" t="str">
            <v>DOPI-MUN-FORTA-IM-AD-074-2017</v>
          </cell>
          <cell r="M202" t="str">
            <v>LEOBARDO</v>
          </cell>
          <cell r="N202" t="str">
            <v>PRECIADO</v>
          </cell>
          <cell r="O202" t="str">
            <v>ZEPEDA</v>
          </cell>
          <cell r="P202" t="str">
            <v>CONSORCIO CONSTRUCTOR ADOBES, S.A. DE C.V.</v>
          </cell>
          <cell r="Q202" t="str">
            <v>CCA971126QC9</v>
          </cell>
          <cell r="V202">
            <v>42886</v>
          </cell>
          <cell r="Y202">
            <v>710320.06</v>
          </cell>
          <cell r="AA202" t="str">
            <v>Construcción de muros de mampostería y obra complementaria en el parque El Polvorín II, municipio de Zapopan, Jalisco.</v>
          </cell>
          <cell r="AD202">
            <v>42887</v>
          </cell>
          <cell r="AE202">
            <v>42931</v>
          </cell>
        </row>
        <row r="203">
          <cell r="C203" t="str">
            <v>DOPI-MUN-FORTA-PAV-AD-075-2017</v>
          </cell>
          <cell r="M203" t="str">
            <v>OFELIA</v>
          </cell>
          <cell r="N203" t="str">
            <v>BARRAGAN</v>
          </cell>
          <cell r="O203" t="str">
            <v>REYNAGA</v>
          </cell>
          <cell r="P203" t="str">
            <v>I+A INGENIERIA Y ARQUITECTURA CONSTRUCCION Y PROYECTOS, S. DE R.L. DE C.V.</v>
          </cell>
          <cell r="Q203" t="str">
            <v>IIA160303MFA</v>
          </cell>
          <cell r="V203">
            <v>42867</v>
          </cell>
          <cell r="Y203">
            <v>1394454.07</v>
          </cell>
          <cell r="AA203" t="str">
            <v>Construcción de pavimento de concreto hidráulico, banquetas, adecuaciones de la red sanitaria e hidráulica, en la Av. D, colonia El Tigre II, municipio de Zapopan, Jalisco, tramo 2.</v>
          </cell>
          <cell r="AD203">
            <v>42870</v>
          </cell>
          <cell r="AE203">
            <v>42940</v>
          </cell>
        </row>
        <row r="204">
          <cell r="C204" t="str">
            <v>DOPI-MUN-FORTA-DS-AD-076-2017</v>
          </cell>
          <cell r="M204" t="str">
            <v>LUIS ERAZMO</v>
          </cell>
          <cell r="N204" t="str">
            <v>DURAN</v>
          </cell>
          <cell r="O204" t="str">
            <v>GODINA</v>
          </cell>
          <cell r="P204" t="str">
            <v>CONSTRUCTORA Y URBANIZADORA PROYEXEM, S.A. DE C.V.</v>
          </cell>
          <cell r="Q204" t="str">
            <v>CUP130507Q85</v>
          </cell>
          <cell r="V204">
            <v>42842</v>
          </cell>
          <cell r="Y204">
            <v>1714660.23</v>
          </cell>
          <cell r="AA204" t="str">
            <v>Sustitución de red de drenaje sanitario en calles de la colonia Lomas de Tabachines I sección, en el municipio de Zapopan, Jalisco, primera etapa.</v>
          </cell>
          <cell r="AD204">
            <v>42842</v>
          </cell>
          <cell r="AE204">
            <v>42931</v>
          </cell>
        </row>
        <row r="205">
          <cell r="C205" t="str">
            <v>DOPI-MUN-FORTA-PROY-AD-094-2017</v>
          </cell>
          <cell r="M205" t="str">
            <v>PATRICIA</v>
          </cell>
          <cell r="N205" t="str">
            <v>NAMUR</v>
          </cell>
          <cell r="O205" t="str">
            <v>MARTÍNEZ</v>
          </cell>
          <cell r="P205" t="str">
            <v>SERVICIOS TOPOGRAFICOS ESPECIALIZADOS, S.A. DE C.V.</v>
          </cell>
          <cell r="Q205" t="str">
            <v>STE990210U51</v>
          </cell>
          <cell r="V205">
            <v>42886</v>
          </cell>
          <cell r="Y205">
            <v>1110450.23</v>
          </cell>
          <cell r="AA205" t="str">
            <v>Estudios básicos topográficos para diferentes obras 2017, frente 1, del municipio de Zapopan, Jalisco.</v>
          </cell>
          <cell r="AD205">
            <v>42887</v>
          </cell>
          <cell r="AE205">
            <v>43039</v>
          </cell>
        </row>
        <row r="206">
          <cell r="C206" t="str">
            <v>DOPI-MUN-FORTA-BAN-AD-119-2017</v>
          </cell>
          <cell r="M206" t="str">
            <v xml:space="preserve">Eduardo </v>
          </cell>
          <cell r="N206" t="str">
            <v>Plascencia</v>
          </cell>
          <cell r="O206" t="str">
            <v>Macias</v>
          </cell>
          <cell r="P206" t="str">
            <v>Constructora y Edificadora Plasma, S.A. de C.V.</v>
          </cell>
          <cell r="Q206" t="str">
            <v>CEP080129EK6</v>
          </cell>
          <cell r="V206">
            <v>42899</v>
          </cell>
          <cell r="Y206">
            <v>1702315.57</v>
          </cell>
          <cell r="AA206" t="str">
            <v>Peatonalización, construcción de banquetas, sustitución de guarniciones, bolardos y obra complementaria en el estacionamiento en el Hospital General de Zapopan, Municipio de Zapopan, Jalisco.</v>
          </cell>
          <cell r="AD206">
            <v>42900</v>
          </cell>
          <cell r="AE206">
            <v>42942</v>
          </cell>
        </row>
        <row r="207">
          <cell r="C207" t="str">
            <v>DOPI-MUN-RM-BACHEO-AD-120-2017</v>
          </cell>
          <cell r="M207" t="str">
            <v>Luis Armando</v>
          </cell>
          <cell r="N207" t="str">
            <v>Linares</v>
          </cell>
          <cell r="O207" t="str">
            <v>Cacho</v>
          </cell>
          <cell r="P207" t="str">
            <v>Urbanizadora y Constructora Roal, S.A. de C.V.</v>
          </cell>
          <cell r="Q207" t="str">
            <v>URC160310857</v>
          </cell>
          <cell r="V207">
            <v>42919</v>
          </cell>
          <cell r="Y207">
            <v>1715234.39</v>
          </cell>
          <cell r="AA207" t="str">
            <v>Programa emergente de bacheo, renivelaciones y sellado en vialidades, Zona Centro, Frente 1, municipio de Zapopan, Jalisco.</v>
          </cell>
          <cell r="AD207">
            <v>42919</v>
          </cell>
          <cell r="AE207">
            <v>42993</v>
          </cell>
        </row>
        <row r="208">
          <cell r="C208" t="str">
            <v>DOPI-MUN-RM-BACHEO-AD-121-2017</v>
          </cell>
          <cell r="M208" t="str">
            <v>José Antonio</v>
          </cell>
          <cell r="N208" t="str">
            <v>Álvarez</v>
          </cell>
          <cell r="O208" t="str">
            <v>Garcia</v>
          </cell>
          <cell r="P208" t="str">
            <v>Urcoma 1970, S. A. de C. V. PCZ-041/2016</v>
          </cell>
          <cell r="Q208" t="str">
            <v>UMN160125869</v>
          </cell>
          <cell r="V208">
            <v>42919</v>
          </cell>
          <cell r="Y208">
            <v>1724125.79</v>
          </cell>
          <cell r="AA208" t="str">
            <v>Programa emergente de bacheo, renivelaciones y sellado en vialidades, Zona Centro, Frente 2, municipio de Zapopan, Jalisco.</v>
          </cell>
          <cell r="AD208">
            <v>42919</v>
          </cell>
          <cell r="AE208">
            <v>42993</v>
          </cell>
        </row>
        <row r="209">
          <cell r="C209" t="str">
            <v>DOPI-MUN-RM-IM-AD-122-2017</v>
          </cell>
          <cell r="M209" t="str">
            <v>J. JESÚS</v>
          </cell>
          <cell r="N209" t="str">
            <v>CONTRERAS</v>
          </cell>
          <cell r="O209" t="str">
            <v>VILLANUEVA</v>
          </cell>
          <cell r="P209" t="str">
            <v>CONSTRUCCIÓNES COVIMEX, S.A. DE C.V.</v>
          </cell>
          <cell r="Q209" t="str">
            <v>CCO0404226D8</v>
          </cell>
          <cell r="V209">
            <v>42915</v>
          </cell>
          <cell r="Y209">
            <v>998558.74</v>
          </cell>
          <cell r="AA209" t="str">
            <v>Rehabilitación de Salón Vecinal, zona 6, Colonia Paseos del Sol, municipio de Zapopan, Jalisco, primera etapa.</v>
          </cell>
          <cell r="AD209">
            <v>42919</v>
          </cell>
          <cell r="AE209">
            <v>42962</v>
          </cell>
        </row>
        <row r="210">
          <cell r="C210" t="str">
            <v>DOPI-MUN-R33-IH-AD-123-2017</v>
          </cell>
          <cell r="M210" t="str">
            <v>CARLOS CELSO</v>
          </cell>
          <cell r="N210" t="str">
            <v>GARCÍA</v>
          </cell>
          <cell r="O210" t="str">
            <v>QUINTERO</v>
          </cell>
          <cell r="P210" t="str">
            <v>GRUPO CONSTRUCTOR HISACA, S.A. DE C.V.</v>
          </cell>
          <cell r="Q210" t="str">
            <v>GCH070702SH8</v>
          </cell>
          <cell r="V210">
            <v>42915</v>
          </cell>
          <cell r="Y210">
            <v>1700244.87</v>
          </cell>
          <cell r="AA210" t="str">
            <v>Revestimiento de canal pluvial y obras de drenaje, sobre calle Pinos de calle Periodistas a calle Fresno, en la colonia Lomas del Centinela, municipio de Zapopan, Jalisco. Primera etapa.</v>
          </cell>
          <cell r="AD210">
            <v>42919</v>
          </cell>
          <cell r="AE210">
            <v>42981</v>
          </cell>
        </row>
        <row r="211">
          <cell r="C211" t="str">
            <v>DOPI-MUN-RM-BACHEO-AD-124-2017</v>
          </cell>
          <cell r="M211" t="str">
            <v>Rodrigo</v>
          </cell>
          <cell r="N211" t="str">
            <v>Ramos</v>
          </cell>
          <cell r="O211" t="str">
            <v>Garibi</v>
          </cell>
          <cell r="P211" t="str">
            <v>Metro Asfaltos, S.A. de C.V.</v>
          </cell>
          <cell r="Q211" t="str">
            <v>CMA070307RU6</v>
          </cell>
          <cell r="V211">
            <v>42919</v>
          </cell>
          <cell r="Y211">
            <v>1718789.14</v>
          </cell>
          <cell r="AA211" t="str">
            <v>Programa emergente de bacheo, renivelaciones y sellado en vialidades, Zona Sur, Frente 1, municipio de Zapopan, Jalisco.</v>
          </cell>
          <cell r="AD211">
            <v>42919</v>
          </cell>
          <cell r="AE211">
            <v>42993</v>
          </cell>
        </row>
        <row r="212">
          <cell r="C212" t="str">
            <v>DOPI-MUN-RM-BACHEO-AD-125-2017</v>
          </cell>
          <cell r="M212" t="str">
            <v>SALVADOR ALEJANDRO</v>
          </cell>
          <cell r="N212" t="str">
            <v>CURIEL</v>
          </cell>
          <cell r="O212" t="str">
            <v>SANCHEZ</v>
          </cell>
          <cell r="P212" t="str">
            <v>PROYECTOS Y CONSTRUCCIONES CUPE, S.A. DE C.V.</v>
          </cell>
          <cell r="Q212" t="str">
            <v>PYC1004139E5</v>
          </cell>
          <cell r="V212">
            <v>42919</v>
          </cell>
          <cell r="Y212">
            <v>1102004.26</v>
          </cell>
          <cell r="AA212" t="str">
            <v>Programa emergente de bacheo, renivelaciones y sellado en vialidades, Zona Surponiente, Frente 1, municipio de Zapopan, Jalisco.</v>
          </cell>
          <cell r="AD212">
            <v>42919</v>
          </cell>
          <cell r="AE212">
            <v>42993</v>
          </cell>
        </row>
        <row r="213">
          <cell r="C213" t="str">
            <v>DOPI-MUN-RM-BACHEO-AD-126-2017</v>
          </cell>
          <cell r="M213" t="str">
            <v>Mario</v>
          </cell>
          <cell r="N213" t="str">
            <v>Beltrán</v>
          </cell>
          <cell r="O213" t="str">
            <v>Rodríguez</v>
          </cell>
          <cell r="P213" t="str">
            <v xml:space="preserve">Constructora y Desarrolladora Barba y Asociados, S. A. de C. V. </v>
          </cell>
          <cell r="Q213" t="str">
            <v>CDB0506068Z4</v>
          </cell>
          <cell r="V213">
            <v>42919</v>
          </cell>
          <cell r="Y213">
            <v>1720415.17</v>
          </cell>
          <cell r="AA213" t="str">
            <v>Programa emergente de bacheo, renivelaciones y sellado en vialidades, Zona Poniente, Frente 1, municipio de Zapopan, Jalisco.</v>
          </cell>
          <cell r="AD213">
            <v>42919</v>
          </cell>
          <cell r="AE213">
            <v>42993</v>
          </cell>
        </row>
        <row r="214">
          <cell r="C214" t="str">
            <v>DOPI-MUN-RM-BACHEO-AD-127-2017</v>
          </cell>
          <cell r="M214" t="str">
            <v>CARLOS OMAR</v>
          </cell>
          <cell r="N214" t="str">
            <v>FIGUEROA</v>
          </cell>
          <cell r="O214" t="str">
            <v>CORONADO</v>
          </cell>
          <cell r="P214" t="str">
            <v>VACO GRUPO TECNICO DE CONSTRUCCIONES, S.A. DE C.V.</v>
          </cell>
          <cell r="Q214" t="str">
            <v>VGT1402126T0</v>
          </cell>
          <cell r="V214">
            <v>42920</v>
          </cell>
          <cell r="Y214">
            <v>1151981.04</v>
          </cell>
          <cell r="AA214" t="str">
            <v>Programa emergente de bacheo, renivelaciones y sellado en vialidades, Zona Norponiente, Frente 1, municipio de Zapopan, Jalisco.</v>
          </cell>
          <cell r="AD214">
            <v>42920</v>
          </cell>
          <cell r="AE214">
            <v>42994</v>
          </cell>
        </row>
        <row r="215">
          <cell r="C215" t="str">
            <v>DOPI-MUN-RM-BACHEO-AD-128-2017</v>
          </cell>
          <cell r="M215" t="str">
            <v>ANGEL SALOMON</v>
          </cell>
          <cell r="N215" t="str">
            <v>RINCON</v>
          </cell>
          <cell r="O215" t="str">
            <v>DE LA ROSA</v>
          </cell>
          <cell r="P215" t="str">
            <v>ARO ASFALTOS Y RIEGOS DE OCCIDENTE, S.A. DE C.V.</v>
          </cell>
          <cell r="Q215" t="str">
            <v>AAR120507VA9</v>
          </cell>
          <cell r="V215">
            <v>42919</v>
          </cell>
          <cell r="Y215">
            <v>1724418.16</v>
          </cell>
          <cell r="AA215" t="str">
            <v>Programa emergente de bacheo, renivelaciones y sellado en vialidades, Zona Norte, Frente 1, municipio de Zapopan, Jalisco.</v>
          </cell>
          <cell r="AD215">
            <v>42919</v>
          </cell>
          <cell r="AE215">
            <v>42993</v>
          </cell>
        </row>
        <row r="216">
          <cell r="C216" t="str">
            <v>DOPI-MUN-RM-BACHEO-AD-129-2017</v>
          </cell>
          <cell r="M216" t="str">
            <v xml:space="preserve">HUGO </v>
          </cell>
          <cell r="N216" t="str">
            <v>BOJORQUEZ</v>
          </cell>
          <cell r="O216" t="str">
            <v>SANCHEZ</v>
          </cell>
          <cell r="P216" t="str">
            <v>BACHEO JET, S.A. DE C.V.</v>
          </cell>
          <cell r="Q216" t="str">
            <v>BJE1308202Z2</v>
          </cell>
          <cell r="V216">
            <v>42919</v>
          </cell>
          <cell r="Y216">
            <v>1705443.99</v>
          </cell>
          <cell r="AA216" t="str">
            <v>Programa emergente de bacheo por el método de bacheo a presión en vialidades, Zonas Centro y Sur, Frente 2, municipio de Zapopan, Jalisco.</v>
          </cell>
          <cell r="AD216">
            <v>42919</v>
          </cell>
          <cell r="AE216">
            <v>42993</v>
          </cell>
        </row>
        <row r="217">
          <cell r="C217" t="str">
            <v>DOPI-MUN-FORTA-IM-AD-130-2017</v>
          </cell>
          <cell r="M217" t="str">
            <v>CLAUDIA PATRICIA</v>
          </cell>
          <cell r="N217" t="str">
            <v xml:space="preserve">SANCHEZ </v>
          </cell>
          <cell r="O217" t="str">
            <v>VALLES</v>
          </cell>
          <cell r="P217" t="str">
            <v>CONSTRUCTORA JMA, S.A. DE C.V.</v>
          </cell>
          <cell r="Q217" t="str">
            <v>CJM121221Q73</v>
          </cell>
          <cell r="V217">
            <v>42919</v>
          </cell>
          <cell r="Y217">
            <v>1530188.23</v>
          </cell>
          <cell r="AA217" t="str">
            <v>Construcción de plazoleta, área de juegos infantiles, pintura y albañilería en el Centro de Desarrollo Infantil No. 1 Constitución, ubicado en la colonia La Constitución; acabado, albañilería y obra complementaria en el Centro de Desarrollo Infantil No. 5 El Colli, ubicado en El Colli; Ampliación de cocina y comedor en el Centro de Desarrollo Infantil No. 9 Villa de Guadalupe, ubicado en la colonia Villa de Guadalupe, municipio de Zapopan, Jalisco.</v>
          </cell>
          <cell r="AD217">
            <v>42920</v>
          </cell>
          <cell r="AE217">
            <v>42977</v>
          </cell>
        </row>
        <row r="218">
          <cell r="C218" t="str">
            <v>DOPI-MUN-FORTA-IS-AD-131-2017</v>
          </cell>
          <cell r="M218" t="str">
            <v xml:space="preserve">Eduardo </v>
          </cell>
          <cell r="N218" t="str">
            <v>Plascencia</v>
          </cell>
          <cell r="O218" t="str">
            <v>Macias</v>
          </cell>
          <cell r="P218" t="str">
            <v>Constructora y Edificadora Plasma, S.A. de C.V.</v>
          </cell>
          <cell r="Q218" t="str">
            <v>CEP080129EK6</v>
          </cell>
          <cell r="V218">
            <v>42919</v>
          </cell>
          <cell r="Y218">
            <v>705487.23</v>
          </cell>
          <cell r="AA218" t="str">
            <v>Obra complementaria para la terminación del Centro de Salud Atemajac, ubicado en la colonia Atemajac del Valle, municipio de Zapopan, Jalisco.</v>
          </cell>
          <cell r="AD218">
            <v>42920</v>
          </cell>
          <cell r="AE218">
            <v>42977</v>
          </cell>
        </row>
        <row r="219">
          <cell r="C219" t="str">
            <v>DOPI-MUN-FORTA-IU-AD-132-2017</v>
          </cell>
          <cell r="M219" t="str">
            <v xml:space="preserve">RAFAEL </v>
          </cell>
          <cell r="N219" t="str">
            <v>ARREGUIN</v>
          </cell>
          <cell r="O219" t="str">
            <v>RENTERIA</v>
          </cell>
          <cell r="P219" t="str">
            <v xml:space="preserve">ARH DESARROLLOS INMOBILIARIOS, S.A. DE C.V. </v>
          </cell>
          <cell r="Q219" t="str">
            <v>ADI130522MB7</v>
          </cell>
          <cell r="V219">
            <v>42940</v>
          </cell>
          <cell r="Y219">
            <v>1630250.47</v>
          </cell>
          <cell r="AA219" t="str">
            <v>Primera etapa de la renovación de imagen urbana en la colonia Díaz Ordaz, municipio de Zapopan, Jalisco.</v>
          </cell>
          <cell r="AD219">
            <v>42940</v>
          </cell>
          <cell r="AE219">
            <v>43022</v>
          </cell>
        </row>
        <row r="220">
          <cell r="C220" t="str">
            <v>DOPI-MUN-RM-PAV-AD-133-2017</v>
          </cell>
          <cell r="M220" t="str">
            <v xml:space="preserve">SANTIAGO </v>
          </cell>
          <cell r="N220" t="str">
            <v xml:space="preserve">BUENO </v>
          </cell>
          <cell r="O220" t="str">
            <v>FUENTES</v>
          </cell>
          <cell r="P220" t="str">
            <v>CONSTRUCTORA SBF, S.A. DE C.V.</v>
          </cell>
          <cell r="Q220" t="str">
            <v>CSB940503EB3</v>
          </cell>
          <cell r="V220">
            <v>42935</v>
          </cell>
          <cell r="Y220">
            <v>1228660.2</v>
          </cell>
          <cell r="AA220" t="str">
            <v>Pavimentación con mezcla asfáltica de calle de los Mosquiteros, de calle Paseo de los Virreyes a calle Paseo de lo Robles y calle Paseo de los Robles, de calle de los Mosquiteros a calle del Conde, incluye: guarniciones, banquetas y señalética, en las colonias San Wenceslao y Villa Universitaria, municipio de Zapopan, Jalisco.</v>
          </cell>
          <cell r="AD220">
            <v>42936</v>
          </cell>
          <cell r="AE220">
            <v>42977</v>
          </cell>
        </row>
        <row r="221">
          <cell r="C221" t="str">
            <v>DOPI-MUN-RM-IM-AD-134-2017</v>
          </cell>
          <cell r="M221" t="str">
            <v>DAVID SERGIO</v>
          </cell>
          <cell r="N221" t="str">
            <v>DOMINGUEZ</v>
          </cell>
          <cell r="O221" t="str">
            <v>MEZA</v>
          </cell>
          <cell r="P221" t="str">
            <v>VALIKA CONSTRUCTORA, S.A. DE C.V.</v>
          </cell>
          <cell r="Q221" t="str">
            <v>VCO9412201J0</v>
          </cell>
          <cell r="V221">
            <v>42935</v>
          </cell>
          <cell r="Y221">
            <v>997556.34</v>
          </cell>
          <cell r="AA221" t="str">
            <v>Automatización del sistema de bombeo en la red de drenaje, cárcamo de agua residuales y construcción de losa de techo en la colonia Lomas Atlas, municipio de Zapopan, Jalisco.</v>
          </cell>
          <cell r="AD221">
            <v>42936</v>
          </cell>
          <cell r="AE221">
            <v>42977</v>
          </cell>
        </row>
        <row r="222">
          <cell r="C222" t="str">
            <v>DOPI-MUN-FORTA-PAV-AD-135-2017</v>
          </cell>
          <cell r="M222" t="str">
            <v>TOMAS</v>
          </cell>
          <cell r="N222" t="str">
            <v>SANDOVAL</v>
          </cell>
          <cell r="O222" t="str">
            <v>ALVAREZ</v>
          </cell>
          <cell r="P222" t="str">
            <v>CONSTRUCCIONES Y RENTAS DE MAQUINARIA DE OCCIDENTE, S.A. DE C.V.</v>
          </cell>
          <cell r="Q222" t="str">
            <v>CRM910909K48</v>
          </cell>
          <cell r="V222">
            <v>42930</v>
          </cell>
          <cell r="Y222">
            <v>1710514.78</v>
          </cell>
          <cell r="AA222" t="str">
            <v>Construcción de pavimento de concreto hidráulico, incluye: agua potable, alcantarillado, guarniciones, banquetas, accesibilidad y servicios complementarios en la calle Loma del Sol, de calle Loma Real a calle Loma del Valle, colonia Loma Chica, municipio de Zapopan, Jalisco, segunda etapa.</v>
          </cell>
          <cell r="AD222">
            <v>42930</v>
          </cell>
          <cell r="AE222">
            <v>42993</v>
          </cell>
        </row>
        <row r="223">
          <cell r="C223" t="str">
            <v>DOPI-MUN-FORTA-PAV-AD-136-2017</v>
          </cell>
          <cell r="M223" t="str">
            <v xml:space="preserve">GUILLERMO EMMANUEL </v>
          </cell>
          <cell r="N223" t="str">
            <v xml:space="preserve">LARA </v>
          </cell>
          <cell r="O223" t="str">
            <v>OCHOA</v>
          </cell>
          <cell r="P223" t="str">
            <v>ALQUIMIA GRUPO CONSTRUCTOR, S.A. DE C.V.</v>
          </cell>
          <cell r="Q223" t="str">
            <v>AGC070223J95</v>
          </cell>
          <cell r="V223">
            <v>42935</v>
          </cell>
          <cell r="Y223">
            <v>1004338.5</v>
          </cell>
          <cell r="AA223" t="str">
            <v>Sello asfáltico, renivelaciones y bacheo en vialidades de la colonia Loma Bonita Ejidal, municipio de Zapopan, Jalisco, primera etapa.</v>
          </cell>
          <cell r="AD223">
            <v>42935</v>
          </cell>
          <cell r="AE223">
            <v>42962</v>
          </cell>
        </row>
        <row r="224">
          <cell r="C224" t="str">
            <v>DOPI-MUN-RM-PAV-AD-137-2017</v>
          </cell>
          <cell r="M224" t="str">
            <v>JESUS DAVID</v>
          </cell>
          <cell r="N224" t="str">
            <v xml:space="preserve">GARZA </v>
          </cell>
          <cell r="O224" t="str">
            <v>GARCIA</v>
          </cell>
          <cell r="P224" t="str">
            <v>CONSTRUCCIONES  ELECTRIFICACIONES Y ARRENDAMIENTO DE MAQUINARIA S.A. DE C.V.</v>
          </cell>
          <cell r="Q224" t="str">
            <v>CEA010615GT0</v>
          </cell>
          <cell r="V224">
            <v>42935</v>
          </cell>
          <cell r="Y224">
            <v>978686.25</v>
          </cell>
          <cell r="AA224" t="str">
            <v>Construcción de camino de acceso a la celda 5 del relleno sanitario Picachos, municipio de Zapopan, Jalisco.</v>
          </cell>
          <cell r="AD224">
            <v>42935</v>
          </cell>
          <cell r="AE224">
            <v>42962</v>
          </cell>
        </row>
        <row r="225">
          <cell r="C225" t="str">
            <v>DOPI-MUN-FORTA-ID-AD-138-2017</v>
          </cell>
          <cell r="M225" t="str">
            <v>JAIME FERNANDO</v>
          </cell>
          <cell r="N225" t="str">
            <v>ALVAREZ</v>
          </cell>
          <cell r="O225" t="str">
            <v>LOZANO</v>
          </cell>
          <cell r="P225" t="str">
            <v>INOVACIONES EN MOBILIARIO URBANO S.A. DE C.V.</v>
          </cell>
          <cell r="Q225" t="str">
            <v>IMU120820NM7</v>
          </cell>
          <cell r="V225">
            <v>42935</v>
          </cell>
          <cell r="Y225">
            <v>937274.17</v>
          </cell>
          <cell r="AA225" t="str">
            <v>Albañilería, acabados, pasto sintético y mobiliario urbano en el Polvorín, municipio de Zapopan, Jalisco.</v>
          </cell>
          <cell r="AD225">
            <v>42935</v>
          </cell>
          <cell r="AE225">
            <v>42977</v>
          </cell>
        </row>
        <row r="226">
          <cell r="C226" t="str">
            <v>DOPI-MUN-RM-IE-AD-139-2017</v>
          </cell>
          <cell r="M226" t="str">
            <v xml:space="preserve">JESÚS </v>
          </cell>
          <cell r="N226" t="str">
            <v>CUETO</v>
          </cell>
          <cell r="O226" t="str">
            <v>GARCÍA</v>
          </cell>
          <cell r="P226" t="str">
            <v>CONSTRUCTORA MICUET, S.A. DE C.V.</v>
          </cell>
          <cell r="Q226" t="str">
            <v>CMI0312018W4</v>
          </cell>
          <cell r="V226">
            <v>42982</v>
          </cell>
          <cell r="Y226">
            <v>1712572.4</v>
          </cell>
          <cell r="AA226" t="str">
            <v>Estructura para protección de rayos ultravioleta en la secundaria 18 mixta, ubicada en Privada Circunvalación Oriente, entre Calzada de Los Fresnos y calzada de Los Ángeles, en la colonia Ciudad Granja, municipio de Zapopan, Jalisco.</v>
          </cell>
          <cell r="AD226">
            <v>42989</v>
          </cell>
          <cell r="AE226">
            <v>43063</v>
          </cell>
        </row>
        <row r="227">
          <cell r="C227" t="str">
            <v>DOPI-MUN-R33R-DS-AD-140-2017</v>
          </cell>
          <cell r="M227" t="str">
            <v>IRMA GUADALUPE</v>
          </cell>
          <cell r="N227" t="str">
            <v>RIZO</v>
          </cell>
          <cell r="O227" t="str">
            <v>ACUÑA</v>
          </cell>
          <cell r="P227" t="str">
            <v>FOGU GRUPO CONSTRUCTOR, S.A. DE C.V.</v>
          </cell>
          <cell r="Q227" t="str">
            <v>FGC100909TW9</v>
          </cell>
          <cell r="V227">
            <v>42937</v>
          </cell>
          <cell r="Y227">
            <v>997850.24</v>
          </cell>
          <cell r="AA227" t="str">
            <v>Construcción de red de drenaje sanitario en las calles: San Nicolás, El Palomar e Ing. Gómez, en la colonia los Cajetes, municipio de Zapopan, Jalisco.</v>
          </cell>
          <cell r="AD227">
            <v>42940</v>
          </cell>
          <cell r="AE227">
            <v>43023</v>
          </cell>
        </row>
        <row r="228">
          <cell r="C228" t="str">
            <v>DOPI-MUN-FORTA-BAN-AD-141-2017</v>
          </cell>
          <cell r="M228" t="str">
            <v>SERGIO CESAR</v>
          </cell>
          <cell r="N228" t="str">
            <v>DÍAZ</v>
          </cell>
          <cell r="O228" t="str">
            <v>QUIROZ</v>
          </cell>
          <cell r="P228" t="str">
            <v>TRANSCRETO S.A. DE C.V.</v>
          </cell>
          <cell r="Q228" t="str">
            <v>TRA750528286</v>
          </cell>
          <cell r="V228">
            <v>42920</v>
          </cell>
          <cell r="Y228">
            <v>1279687.06</v>
          </cell>
          <cell r="AA228" t="str">
            <v>Peatonalización, construcción de banquetas, sustitución de guarniciones, bolardos, en Prolongación Av. Guadalupe, de Prolongación Mariano Otero al Arroyo El Garabato, municipio de Zapopan, Jalisco.</v>
          </cell>
          <cell r="AD228">
            <v>42920</v>
          </cell>
          <cell r="AE228">
            <v>42962</v>
          </cell>
        </row>
        <row r="229">
          <cell r="C229" t="str">
            <v>DOPI-MUN-RM-PAV-AD-142-2017</v>
          </cell>
          <cell r="M229" t="str">
            <v>JOSÉ OMAR</v>
          </cell>
          <cell r="N229" t="str">
            <v>FERNÁNDEZ</v>
          </cell>
          <cell r="O229" t="str">
            <v>VÁZQUEZ</v>
          </cell>
          <cell r="P229" t="str">
            <v>EXTRA CONSTRUCCIÓNES, S.A. DE C.V.</v>
          </cell>
          <cell r="Q229" t="str">
            <v>ECO0908115Z7</v>
          </cell>
          <cell r="V229">
            <v>42982</v>
          </cell>
          <cell r="Y229">
            <v>1650254.87</v>
          </cell>
          <cell r="AA229" t="str">
            <v>Pavimentación con adoquín y empedrado tradicional con material producto de recuperación en diferentes vialidades en el municipio de Zapopan, Jalisco, frente 2.</v>
          </cell>
          <cell r="AD229">
            <v>42989</v>
          </cell>
          <cell r="AE229">
            <v>43078</v>
          </cell>
        </row>
        <row r="230">
          <cell r="C230" t="str">
            <v>DOPI-MUN-RM-PROY-AD-143-2017</v>
          </cell>
          <cell r="M230" t="str">
            <v>CARLOS CELSO</v>
          </cell>
          <cell r="N230" t="str">
            <v>GARCÍA</v>
          </cell>
          <cell r="O230" t="str">
            <v>QUINTERO</v>
          </cell>
          <cell r="P230" t="str">
            <v>GRUPO CONSTRUCTOR HISACA, S.A. DE C.V.</v>
          </cell>
          <cell r="Q230" t="str">
            <v>GCH070702SH8</v>
          </cell>
          <cell r="V230">
            <v>42982</v>
          </cell>
          <cell r="Y230">
            <v>542300</v>
          </cell>
          <cell r="AA230" t="str">
            <v>Elaboración de proyecto arquitectónico, acabados e instalaciones eléctricas, voz y datos, hidrosanitarias y gas, aire acondicionado, sonido y gases medicinales para la construcción de la unidad de urgencias de la Cruz Verde, en el kilómetro 1, Carretera a Colotlán, municipio de Zapopan, Jalisco.</v>
          </cell>
          <cell r="AD230">
            <v>42989</v>
          </cell>
          <cell r="AE230">
            <v>43058</v>
          </cell>
        </row>
        <row r="231">
          <cell r="C231" t="str">
            <v>DOPI-MUN-R33R-AP-AD-144-2017</v>
          </cell>
          <cell r="M231" t="str">
            <v>JOSÉ DE JESÚS</v>
          </cell>
          <cell r="N231" t="str">
            <v>PALAFOX</v>
          </cell>
          <cell r="O231" t="str">
            <v>VILLEGAS</v>
          </cell>
          <cell r="P231" t="str">
            <v>MEGAENLACE CONSTRUCCIÓNES S.A. DE C.V.</v>
          </cell>
          <cell r="Q231" t="str">
            <v>MCO1510113H8</v>
          </cell>
          <cell r="V231">
            <v>42944</v>
          </cell>
          <cell r="Y231">
            <v>950235.48</v>
          </cell>
          <cell r="AA231" t="str">
            <v>Construcción de red de agua potable y drenaje sanitario en la calle Ramón López Velarde de calle Pablo Neruda a cerrada, y calle Juan José Arreola de calle Pablo Neruda a cerrada, colonia La Coronilla, municipio de Zapopan, Jalisco.</v>
          </cell>
          <cell r="AD231">
            <v>42945</v>
          </cell>
          <cell r="AE231">
            <v>43028</v>
          </cell>
        </row>
        <row r="232">
          <cell r="C232" t="str">
            <v>DOPI-MUN-R33-IH-AD-163-2017</v>
          </cell>
          <cell r="M232" t="str">
            <v>JOSÉ JAIME</v>
          </cell>
          <cell r="N232" t="str">
            <v>CAMARENA</v>
          </cell>
          <cell r="O232" t="str">
            <v>CORREA</v>
          </cell>
          <cell r="P232" t="str">
            <v>FIRMITAS CONSTRUCTA, S.A. DE C.V.</v>
          </cell>
          <cell r="Q232" t="str">
            <v>FCO110711N24</v>
          </cell>
          <cell r="V232">
            <v>42950</v>
          </cell>
          <cell r="Y232">
            <v>1569323.53</v>
          </cell>
          <cell r="AA232" t="str">
            <v>Revestimiento de canal pluvial y obras de drenaje, sobre calle Pinos de calle Periodistas a calle Fresno, en la colonia Lomas del Centinela, municipio de Zapopan, Jalisco. Primera etapa.</v>
          </cell>
          <cell r="AD232">
            <v>42954</v>
          </cell>
          <cell r="AE232">
            <v>43016</v>
          </cell>
        </row>
        <row r="233">
          <cell r="C233" t="str">
            <v>DOPI-EST-CR-PAV-AD-179-2017</v>
          </cell>
          <cell r="M233" t="str">
            <v>OSCAR</v>
          </cell>
          <cell r="N233" t="str">
            <v>MARTÍNEZ</v>
          </cell>
          <cell r="O233" t="str">
            <v>RODRÍGUEZ</v>
          </cell>
          <cell r="P233" t="str">
            <v>CADACO CONSTRUCCIÓNES, S.A. DE C.V.</v>
          </cell>
          <cell r="Q233" t="str">
            <v>CCO070612CT2</v>
          </cell>
          <cell r="V233">
            <v>42958</v>
          </cell>
          <cell r="Y233">
            <v>956408.83</v>
          </cell>
          <cell r="AA233" t="str">
            <v>Construcción de la primera etapa de la calle Paseo de los Membrillos de Paseo de los Aguacates a Paseo de los Camichines de concreto hidráulico en la zona de la Mesa Colorada, incluye: guarniciones, banquetas, red de agua potable, alcantarillado y servicios complementarios, municipio de Zapopan, Jalisco.</v>
          </cell>
          <cell r="AD233">
            <v>42958</v>
          </cell>
          <cell r="AE233">
            <v>43008</v>
          </cell>
        </row>
        <row r="234">
          <cell r="C234" t="str">
            <v>DOPI-MUN-RM-APDS-180-2017</v>
          </cell>
          <cell r="M234" t="str">
            <v>ERICK</v>
          </cell>
          <cell r="N234" t="str">
            <v>VILLASEÑOR</v>
          </cell>
          <cell r="O234" t="str">
            <v>GUTIÉRREZ</v>
          </cell>
          <cell r="P234" t="str">
            <v>PIXIDE CONSTRUCTORA, S.A. DE C.V.</v>
          </cell>
          <cell r="Q234" t="str">
            <v>PCO140829425</v>
          </cell>
          <cell r="V234">
            <v>42951</v>
          </cell>
          <cell r="Y234">
            <v>1248911.51</v>
          </cell>
          <cell r="AA234" t="str">
            <v>Construcción de línea de impulsión del pozo a tanque de almacenamiento y rehabilitación de tanque superficial de almacenamiento de agua en el Ejido Copalita, municipio de Zapopan, Jalisco.</v>
          </cell>
          <cell r="AD234">
            <v>42954</v>
          </cell>
          <cell r="AE234">
            <v>43008</v>
          </cell>
        </row>
        <row r="235">
          <cell r="C235" t="str">
            <v>DOPI-MUN-R33R-APDS-AD-181-2017</v>
          </cell>
          <cell r="M235" t="str">
            <v>RAFAEL AUGUSTO</v>
          </cell>
          <cell r="N235" t="str">
            <v>CABALLERO</v>
          </cell>
          <cell r="O235" t="str">
            <v>QUIRARTE</v>
          </cell>
          <cell r="P235" t="str">
            <v>PROYECTOS ARQUITECTONICOS TRIANGULO, S.A. DE C.V.</v>
          </cell>
          <cell r="Q235" t="str">
            <v>PAT110331HH0</v>
          </cell>
          <cell r="V235">
            <v>42977</v>
          </cell>
          <cell r="Y235">
            <v>1655035.68</v>
          </cell>
          <cell r="AA235" t="str">
            <v>Construcción de red de agua potable en la calle Colegio Militar, entre Flamingo y Alazan Lucero, colonia La Granja; Construcción de red de drenaje sanitario en la calle Hilo Verde de calle Hilo Blanco a calle Hilo Azul, en la colonia Las Agujas; Construcción de drenaje sanitario en la calle Vista Real de la calle Vista a la Campiña a cerrada, colonia Vista Hermosa, municipio de Zapopan, Jalisco.</v>
          </cell>
          <cell r="AD235">
            <v>42982</v>
          </cell>
          <cell r="AE235">
            <v>43039</v>
          </cell>
        </row>
        <row r="236">
          <cell r="C236" t="str">
            <v>DOPI-MUN-RM-MOV-AD-182-2017</v>
          </cell>
          <cell r="M236" t="str">
            <v>JULIO EDUARDO</v>
          </cell>
          <cell r="N236" t="str">
            <v>LÓPEZ</v>
          </cell>
          <cell r="O236" t="str">
            <v>PÉREZ</v>
          </cell>
          <cell r="P236" t="str">
            <v>PROYECTOS E INSUMOS INDUSTRIALES JELP, S.A. DE C.V.</v>
          </cell>
          <cell r="Q236" t="str">
            <v>PEI020208RW0</v>
          </cell>
          <cell r="V236">
            <v>42920</v>
          </cell>
          <cell r="Y236">
            <v>328518.01</v>
          </cell>
          <cell r="AA236" t="str">
            <v>Señalética horizontal-vertical y obra complementaria en la calle Jalisco de la calle Aldama a la calle San Francisco, en la localidad de Tesistán, municipio de Zapopan, Jalisco.</v>
          </cell>
          <cell r="AD236">
            <v>42926</v>
          </cell>
          <cell r="AE236">
            <v>42962</v>
          </cell>
        </row>
        <row r="237">
          <cell r="C237" t="str">
            <v>DOPI-MUN-R33R-AP-AD-183-2017</v>
          </cell>
          <cell r="M237" t="str">
            <v>MIGUEL ÁNGEL</v>
          </cell>
          <cell r="N237" t="str">
            <v>RUÍZ</v>
          </cell>
          <cell r="O237" t="str">
            <v>CASTAÑEDA</v>
          </cell>
          <cell r="P237" t="str">
            <v>SERVICIOS DE INGENIERIA APLICADA, S.A. DE C.V.</v>
          </cell>
          <cell r="Q237" t="str">
            <v>SIA011224UN1</v>
          </cell>
          <cell r="V237">
            <v>42979</v>
          </cell>
          <cell r="Y237">
            <v>892500.25</v>
          </cell>
          <cell r="AA237" t="str">
            <v>Construcción de red de agua potable en la calle Vicente Guerrero de Pinos a la Av. Agua Fría, Privada Vicente Guerrero, Andador Pinos de Pinos a calle Agua Fría en la colonia Miguel Hidalgo, municipio de Zapopan, Jalisco.</v>
          </cell>
          <cell r="AD237">
            <v>42984</v>
          </cell>
          <cell r="AE237">
            <v>43033</v>
          </cell>
        </row>
        <row r="238">
          <cell r="C238" t="str">
            <v>DOPI-MUN-CUSMAX-SER-AD-204-2017</v>
          </cell>
          <cell r="M238" t="str">
            <v xml:space="preserve">GERARDO </v>
          </cell>
          <cell r="N238" t="str">
            <v>SÁNCHEZ</v>
          </cell>
          <cell r="O238" t="str">
            <v>SENDRA</v>
          </cell>
          <cell r="P238" t="str">
            <v>ESTUDIO PI. S.C.</v>
          </cell>
          <cell r="Q238" t="str">
            <v>EPI070531P51</v>
          </cell>
          <cell r="V238">
            <v>43012</v>
          </cell>
          <cell r="Y238">
            <v>1498350.24</v>
          </cell>
          <cell r="AA238" t="str">
            <v>Proyecto ejecutivo arquitectónico de la primera etapa de integración peatonal y paisaje de espacio público en la zona Andares, en el municipio de Zapopan, Jalisco.</v>
          </cell>
          <cell r="AD238">
            <v>43012</v>
          </cell>
          <cell r="AE238">
            <v>43131</v>
          </cell>
        </row>
        <row r="239">
          <cell r="C239" t="str">
            <v>DOPI-MUN-RM-IS-AD-205-2017</v>
          </cell>
          <cell r="M239" t="str">
            <v>JOSÉ DE JESÚS</v>
          </cell>
          <cell r="N239" t="str">
            <v>ROMERO</v>
          </cell>
          <cell r="O239" t="str">
            <v>GARCÍA</v>
          </cell>
          <cell r="P239" t="str">
            <v>URBANIZADORA Y CONSTRUCTORA ROAL, S.A. DE C.V.</v>
          </cell>
          <cell r="Q239" t="str">
            <v>URC160310857</v>
          </cell>
          <cell r="V239">
            <v>42993</v>
          </cell>
          <cell r="Y239">
            <v>1570922.15</v>
          </cell>
          <cell r="AA239" t="str">
            <v>Adecuación del área de urgencias y obra complementaria en la Cruz Verde Federalismo, municipio de Zapopan, Jalisco.</v>
          </cell>
          <cell r="AD239">
            <v>42996</v>
          </cell>
          <cell r="AE239">
            <v>43049</v>
          </cell>
        </row>
        <row r="240">
          <cell r="C240" t="str">
            <v>DOPI-MUN-FORTA-PAV-AD-206-2017</v>
          </cell>
          <cell r="M240" t="str">
            <v>HUGO ARMANDO</v>
          </cell>
          <cell r="N240" t="str">
            <v>PRIETO</v>
          </cell>
          <cell r="O240" t="str">
            <v>JIMÉNEZ</v>
          </cell>
          <cell r="P240" t="str">
            <v>CONSTRUCTORA RURAL DEL PAIS, S.A. DE C.V.</v>
          </cell>
          <cell r="Q240" t="str">
            <v>CRP870708I62</v>
          </cell>
          <cell r="V240">
            <v>42984</v>
          </cell>
          <cell r="Y240">
            <v>585223.57999999996</v>
          </cell>
          <cell r="AA240" t="str">
            <v>Obra complementaria en la pavimentación de la calle Mármol, de calle Cantera al Arroyo y en la calle Obsidiana, de calle Ópalo a calle Coral, en la Colonia Pedregal de Zapopan (Loma del Pedregal), en Zapopan, Jalisco.</v>
          </cell>
          <cell r="AD240">
            <v>42984</v>
          </cell>
          <cell r="AE240">
            <v>43028</v>
          </cell>
        </row>
        <row r="241">
          <cell r="C241" t="str">
            <v>DOPI-MUN-R33R-AP-AD-207-2017</v>
          </cell>
          <cell r="M241" t="str">
            <v>ROBERTO</v>
          </cell>
          <cell r="N241" t="str">
            <v>FLORES</v>
          </cell>
          <cell r="O241" t="str">
            <v>ARREOLA</v>
          </cell>
          <cell r="P241" t="str">
            <v>ESTUDIOS SISTEMAS Y CONSTRUCCIÓNES, S.A. DE C.V.</v>
          </cell>
          <cell r="Q241" t="str">
            <v>ESC930617KW9</v>
          </cell>
          <cell r="V241">
            <v>43005</v>
          </cell>
          <cell r="Y241">
            <v>1203779.8</v>
          </cell>
          <cell r="AA241" t="str">
            <v>Construcción de red de agua potable del pozo El Trébol a la colonia La Agrícola, en Santa Ana Tepetitlan, Municipio de Zapopan, Jalisco.</v>
          </cell>
          <cell r="AD241">
            <v>43005</v>
          </cell>
          <cell r="AE241">
            <v>43084</v>
          </cell>
        </row>
        <row r="242">
          <cell r="C242" t="str">
            <v>DOPI-MUN-FORTA-CONT-AD-208-2017</v>
          </cell>
          <cell r="M242" t="str">
            <v>EMILIO MIGUEL</v>
          </cell>
          <cell r="N242" t="str">
            <v>ZULOAGA</v>
          </cell>
          <cell r="O242" t="str">
            <v>SAENZ</v>
          </cell>
          <cell r="P242" t="str">
            <v>CONSTRUCTORA Y SERVICIOS NOVACREA, S.A. DE C.V.</v>
          </cell>
          <cell r="Q242" t="str">
            <v>CSN150923FGA</v>
          </cell>
          <cell r="V242">
            <v>43003</v>
          </cell>
          <cell r="Y242">
            <v>625674.23</v>
          </cell>
          <cell r="AA242" t="str">
            <v>Obra emergente para la reconstrucción de muro de contención en el arroyo seco en el tramo de la calle Michoacán a Privada Arroyo y en el tramo de la calle Guanajuato y Tlaxcala a calle Michoacán, en la colonia El Mante, Municipio de Zapopan, Jalisco.</v>
          </cell>
          <cell r="AD242">
            <v>43004</v>
          </cell>
          <cell r="AE242">
            <v>43034</v>
          </cell>
        </row>
        <row r="243">
          <cell r="C243" t="str">
            <v>DOPI-EST-CR-PAV-AD-209-2017</v>
          </cell>
          <cell r="M243" t="str">
            <v>J. JESÚS</v>
          </cell>
          <cell r="N243" t="str">
            <v>CONTRERAS</v>
          </cell>
          <cell r="O243" t="str">
            <v>VILLANUEVA</v>
          </cell>
          <cell r="P243" t="str">
            <v>CONSTRUCCIÓNES COVIMEX, S.A. DE C.V.</v>
          </cell>
          <cell r="Q243" t="str">
            <v>CCO0404226D8</v>
          </cell>
          <cell r="V243">
            <v>43005</v>
          </cell>
          <cell r="Y243">
            <v>940711.37</v>
          </cell>
          <cell r="AA243" t="str">
            <v>Construcción de la segunda etapa de la calle Juárez, de la calle 5 de Mayo a calle Primavera con concreto hidráulico en Santa Ana Tepetitlan, incluye: guarniciones, banquetas, red de agua potable, alcantarillado y alumbrado público, Municipio de Zapopan, Jalisco.</v>
          </cell>
          <cell r="AD243">
            <v>43006</v>
          </cell>
          <cell r="AE243">
            <v>43069</v>
          </cell>
        </row>
        <row r="244">
          <cell r="C244" t="str">
            <v>DOPI-MUN-RM-PROY-AD-210-2017</v>
          </cell>
          <cell r="M244" t="str">
            <v xml:space="preserve">JUAN IGNACIO </v>
          </cell>
          <cell r="N244" t="str">
            <v xml:space="preserve">MICHEL </v>
          </cell>
          <cell r="O244" t="str">
            <v>ZEPEDA</v>
          </cell>
          <cell r="P244" t="str">
            <v>PROTOTIPOS COMPETITIVOS, S.A. DE C.V.</v>
          </cell>
          <cell r="Q244" t="str">
            <v>PCO051124BL2</v>
          </cell>
          <cell r="V244">
            <v>42947</v>
          </cell>
          <cell r="Y244">
            <v>754115.28</v>
          </cell>
          <cell r="AA244" t="str">
            <v>Elaboración de proyecto ejecutivo para la rehabilitación del área infantil y del Parque Unidad de Manejo Ambiental Villa Fantasía, colonia Tepeyac, Municipio de Zapopan, Jalisco.</v>
          </cell>
          <cell r="AD244">
            <v>42948</v>
          </cell>
          <cell r="AE244">
            <v>43054</v>
          </cell>
        </row>
        <row r="245">
          <cell r="C245" t="str">
            <v>DOPI-MUN-R33R-ELE-AD-211-2017</v>
          </cell>
          <cell r="M245" t="str">
            <v>JOSÉ DE JESÚS</v>
          </cell>
          <cell r="N245" t="str">
            <v>MARQUEZ</v>
          </cell>
          <cell r="O245" t="str">
            <v>ÁVILA</v>
          </cell>
          <cell r="P245" t="str">
            <v>FUTUROBRAS, S.A. DE C.V.</v>
          </cell>
          <cell r="Q245" t="str">
            <v>FUT1110275V9</v>
          </cell>
          <cell r="V245">
            <v>43021</v>
          </cell>
          <cell r="Y245">
            <v>1496418.42</v>
          </cell>
          <cell r="AA245" t="str">
            <v>Electrificación en las calles 1ra Norte, 2a Norte, 11a Poniente y 10a Poniente, colonia Jardines de Nuevo México, municipio de Zapopan, Jalisco.</v>
          </cell>
          <cell r="AD245">
            <v>43024</v>
          </cell>
          <cell r="AE245">
            <v>43084</v>
          </cell>
        </row>
        <row r="246">
          <cell r="C246" t="str">
            <v>DOPI-MUN-RM-MOV-AD-212-2017</v>
          </cell>
          <cell r="M246" t="str">
            <v>ANTONIO</v>
          </cell>
          <cell r="N246" t="str">
            <v>CARRILLO</v>
          </cell>
          <cell r="O246" t="str">
            <v>SEGURA</v>
          </cell>
          <cell r="P246" t="str">
            <v>ITERACION, S.A. DE C.V.</v>
          </cell>
          <cell r="Q246" t="str">
            <v>ITE080214UD3</v>
          </cell>
          <cell r="V246">
            <v>43013</v>
          </cell>
          <cell r="Y246">
            <v>591006.87</v>
          </cell>
          <cell r="AA246" t="str">
            <v>Señalética horizontal-vertical y obra complementaria en la Prolongación Laureles de Av. Del Rodeo a Periférico Norte Manuel Gómez Morín, municipio de Zapopan, Jalisco.</v>
          </cell>
          <cell r="AD246">
            <v>43017</v>
          </cell>
          <cell r="AE246">
            <v>43039</v>
          </cell>
        </row>
        <row r="247">
          <cell r="C247" t="str">
            <v>DOPI-EST-CR-PAV-AD-213-2017</v>
          </cell>
          <cell r="M247" t="str">
            <v>FELIPE DANIEL II</v>
          </cell>
          <cell r="N247" t="str">
            <v>NUÑEZ</v>
          </cell>
          <cell r="O247" t="str">
            <v>PINZON</v>
          </cell>
          <cell r="P247" t="str">
            <v>GRUPO NUVECO, S.A. DE C.V.</v>
          </cell>
          <cell r="Q247" t="str">
            <v>GNU120809KX1</v>
          </cell>
          <cell r="V247">
            <v>43011</v>
          </cell>
          <cell r="Y247">
            <v>889217.79</v>
          </cell>
          <cell r="AA247" t="str">
            <v>Construcción de la primera etapa de la calle Elote de calle Chícharo a calle Chícharo con concreto hidráulico en la zona de la Mesa Colorada, incluye: guarniciones, banquetas, red de agua potable, alcantarillado y alumbrado público, municipio de Zapopan, Jalisco.</v>
          </cell>
          <cell r="AD247">
            <v>43018</v>
          </cell>
          <cell r="AE247">
            <v>43084</v>
          </cell>
        </row>
        <row r="248">
          <cell r="C248" t="str">
            <v>DOPI-MUN-CUSMAX-PROY-AD-214-2017</v>
          </cell>
          <cell r="M248" t="str">
            <v xml:space="preserve">RODOLFO </v>
          </cell>
          <cell r="N248" t="str">
            <v xml:space="preserve">VELAZQUEZ </v>
          </cell>
          <cell r="O248" t="str">
            <v>ORDOÑEZ</v>
          </cell>
          <cell r="P248" t="str">
            <v>VELAZQUEZ INGENIERIA ECOLOGICA, S.A. DE C.V.</v>
          </cell>
          <cell r="Q248" t="str">
            <v>VIE110125RL4</v>
          </cell>
          <cell r="V248">
            <v>43017</v>
          </cell>
          <cell r="Y248">
            <v>1394337.14</v>
          </cell>
          <cell r="AA248" t="str">
            <v>Elaboración de proyectos arquitectónicos para diferentes obras del programa Cusmax 2017, frente 1, municipio de Zapopan, Jalisco.</v>
          </cell>
          <cell r="AD248">
            <v>43018</v>
          </cell>
          <cell r="AE248">
            <v>43100</v>
          </cell>
        </row>
        <row r="249">
          <cell r="C249" t="str">
            <v>DOPI-MUN-RM-PROY-AD-215-2017</v>
          </cell>
          <cell r="M249" t="str">
            <v>ENRIQUE FRANCISCO</v>
          </cell>
          <cell r="N249" t="str">
            <v>TOUSSAINT</v>
          </cell>
          <cell r="O249" t="str">
            <v>OCHOA</v>
          </cell>
          <cell r="P249" t="str">
            <v>GRUPO ARQUITECTOS TOUSSAINT Y ORENDAIN SC</v>
          </cell>
          <cell r="Q249" t="str">
            <v>GAT920520R72</v>
          </cell>
          <cell r="V249">
            <v>43017</v>
          </cell>
          <cell r="Y249">
            <v>638122.43999999994</v>
          </cell>
          <cell r="AA249" t="str">
            <v>Elaboración de proyecto ejecutivo para la construcción del parque lineal constituyentes, proyecto arquitectónico para la rehabilitación de la vialidad Constituyentes en el tramo comprendido entre el Centro Cultural Constitución y la Glorieta Gusa, ubicados en la colonia Constitución municipio de Zapopan, Jalisco.</v>
          </cell>
          <cell r="AD249">
            <v>43018</v>
          </cell>
          <cell r="AE249">
            <v>43100</v>
          </cell>
        </row>
        <row r="250">
          <cell r="C250" t="str">
            <v>DOPI-MUN-CUSMAX-SER-AD-229-2017</v>
          </cell>
          <cell r="M250" t="str">
            <v>JUAN FRANCISCO</v>
          </cell>
          <cell r="N250" t="str">
            <v>TOSCANO</v>
          </cell>
          <cell r="O250" t="str">
            <v>LASES</v>
          </cell>
          <cell r="P250" t="str">
            <v>INFOGRAFIA DIGITAL DE OCCIDENTE, S.A. DE C.V.</v>
          </cell>
          <cell r="Q250" t="str">
            <v>IDO100427QG2</v>
          </cell>
          <cell r="V250">
            <v>43017</v>
          </cell>
          <cell r="Y250">
            <v>812650.35</v>
          </cell>
          <cell r="AA250" t="str">
            <v>Diagnóstico y proyecto ejecutivo de las obras a realizar para mitigar los impactos que generará la construcción vertical con incremento del coeficiente de utilización de suelo (CUS) en la zona de Guadalupe – Los Cubos – Jardines Universidad y zona de Plaza del Sol – Loma Bonita, en el municipio de Zapopan, Jalisco.</v>
          </cell>
          <cell r="AD250">
            <v>43018</v>
          </cell>
          <cell r="AE250">
            <v>43109</v>
          </cell>
        </row>
        <row r="251">
          <cell r="C251" t="str">
            <v>DOPI-MUN-RM-BAN-AD-230-2017</v>
          </cell>
          <cell r="M251" t="str">
            <v>MARÍA DE LOURDES</v>
          </cell>
          <cell r="N251" t="str">
            <v xml:space="preserve">CASTAÑEDA </v>
          </cell>
          <cell r="O251" t="str">
            <v>LACARIERE</v>
          </cell>
          <cell r="P251" t="str">
            <v>LACARIERE EDIFICACIONES, S.A. DE C.V.</v>
          </cell>
          <cell r="Q251" t="str">
            <v>LED091006JG1</v>
          </cell>
          <cell r="V251">
            <v>43011</v>
          </cell>
          <cell r="Y251">
            <v>1498650.24</v>
          </cell>
          <cell r="AA251" t="str">
            <v>Peatonalización, construcción de banquetas, sustitución de guarniciones, bolardos, accesibilidad primera etapa en la colonia La Tuzania Ejidal, municipio de Zapopan, Jalisco.</v>
          </cell>
          <cell r="AD251">
            <v>43018</v>
          </cell>
          <cell r="AE251">
            <v>43084</v>
          </cell>
        </row>
        <row r="252">
          <cell r="C252" t="str">
            <v>DOPI-MUN-RM-BAN-AD-231-2017</v>
          </cell>
          <cell r="M252" t="str">
            <v>JOSÉ DE JESÚS</v>
          </cell>
          <cell r="N252" t="str">
            <v>CÁRDENAS</v>
          </cell>
          <cell r="O252" t="str">
            <v xml:space="preserve">SOLÍS </v>
          </cell>
          <cell r="P252" t="str">
            <v>CEIESE CONSTRUCCIÓN Y EDIFICACION, S.A. DE C.V.</v>
          </cell>
          <cell r="Q252" t="str">
            <v>CCE170517HW2</v>
          </cell>
          <cell r="V252">
            <v>43017</v>
          </cell>
          <cell r="Y252">
            <v>1501787.44</v>
          </cell>
          <cell r="AA252" t="str">
            <v>Peatonalización, construcción de banquetas, sustitución de guarniciones, rehabilitación de empedrado, bolardos, accesibilidad,  primera etapa en Cuidad Granja, municipio de Zapopan, Jalisco.</v>
          </cell>
          <cell r="AD252">
            <v>43018</v>
          </cell>
          <cell r="AE252">
            <v>43084</v>
          </cell>
        </row>
        <row r="253">
          <cell r="C253" t="str">
            <v>DOPI-MUN-CUSMAX-BAN-AD-232-2017</v>
          </cell>
          <cell r="M253" t="str">
            <v>ELIZABETH GUADALUPE</v>
          </cell>
          <cell r="N253" t="str">
            <v>LÓPEZ</v>
          </cell>
          <cell r="O253" t="str">
            <v>GUTIÉRREZ</v>
          </cell>
          <cell r="P253" t="str">
            <v>SKIP EDIFICACIONES, S.A. DE C.V.</v>
          </cell>
          <cell r="Q253" t="str">
            <v>SED080712SJ7</v>
          </cell>
          <cell r="V253">
            <v>43013</v>
          </cell>
          <cell r="Y253">
            <v>999802.79</v>
          </cell>
          <cell r="AA253" t="str">
            <v>Primera etapa de la peatonalización en la colonia Los Pinos (incluye: machuelos, banquetas, accesibilidad universal, bolardos y nomenclatura).</v>
          </cell>
          <cell r="AD253">
            <v>43014</v>
          </cell>
          <cell r="AE253">
            <v>43083</v>
          </cell>
        </row>
        <row r="254">
          <cell r="C254" t="str">
            <v>DOPI-MUN-CUSMAX-BAN-AD-233-2017</v>
          </cell>
          <cell r="M254" t="str">
            <v>ROBERTO</v>
          </cell>
          <cell r="N254" t="str">
            <v>FLORES</v>
          </cell>
          <cell r="O254" t="str">
            <v>ARREOLA</v>
          </cell>
          <cell r="P254" t="str">
            <v>ESTUDIOS SISTEMAS Y CONSTRUCCIÓNES, S.A. DE C.V.</v>
          </cell>
          <cell r="Q254" t="str">
            <v>ESC930617KW9</v>
          </cell>
          <cell r="V254">
            <v>43019</v>
          </cell>
          <cell r="Y254">
            <v>1009336.84</v>
          </cell>
          <cell r="AA254" t="str">
            <v>Primera etapa de la peatonalización en la colonia Hacienda de las Lomas (incluye: machuelos, banquetas, accesibilidad universal, bolardos y nomenclatura).</v>
          </cell>
          <cell r="AD254">
            <v>43024</v>
          </cell>
          <cell r="AE254">
            <v>43084</v>
          </cell>
        </row>
        <row r="255">
          <cell r="C255" t="str">
            <v>DOPI-MUN-CUSMAX-BAN-AD-234-2017</v>
          </cell>
          <cell r="M255" t="str">
            <v xml:space="preserve">HUGO ALEJANDRO </v>
          </cell>
          <cell r="N255" t="str">
            <v xml:space="preserve">ALMANZOR </v>
          </cell>
          <cell r="O255" t="str">
            <v>GONZÁLEZ</v>
          </cell>
          <cell r="P255" t="str">
            <v>AL-MANSUR CONSTRUCCIONES, S.A. DE C.V.</v>
          </cell>
          <cell r="Q255" t="str">
            <v>ACO0806185Z3</v>
          </cell>
          <cell r="V255">
            <v>43019</v>
          </cell>
          <cell r="Y255">
            <v>1429650.48</v>
          </cell>
          <cell r="AA255" t="str">
            <v>Primera etapa de la peatonalización en la colonia Jardines de San Ignacio (incluye: machuelos, banquetas, accesibilidad universal, bolardos y nomenclatura).</v>
          </cell>
          <cell r="AD255">
            <v>43024</v>
          </cell>
          <cell r="AE255">
            <v>43084</v>
          </cell>
        </row>
        <row r="256">
          <cell r="C256" t="str">
            <v>DOPI-MUN-RM-BAN-AD-240-2017</v>
          </cell>
          <cell r="M256" t="str">
            <v>GUSTAVO</v>
          </cell>
          <cell r="N256" t="str">
            <v>DURAN</v>
          </cell>
          <cell r="O256" t="str">
            <v>JIMÉNEZ</v>
          </cell>
          <cell r="P256" t="str">
            <v>DURAN JIMÉNEZ ARQUITECTOS Y ASOCIADOS, S.A. DE C.V.</v>
          </cell>
          <cell r="Q256" t="str">
            <v>DJA9405184G7</v>
          </cell>
          <cell r="V256">
            <v>43021</v>
          </cell>
          <cell r="Y256">
            <v>902056.34</v>
          </cell>
          <cell r="AA256" t="str">
            <v>Peatonalización, construcción de banquetas, guarniciones, accesibilidad, bolardos, en el cruce de Av. Acueducto y Av. Patria, reparación de junta de calzada en la Rampa de ingreso al paso elevado de Av. Patria y Av. Acueducto, municipio de Zapopan, Jalisco.</v>
          </cell>
          <cell r="AD256">
            <v>43022</v>
          </cell>
          <cell r="AE256">
            <v>43054</v>
          </cell>
        </row>
        <row r="257">
          <cell r="C257" t="str">
            <v>DOPI-MUN-RM-BAN-AD-241-2017</v>
          </cell>
          <cell r="M257" t="str">
            <v xml:space="preserve">RAFAEL </v>
          </cell>
          <cell r="N257" t="str">
            <v>OROZCO</v>
          </cell>
          <cell r="O257" t="str">
            <v>MARTÍNEZ</v>
          </cell>
          <cell r="P257" t="str">
            <v>CEELE CONSTRUCCIÓNES, S.A. DE C.V.</v>
          </cell>
          <cell r="Q257" t="str">
            <v>CCO020123366</v>
          </cell>
          <cell r="V257">
            <v>43021</v>
          </cell>
          <cell r="Y257">
            <v>205478.36</v>
          </cell>
          <cell r="AA257" t="str">
            <v>Restauración de banquetas a base de piedra sangre de pichón en el ingreso posterior de la Presidencial Municipal, municipio de Zapopan, Jalisco, primera etapa.</v>
          </cell>
          <cell r="AD257">
            <v>43022</v>
          </cell>
          <cell r="AE257">
            <v>43054</v>
          </cell>
        </row>
        <row r="258">
          <cell r="C258" t="str">
            <v>DOPI-MUN-R33R-IS-AD-242-2017</v>
          </cell>
          <cell r="M258" t="str">
            <v>J. JESÚS</v>
          </cell>
          <cell r="N258" t="str">
            <v>CONTRERAS</v>
          </cell>
          <cell r="O258" t="str">
            <v>VILLANUEVA</v>
          </cell>
          <cell r="P258" t="str">
            <v>CONSTRUCCIONES COVIMEX, S.A. DE C.V.</v>
          </cell>
          <cell r="Q258" t="str">
            <v>CCO0404226D8</v>
          </cell>
          <cell r="V258">
            <v>43048</v>
          </cell>
          <cell r="Y258">
            <v>696102.42</v>
          </cell>
          <cell r="AA258" t="str">
            <v>Construcción de red de drenaje en privada Ignacio Sandoval, en la colonia La Tarjea, municipio de Zapopan, Jalisco.</v>
          </cell>
          <cell r="AD258">
            <v>43018</v>
          </cell>
          <cell r="AE258">
            <v>43084</v>
          </cell>
        </row>
        <row r="259">
          <cell r="C259" t="str">
            <v>DOPI-MUN-R33R-IH-AD-243-2017</v>
          </cell>
          <cell r="M259" t="str">
            <v>J. JESÚS</v>
          </cell>
          <cell r="N259" t="str">
            <v>CONTRERAS</v>
          </cell>
          <cell r="O259" t="str">
            <v>VILLANUEVA</v>
          </cell>
          <cell r="P259" t="str">
            <v>CONSTRUCCIONES COVIMEX, S.A. DE C.V.</v>
          </cell>
          <cell r="Q259" t="str">
            <v>CCO0404226D8</v>
          </cell>
          <cell r="V259">
            <v>43048</v>
          </cell>
          <cell r="Y259">
            <v>885779.68</v>
          </cell>
          <cell r="AA259" t="str">
            <v>Construcción de red de drenaje en calle Las Palmas de calle Los Pinos calle Sauce en la colonia El Álamo, municipio de Zapopan, Jalisco.</v>
          </cell>
          <cell r="AD259">
            <v>43018</v>
          </cell>
          <cell r="AE259">
            <v>43084</v>
          </cell>
        </row>
        <row r="260">
          <cell r="C260" t="str">
            <v>DOPI-MUN-RM-MOV-AD-244-2017</v>
          </cell>
          <cell r="M260" t="str">
            <v xml:space="preserve">HUGO RAFAEL </v>
          </cell>
          <cell r="N260" t="str">
            <v>CABRERA</v>
          </cell>
          <cell r="O260" t="str">
            <v>ORTINEZ</v>
          </cell>
          <cell r="P260" t="str">
            <v>HUGO RAFAEL CABRERA ORTINEZ</v>
          </cell>
          <cell r="Q260" t="str">
            <v>CAOH671024T38</v>
          </cell>
          <cell r="V260">
            <v>43024</v>
          </cell>
          <cell r="Y260">
            <v>1306324.03</v>
          </cell>
          <cell r="AA260" t="str">
            <v>Señalización vertical y horizontal en diferentes zonas del municipio de Zapopan, Jalisco, frente 1.</v>
          </cell>
          <cell r="AD260">
            <v>43025</v>
          </cell>
          <cell r="AE260">
            <v>43131</v>
          </cell>
        </row>
        <row r="261">
          <cell r="C261" t="str">
            <v>DOPI-MUN-RM-PROY-AD-245-2017</v>
          </cell>
          <cell r="M261" t="str">
            <v>RICARDO</v>
          </cell>
          <cell r="N261" t="str">
            <v>GONZÁLEZ</v>
          </cell>
          <cell r="O261" t="str">
            <v>CARRANZA</v>
          </cell>
          <cell r="P261" t="str">
            <v>RICARDO GONZÁLEZ CARRANZA</v>
          </cell>
          <cell r="Q261" t="str">
            <v>GOCR801106234</v>
          </cell>
          <cell r="V261">
            <v>43018</v>
          </cell>
          <cell r="Y261">
            <v>445579.2</v>
          </cell>
          <cell r="AA261" t="str">
            <v>Elaboración de proyecto ejecutivo para la construcción de alberca para rehabilitación de niños con fibrosis muscular, municipio de Zapopan, Jalisco.</v>
          </cell>
          <cell r="AD261">
            <v>43019</v>
          </cell>
          <cell r="AE261">
            <v>43063</v>
          </cell>
        </row>
        <row r="262">
          <cell r="C262" t="str">
            <v>DOPI-MUN-RM-IM-AD-246-2017</v>
          </cell>
          <cell r="M262" t="str">
            <v>JESÚS SOCRATES</v>
          </cell>
          <cell r="N262" t="str">
            <v>ZATARAIN</v>
          </cell>
          <cell r="O262" t="str">
            <v>OROZCO</v>
          </cell>
          <cell r="P262" t="str">
            <v>JESÚS SOCRATES ZATARIN OROZCO</v>
          </cell>
          <cell r="Q262" t="str">
            <v>ZAOJ8703019N0</v>
          </cell>
          <cell r="V262">
            <v>43039</v>
          </cell>
          <cell r="Y262">
            <v>602304.06000000006</v>
          </cell>
          <cell r="AA262" t="str">
            <v>Remodelación de módulos de baño, construcción de caseta de ingreso y de área de estacionamiento en las oficinas de catastro ubicadas sobre Periférico Norte y Parres Arias, colonia Parque Industrial Los Belenes, municipio de Zapopan, Jalisco.</v>
          </cell>
          <cell r="AD262">
            <v>43040</v>
          </cell>
          <cell r="AE262">
            <v>43100</v>
          </cell>
        </row>
        <row r="263">
          <cell r="C263" t="str">
            <v>DOPI-MUN-R33R-AP-AD-247-2017</v>
          </cell>
          <cell r="M263" t="str">
            <v>MARÍA DE LOURDES</v>
          </cell>
          <cell r="N263" t="str">
            <v>PARRA</v>
          </cell>
          <cell r="O263" t="str">
            <v>PRECIADO</v>
          </cell>
          <cell r="P263" t="str">
            <v>CONSTRUCTORA CARVGO, S.A. DE C.V.</v>
          </cell>
          <cell r="Q263" t="str">
            <v>CCA121113SY9</v>
          </cell>
          <cell r="V263">
            <v>43024</v>
          </cell>
          <cell r="Y263">
            <v>1020909.89</v>
          </cell>
          <cell r="AA263" t="str">
            <v>Construcción de red de agua potable en la calle Fresno, de la calle Eucalipto a calle Encino, y calle Ciprés de la calle de los Ocotes a cerrada, en la colonia Lomas del Centinela, municipio de Zapopan, Jalisco.</v>
          </cell>
          <cell r="AD263">
            <v>43025</v>
          </cell>
          <cell r="AE263">
            <v>43089</v>
          </cell>
        </row>
        <row r="264">
          <cell r="C264" t="str">
            <v>DOPI-MUN-RM-IM-AD-248-2017</v>
          </cell>
          <cell r="M264" t="str">
            <v>JOSÉ OMAR</v>
          </cell>
          <cell r="N264" t="str">
            <v>FERNÁNDEZ</v>
          </cell>
          <cell r="O264" t="str">
            <v>VÁZQUEZ</v>
          </cell>
          <cell r="P264" t="str">
            <v>JOSÉ OMAR FERNÁNDEZ VÁZQUEZ</v>
          </cell>
          <cell r="Q264" t="str">
            <v>FEVO740619686</v>
          </cell>
          <cell r="V264">
            <v>43019</v>
          </cell>
          <cell r="Y264">
            <v>505254.87</v>
          </cell>
          <cell r="AA264" t="str">
            <v>Construcción de barda perimetral en el Centro de Desarrollo Comunitario número 2 La Venta del Astillero, ubicado en la localidad de la Venta del Astillero; Construcción de barda perimetral poniente en el panteón municipal ubicado en Atemajac, municipio de Zapopan, Jalisco.</v>
          </cell>
          <cell r="AD264">
            <v>43024</v>
          </cell>
          <cell r="AE264">
            <v>43054</v>
          </cell>
        </row>
        <row r="265">
          <cell r="C265" t="str">
            <v>DOPI-MUN-R33R-ELE-AD-252-2017</v>
          </cell>
          <cell r="M265" t="str">
            <v>JOSÉ DE JESÚS</v>
          </cell>
          <cell r="N265" t="str">
            <v>PALAFOX</v>
          </cell>
          <cell r="O265" t="str">
            <v>VILLEGAS</v>
          </cell>
          <cell r="P265" t="str">
            <v>MEGAENLACE CONSTRUCCIÓNES S.A. DE C.V.</v>
          </cell>
          <cell r="Q265" t="str">
            <v>MCO1510113H8</v>
          </cell>
          <cell r="V265">
            <v>43018</v>
          </cell>
          <cell r="Y265">
            <v>393288.1</v>
          </cell>
          <cell r="AA265" t="str">
            <v>Electrificación en las calles Sauce, Ceiba, Pirul y Santa Lucía en la colonia Jardines del Álamo, municipio de Zapopan, Jalisco.</v>
          </cell>
          <cell r="AD265">
            <v>43024</v>
          </cell>
          <cell r="AE265">
            <v>43084</v>
          </cell>
        </row>
        <row r="266">
          <cell r="C266" t="str">
            <v>DOPI-MUN-R33R-ELE-AD-253-2017</v>
          </cell>
          <cell r="M266" t="str">
            <v>JOSÉ DE JESÚS</v>
          </cell>
          <cell r="N266" t="str">
            <v>MARQUEZ</v>
          </cell>
          <cell r="O266" t="str">
            <v>ÁVILA</v>
          </cell>
          <cell r="P266" t="str">
            <v>FUTUROBRAS, S.A. DE C.V.</v>
          </cell>
          <cell r="Q266" t="str">
            <v>FUT1110275V9</v>
          </cell>
          <cell r="V266">
            <v>43021</v>
          </cell>
          <cell r="Y266">
            <v>868664.89</v>
          </cell>
          <cell r="AA266" t="str">
            <v>Construcción de electrificación y servicios complementarios en las calles Eucalipto de Fresno a Luis Tejeda, Ciprés de Azteca a Camino a la Meza, Aztecas de Ciprés a Roble, Daniel Duarte de Eucalipto a la Meza, Humberto Chavira de Eucalipto a camino a la Meza, Las Torres de las Palmas a Carlos Rivera Aceves, José Bañuelos Guardado de las Torres a Humberto Chavira en la colonia Lomas de Centinela, municipio de Zapopan, Jalisco.</v>
          </cell>
          <cell r="AD266">
            <v>43024</v>
          </cell>
          <cell r="AE266">
            <v>43084</v>
          </cell>
        </row>
        <row r="267">
          <cell r="C267" t="str">
            <v>DOPI-MUN-RM-PAV-AD-273-2017</v>
          </cell>
          <cell r="M267" t="str">
            <v>JUAN RAMÓN</v>
          </cell>
          <cell r="N267" t="str">
            <v>RAMÍREZ</v>
          </cell>
          <cell r="O267" t="str">
            <v>ALATORRE</v>
          </cell>
          <cell r="P267" t="str">
            <v>QUERCUS GEOSOLUCIONES, S.A. DE C.V.</v>
          </cell>
          <cell r="Q267" t="str">
            <v>QGE080213988</v>
          </cell>
          <cell r="V267">
            <v>42991</v>
          </cell>
          <cell r="Y267">
            <v>1558361.13</v>
          </cell>
          <cell r="AA267" t="str">
            <v>Construcción de pavimento de concreto hidráulico, incluye: agua potable, alcantarillado, guarniciones, banquetas, accesibilidad, servicios complementarios y forestación, en la prolongación Naranjos, colonia Rancho El Centinela, municipio de Zapopan, Jalisco.</v>
          </cell>
          <cell r="AD267">
            <v>42996</v>
          </cell>
          <cell r="AE267">
            <v>43066</v>
          </cell>
        </row>
        <row r="268">
          <cell r="C268" t="str">
            <v>DOPI-MUN-CUSMAX-SERV-AD-274-2017</v>
          </cell>
          <cell r="M268" t="str">
            <v>JUAN RAMÓN</v>
          </cell>
          <cell r="N268" t="str">
            <v>RAMÍREZ</v>
          </cell>
          <cell r="O268" t="str">
            <v>ALATORRE</v>
          </cell>
          <cell r="P268" t="str">
            <v>QUERCUS GEOSOLUCIONES, S.A. DE C.V.</v>
          </cell>
          <cell r="Q268" t="str">
            <v>QGE080213988</v>
          </cell>
          <cell r="V268">
            <v>43012</v>
          </cell>
          <cell r="Y268">
            <v>442448.03</v>
          </cell>
          <cell r="AA268" t="str">
            <v>Informe preventivo de impacto ambiental para la integración peatonal y paisaje de espacio público en la zona de andares y estudio de la manifestación de impacto ambiental para la construcción del parque lineal en la Av. Patria, municipio de Zapopan, Jalisco.</v>
          </cell>
          <cell r="AD268">
            <v>43012</v>
          </cell>
          <cell r="AE268">
            <v>43100</v>
          </cell>
        </row>
        <row r="269">
          <cell r="C269" t="str">
            <v>DOPI-MUN-RM-SERV-AD-275-2017</v>
          </cell>
          <cell r="M269" t="str">
            <v>JUAN RAMÓN</v>
          </cell>
          <cell r="N269" t="str">
            <v>RAMÍREZ</v>
          </cell>
          <cell r="O269" t="str">
            <v>ALATORRE</v>
          </cell>
          <cell r="P269" t="str">
            <v>QUERCUS GEOSOLUCIONES, S.A. DE C.V.</v>
          </cell>
          <cell r="Q269" t="str">
            <v>QGE080213988</v>
          </cell>
          <cell r="V269">
            <v>43054</v>
          </cell>
          <cell r="Y269">
            <v>247885.53</v>
          </cell>
          <cell r="AA269" t="str">
            <v>Estudio de la manifestación de impacto ambiental del CDC de la colonia Miramar y de la rehabilitación del banco de material geológico en el relleno sanitario picachos, municipio de Zapopan, Jalisco.</v>
          </cell>
          <cell r="AD269">
            <v>43054</v>
          </cell>
          <cell r="AE269">
            <v>43100</v>
          </cell>
        </row>
        <row r="270">
          <cell r="C270" t="str">
            <v>DOPI-MUN-RM-IH-AD-276-2017</v>
          </cell>
          <cell r="M270" t="str">
            <v>SERGIO</v>
          </cell>
          <cell r="N270" t="str">
            <v>HERNÁNDEZ</v>
          </cell>
          <cell r="O270" t="str">
            <v>RUÍZ</v>
          </cell>
          <cell r="P270" t="str">
            <v>RIVERA CONSTRUCCIÓNES, S.A. DE C.V.</v>
          </cell>
          <cell r="Q270" t="str">
            <v>RCO820921T66</v>
          </cell>
          <cell r="V270">
            <v>43038</v>
          </cell>
          <cell r="Y270">
            <v>1715478.16</v>
          </cell>
          <cell r="AA270" t="str">
            <v>Construcción de sistema pluvial a base de bocas de tormenta y pozo de infiltración, en diferentes zonas del municipio de Zapopan, Jalisco, primera etapa.</v>
          </cell>
          <cell r="AD270">
            <v>43040</v>
          </cell>
          <cell r="AE270">
            <v>43084</v>
          </cell>
        </row>
        <row r="271">
          <cell r="C271" t="str">
            <v>DOPI-MUN-RM-IM-AD-277-2017</v>
          </cell>
          <cell r="M271" t="str">
            <v xml:space="preserve">RAFAEL </v>
          </cell>
          <cell r="N271" t="str">
            <v>ARREGUIN</v>
          </cell>
          <cell r="O271" t="str">
            <v>RENTERIA</v>
          </cell>
          <cell r="P271" t="str">
            <v xml:space="preserve">ARH DESARROLLOS INMOBILIARIOS, S.A. DE C.V. </v>
          </cell>
          <cell r="Q271" t="str">
            <v>ADI130522MB7</v>
          </cell>
          <cell r="V271">
            <v>43066</v>
          </cell>
          <cell r="Y271">
            <v>1454175.38</v>
          </cell>
          <cell r="AA271" t="str">
            <v>Trabajos de albañilería, herrería, instalaciones eléctricas, hidrosanitarias y de gas, en el Centro de Desarrollo Infantil No. 8 María Jaime Franco, ubicado en la localidad de Santa Ana Tepetitlán, municipio de Zapopan, Jalisco.</v>
          </cell>
          <cell r="AD271">
            <v>43066</v>
          </cell>
          <cell r="AE271">
            <v>43110</v>
          </cell>
        </row>
        <row r="272">
          <cell r="C272" t="str">
            <v>DOPI-MUN-RM-SERV-AD-278-2017</v>
          </cell>
          <cell r="M272" t="str">
            <v>ANDRÉS</v>
          </cell>
          <cell r="N272" t="str">
            <v>ESCOBEDO</v>
          </cell>
          <cell r="O272" t="str">
            <v>LÓPEZ</v>
          </cell>
          <cell r="P272" t="str">
            <v>ANDRÉS ESCOBEDO LÓPEZ</v>
          </cell>
          <cell r="Q272" t="str">
            <v>EOLA770418BX6</v>
          </cell>
          <cell r="V272">
            <v>43049</v>
          </cell>
          <cell r="Y272">
            <v>826853.74</v>
          </cell>
          <cell r="AA272" t="str">
            <v>Elaboración de dictámenes estructurales y levantamientos arquitectónicos de diferentes Centros de Desarrollo Infantil del DIF, municipio de Zapopan, Jalisco.</v>
          </cell>
          <cell r="AD272">
            <v>43052</v>
          </cell>
          <cell r="AE272">
            <v>43100</v>
          </cell>
        </row>
        <row r="273">
          <cell r="C273" t="str">
            <v>DOPI-MUN-RM-SERV-AD-279-2017</v>
          </cell>
          <cell r="M273" t="str">
            <v>GABRIEL</v>
          </cell>
          <cell r="N273" t="str">
            <v xml:space="preserve">FRANCO </v>
          </cell>
          <cell r="O273" t="str">
            <v>ALATORRE</v>
          </cell>
          <cell r="P273" t="str">
            <v>CONSTRUCTORA DE OCCIDENTE MS, S.A. DE C.V.</v>
          </cell>
          <cell r="Q273" t="str">
            <v>COM141015F48</v>
          </cell>
          <cell r="V273">
            <v>43055</v>
          </cell>
          <cell r="Y273">
            <v>1320415.74</v>
          </cell>
          <cell r="AA273" t="str">
            <v>Estudios básicos topográficos para diferentes proyectos 2017, frente 2, del municipio de Zapopan, Jalisco.</v>
          </cell>
          <cell r="AD273">
            <v>43056</v>
          </cell>
          <cell r="AE273">
            <v>43208</v>
          </cell>
        </row>
        <row r="274">
          <cell r="C274" t="str">
            <v>DOPI-MUN-CUSMAX-PROY-AD-280-2017</v>
          </cell>
          <cell r="M274" t="str">
            <v>JOSÉ ANTONIO</v>
          </cell>
          <cell r="N274" t="str">
            <v>CISNEROS</v>
          </cell>
          <cell r="O274" t="str">
            <v>CASTILLO</v>
          </cell>
          <cell r="P274" t="str">
            <v>AXIOMA PROYECTOS E INGENIERIA, S.A. DE C.V.</v>
          </cell>
          <cell r="Q274" t="str">
            <v>APE111122MI0</v>
          </cell>
          <cell r="V274">
            <v>43010</v>
          </cell>
          <cell r="Y274">
            <v>1285965.22</v>
          </cell>
          <cell r="AA274" t="str">
            <v>Elaboración de proyectos arquitectónicos para diferentes obras del programa Cusmax 2017, frente 2, municipio de Zapopan, Jalisco.</v>
          </cell>
          <cell r="AD274">
            <v>43010</v>
          </cell>
          <cell r="AE274">
            <v>43092</v>
          </cell>
        </row>
        <row r="275">
          <cell r="C275" t="str">
            <v>DOPI-MUN-CUSMAX-BAN-AD-281-2017</v>
          </cell>
          <cell r="M275" t="str">
            <v>ROBERTO</v>
          </cell>
          <cell r="N275" t="str">
            <v>FLORES</v>
          </cell>
          <cell r="O275" t="str">
            <v>ARREOLA</v>
          </cell>
          <cell r="P275" t="str">
            <v>ESTUDIOS SISTEMAS Y CONSTRUCCIÓNES, S.A. DE C.V.</v>
          </cell>
          <cell r="Q275" t="str">
            <v>ESC930617KW9</v>
          </cell>
          <cell r="V275">
            <v>43054</v>
          </cell>
          <cell r="Y275">
            <v>1009336.83</v>
          </cell>
          <cell r="AA275" t="str">
            <v>Primera etapa de la peatonalización en la colonia Hacienda de las Lomas (incluye: machuelos, banquetas, accesibilidad universal, bolardos y nomenclatura), municipio de Zapopan, Jalisco.</v>
          </cell>
          <cell r="AD275">
            <v>43054</v>
          </cell>
          <cell r="AE275">
            <v>43131</v>
          </cell>
        </row>
        <row r="276">
          <cell r="C276" t="str">
            <v>DOPI-MUN-RM-IE-AD-322-2017</v>
          </cell>
          <cell r="M276" t="str">
            <v>J. GERARDO</v>
          </cell>
          <cell r="N276" t="str">
            <v>NICANOR</v>
          </cell>
          <cell r="O276" t="str">
            <v>MEJIA MARISCAL</v>
          </cell>
          <cell r="P276" t="str">
            <v>INECO CONSTRUYE, S.A. DE C.V.</v>
          </cell>
          <cell r="Q276" t="str">
            <v>ICO980722MQ4</v>
          </cell>
          <cell r="V276">
            <v>43045</v>
          </cell>
          <cell r="Y276">
            <v>1664033.71</v>
          </cell>
          <cell r="AA276" t="str">
            <v>Reforzamiento Complementario de estructuras con lonarias en la Escuela Primaria 5 de Mayo y Bernardo Ortíz de Montellano, matricula 642, colonia Misión del Bosque; Escuela Primaria Rural Luis Pérez Verdía, matricula 220, colonia San Francisco de Ixcatán; Escuela Primaria Rural Mariano Azuela, matricula 198, colonia Río Blanco; Escuela Primaria Rural Miguel Hidalgo y Costilla, matricula 140, Ampliación de Copala, municipio de Zapopan, Jalisco.</v>
          </cell>
          <cell r="AD276">
            <v>43045</v>
          </cell>
          <cell r="AE276">
            <v>43100</v>
          </cell>
        </row>
        <row r="277">
          <cell r="C277" t="str">
            <v>DOPI-MUN-RM-IH-AD-323-2017</v>
          </cell>
          <cell r="M277" t="str">
            <v>CLAUDIO FELIPE</v>
          </cell>
          <cell r="N277" t="str">
            <v>TRUJILLO</v>
          </cell>
          <cell r="O277" t="str">
            <v>GRACIAN</v>
          </cell>
          <cell r="P277" t="str">
            <v>DESARROLLADORA LUMADI, S.A. DE C.V.</v>
          </cell>
          <cell r="Q277" t="str">
            <v>DLU100818F46</v>
          </cell>
          <cell r="V277">
            <v>43040</v>
          </cell>
          <cell r="Y277">
            <v>1218435.67</v>
          </cell>
          <cell r="AA277" t="str">
            <v>Construcción de Adecuaciones hidráulicas en la línea de agua potable y alcantarillado en la calle Rizo Ayala y paseo de Las Araucarias y obra civil complementaria, Municipio de Zapopan, Jalisco.</v>
          </cell>
          <cell r="AD277">
            <v>43040</v>
          </cell>
          <cell r="AE277">
            <v>43084</v>
          </cell>
        </row>
        <row r="278">
          <cell r="C278" t="str">
            <v>DOPI-MUN-RM-EP-AD-324-2017</v>
          </cell>
          <cell r="M278" t="str">
            <v>ARTURO</v>
          </cell>
          <cell r="N278" t="str">
            <v>RÁNGEL</v>
          </cell>
          <cell r="O278" t="str">
            <v>PAEZ</v>
          </cell>
          <cell r="P278" t="str">
            <v>CONSTRUCTORA LASA, S.A. DE C.V.</v>
          </cell>
          <cell r="Q278" t="str">
            <v>CLA890925ER5</v>
          </cell>
          <cell r="V278">
            <v>43040</v>
          </cell>
          <cell r="Y278">
            <v>1710522.15</v>
          </cell>
          <cell r="AA278" t="str">
            <v>Construcción de plazoleta, cruceros seguros, mobiliario y obra complementaria en el Andador Rizo Ayala, Municipio de Zapopan, Jalisco.</v>
          </cell>
          <cell r="AD278">
            <v>43040</v>
          </cell>
          <cell r="AE278">
            <v>43084</v>
          </cell>
        </row>
        <row r="279">
          <cell r="C279" t="str">
            <v>DOPI-MUN-RM-IU-AD-325-2017</v>
          </cell>
          <cell r="M279" t="str">
            <v>WILLIAMS PATRICKS</v>
          </cell>
          <cell r="N279" t="str">
            <v>GIL</v>
          </cell>
          <cell r="O279" t="str">
            <v>PÉREZ</v>
          </cell>
          <cell r="P279" t="str">
            <v>GP WILLIAMS ADMON, S.A. DE C.V.</v>
          </cell>
          <cell r="Q279" t="str">
            <v>GWA141209KG7</v>
          </cell>
          <cell r="V279">
            <v>43063</v>
          </cell>
          <cell r="Y279">
            <v>1650458.56</v>
          </cell>
          <cell r="AA279" t="str">
            <v>Segunda etapa de la renovación de imagen urbana en la colonia Díaz Ordaz, municipio de Zapopan, Jalisco</v>
          </cell>
          <cell r="AD279">
            <v>43063</v>
          </cell>
          <cell r="AE279">
            <v>43145</v>
          </cell>
        </row>
        <row r="280">
          <cell r="C280" t="str">
            <v>DOPI-MUN-RM-PAV-AD-326-2017</v>
          </cell>
          <cell r="M280" t="str">
            <v>ALEX</v>
          </cell>
          <cell r="N280" t="str">
            <v>MEDINA</v>
          </cell>
          <cell r="O280" t="str">
            <v>GÓMEZ</v>
          </cell>
          <cell r="P280" t="str">
            <v>MEDGAR CONSTRUCCIONES, S.A. DE C.V.</v>
          </cell>
          <cell r="Q280" t="str">
            <v>MCO150527NY3</v>
          </cell>
          <cell r="V280">
            <v>43031</v>
          </cell>
          <cell r="Y280">
            <v>1705874.36</v>
          </cell>
          <cell r="AA280" t="str">
            <v>Renivelación con mezcla asfáltica de vialidades, en las colonias Girasoles Elite y Las Casitas, municipio de Zapopan, Jalisco.</v>
          </cell>
          <cell r="AD280">
            <v>43031</v>
          </cell>
          <cell r="AE280">
            <v>43100</v>
          </cell>
        </row>
        <row r="281">
          <cell r="C281" t="str">
            <v>DOPI-MUN-RM-IM-AD-327-2017</v>
          </cell>
          <cell r="M281" t="str">
            <v>ALFREDO</v>
          </cell>
          <cell r="N281" t="str">
            <v>FLORES</v>
          </cell>
          <cell r="O281" t="str">
            <v>CHÁVEZ</v>
          </cell>
          <cell r="P281" t="str">
            <v>ALFREDO FLORES CHÁVEZ</v>
          </cell>
          <cell r="Q281" t="str">
            <v>FOCA830904HT8</v>
          </cell>
          <cell r="V281">
            <v>43046</v>
          </cell>
          <cell r="Y281">
            <v>1436854.75</v>
          </cell>
          <cell r="AA281" t="str">
            <v>Rehabilitación del Centro Comunitario en la colonia el Colli CTM, Municipio de Zapopan, Jalisco.</v>
          </cell>
          <cell r="AD281">
            <v>43046</v>
          </cell>
          <cell r="AE281">
            <v>43146</v>
          </cell>
        </row>
        <row r="282">
          <cell r="C282" t="str">
            <v>DOPI-MUN-RM-BAN-AD-328-2017</v>
          </cell>
          <cell r="M282" t="str">
            <v>ESTEBAN</v>
          </cell>
          <cell r="N282" t="str">
            <v>PÉREZ</v>
          </cell>
          <cell r="O282" t="str">
            <v>MUÑOZ</v>
          </cell>
          <cell r="P282" t="str">
            <v>GRUPO PG CONSTRUCTORES Y SUPERVISORES, S.A. DE C.V.</v>
          </cell>
          <cell r="Q282" t="str">
            <v>GPC110927671</v>
          </cell>
          <cell r="V282">
            <v>43024</v>
          </cell>
          <cell r="Y282">
            <v>1554169.12</v>
          </cell>
          <cell r="AA282" t="str">
            <v>Peatonalización, construcción de banquetas sustitución de guarniciones, bolardos, accesibilidad, primera etapa en la Colonia Tabachines, Municipio de Zapopan, Jalisco.</v>
          </cell>
          <cell r="AD282">
            <v>43024</v>
          </cell>
          <cell r="AE282">
            <v>43084</v>
          </cell>
        </row>
        <row r="283">
          <cell r="C283" t="str">
            <v>DOPI-MUN-RM-IM-AD-329-2017</v>
          </cell>
          <cell r="M283" t="str">
            <v>ERICK</v>
          </cell>
          <cell r="N283" t="str">
            <v>VILLASEÑOR</v>
          </cell>
          <cell r="O283" t="str">
            <v>GUTIÉRREZ</v>
          </cell>
          <cell r="P283" t="str">
            <v>PIXIDE CONSTRUCTORA, S.A. DE C.V.</v>
          </cell>
          <cell r="Q283" t="str">
            <v>PCO140829425</v>
          </cell>
          <cell r="V283">
            <v>43042</v>
          </cell>
          <cell r="Y283">
            <v>1664300.46</v>
          </cell>
          <cell r="AA283" t="str">
            <v>Rehabilitación y equipamiento del sistema de trampas de grasa, albañilería y acabados, en el área de carnicerías del mercado municipal Atemajac, municipio de Zapopan, Jalisco.</v>
          </cell>
          <cell r="AD283">
            <v>43042</v>
          </cell>
          <cell r="AE283">
            <v>43084</v>
          </cell>
        </row>
        <row r="284">
          <cell r="C284" t="str">
            <v>DOPI-MUN-RM-PROY-AD-330-2017</v>
          </cell>
          <cell r="M284" t="str">
            <v>JAVIER</v>
          </cell>
          <cell r="N284" t="str">
            <v xml:space="preserve">ÁVILA </v>
          </cell>
          <cell r="O284" t="str">
            <v>FLORES</v>
          </cell>
          <cell r="P284" t="str">
            <v>SAVHO CONSULTORÍA Y CONSTRUCCIÓN, S.A. DE C.V.</v>
          </cell>
          <cell r="Q284" t="str">
            <v>SCC060622HZ3</v>
          </cell>
          <cell r="V284">
            <v>43031</v>
          </cell>
          <cell r="Y284">
            <v>976825.88</v>
          </cell>
          <cell r="AA284" t="str">
            <v>Diagnóstico, diseño y proyectos hidráulicos 2017, frente 1, de diferentes redes de agua potable y alcantarillado, municipio de Zapopan Jalisco.</v>
          </cell>
          <cell r="AD284">
            <v>43031</v>
          </cell>
          <cell r="AE284">
            <v>43131</v>
          </cell>
        </row>
        <row r="285">
          <cell r="C285" t="str">
            <v>DOPI-MUN-CUSMAX-PROY-AD-332-2017</v>
          </cell>
          <cell r="M285" t="str">
            <v>CARLOS ALBERTO</v>
          </cell>
          <cell r="N285" t="str">
            <v>VILLASEÑOR</v>
          </cell>
          <cell r="O285" t="str">
            <v>NÚÑEZ</v>
          </cell>
          <cell r="P285" t="str">
            <v>MTQ DE MÉXICO, S.A. DE C.V.</v>
          </cell>
          <cell r="Q285" t="str">
            <v>MME011214IV5</v>
          </cell>
          <cell r="V285">
            <v>43060</v>
          </cell>
          <cell r="Y285">
            <v>996458.25</v>
          </cell>
          <cell r="AA285" t="str">
            <v>Elaboración de proyecto ejecutivo para la construcción de Estación de Bomberos en Circuito Andares, municipio de Zapopan, Jalisco.</v>
          </cell>
          <cell r="AD285">
            <v>43060</v>
          </cell>
          <cell r="AE285">
            <v>43146</v>
          </cell>
        </row>
        <row r="286">
          <cell r="C286" t="str">
            <v>DOPI-MUN-CUSMAX-IM-AD-334-2017</v>
          </cell>
          <cell r="M286" t="str">
            <v>JUAN ALFONSO</v>
          </cell>
          <cell r="N286" t="str">
            <v>BELLON</v>
          </cell>
          <cell r="O286" t="str">
            <v>CÁRDENAS</v>
          </cell>
          <cell r="P286" t="str">
            <v>PROYECTOS Y CONSTRUCCIÓNES BELA, S.A. DE C.V.</v>
          </cell>
          <cell r="Q286" t="str">
            <v>PYC130626TA7</v>
          </cell>
          <cell r="V286">
            <v>43049</v>
          </cell>
          <cell r="Y286">
            <v>485258.58</v>
          </cell>
          <cell r="AA286" t="str">
            <v>Rehabilitación de la Barda en la Unidad Deportiva Lagos del Country, ubicada sobre la calle Laguna de Términos, colonia Lagos del Country, municipio de Zapopan, Jalisco.</v>
          </cell>
          <cell r="AD286">
            <v>43049</v>
          </cell>
          <cell r="AE286">
            <v>43130</v>
          </cell>
        </row>
        <row r="287">
          <cell r="C287" t="str">
            <v>DOPI-MUN-CUSMAX-IH-AD-335-2017</v>
          </cell>
          <cell r="M287" t="str">
            <v>HÉCTOR ANDRÉS</v>
          </cell>
          <cell r="N287" t="str">
            <v>VALADES</v>
          </cell>
          <cell r="O287" t="str">
            <v>SÁNCHEZ</v>
          </cell>
          <cell r="P287" t="str">
            <v>CONSTRUMOVA, S.A. P.I. DE C.V.</v>
          </cell>
          <cell r="Q287" t="str">
            <v>CON130531FB8</v>
          </cell>
          <cell r="V287">
            <v>43063</v>
          </cell>
          <cell r="Y287">
            <v>997254.59</v>
          </cell>
          <cell r="AA287" t="str">
            <v>Construcción de bocas de tormenta, modificación de rasantes en crucero y construcción de pozos de absorción en la privada Manuel M. Diéguez en su cruce con la calle Dr. Alberto Román, municipio de Zapopan, Jalisco.</v>
          </cell>
          <cell r="AD287">
            <v>43063</v>
          </cell>
          <cell r="AE287">
            <v>43131</v>
          </cell>
        </row>
        <row r="288">
          <cell r="C288" t="str">
            <v>DOPI-MUN-RM-PAV-AD-336-2017</v>
          </cell>
          <cell r="M288" t="str">
            <v>JOSÉ OMAR</v>
          </cell>
          <cell r="N288" t="str">
            <v>FERNÁNDEZ</v>
          </cell>
          <cell r="O288" t="str">
            <v>VÁZQUEZ</v>
          </cell>
          <cell r="P288" t="str">
            <v>JOSÉ OMAR FERNÁNDEZ VÁZQUEZ</v>
          </cell>
          <cell r="Q288" t="str">
            <v>FEVO740619686</v>
          </cell>
          <cell r="V288">
            <v>43042</v>
          </cell>
          <cell r="Y288">
            <v>1680442.12</v>
          </cell>
          <cell r="AA288" t="str">
            <v>Pavimentación con adoquín y empedrado tradicional con material producto de recuperación en diferentes vialidades en el municipio de Zapopan, Jalisco, frente 3.</v>
          </cell>
          <cell r="AD288">
            <v>43042</v>
          </cell>
          <cell r="AE288">
            <v>43131</v>
          </cell>
        </row>
        <row r="289">
          <cell r="C289" t="str">
            <v>DOPI-MUN-CUSMAX-PROY-AD-337-2017</v>
          </cell>
          <cell r="M289" t="str">
            <v>SERGIO ALEJANDRO</v>
          </cell>
          <cell r="N289" t="str">
            <v>LARIOS</v>
          </cell>
          <cell r="O289" t="str">
            <v>VIRGEN</v>
          </cell>
          <cell r="P289" t="str">
            <v xml:space="preserve">ESTUDIOS, PROYECTOS Y SEÑALIZACION VIAL, S.A. DE C.V. </v>
          </cell>
          <cell r="Q289" t="str">
            <v>EPS040708MA2</v>
          </cell>
          <cell r="V289">
            <v>43018</v>
          </cell>
          <cell r="Y289">
            <v>491840</v>
          </cell>
          <cell r="AA289" t="str">
            <v>Elaboración de proyecto geométrico ejecutivo de cruceros seguros en el corredor de la Av. Patria -  Av. Acueducto, municipio de Zapopan, Jalisco</v>
          </cell>
          <cell r="AD289">
            <v>43018</v>
          </cell>
          <cell r="AE289">
            <v>43100</v>
          </cell>
        </row>
        <row r="290">
          <cell r="C290" t="str">
            <v>DOPI-MUN-CUSMAX-PROY-AD-338-2017</v>
          </cell>
          <cell r="M290" t="str">
            <v xml:space="preserve">CARLOS ISRAEL </v>
          </cell>
          <cell r="N290" t="str">
            <v>JAUREGUI</v>
          </cell>
          <cell r="O290" t="str">
            <v xml:space="preserve"> GOMEZ</v>
          </cell>
          <cell r="P290" t="str">
            <v>CARJAU, S.A. DE C.V.</v>
          </cell>
          <cell r="Q290" t="str">
            <v>CAR041213BM6</v>
          </cell>
          <cell r="V290">
            <v>43066</v>
          </cell>
          <cell r="Y290">
            <v>95898.49</v>
          </cell>
          <cell r="AA290" t="str">
            <v>Elaboración de proyecto ejecutivo para iluminación del parque lineal Patria, en el tramo de Av. Acueducto a Av. Américas, municipio de Zapopan, Jalisco.</v>
          </cell>
          <cell r="AD290">
            <v>43066</v>
          </cell>
          <cell r="AE290">
            <v>43131</v>
          </cell>
        </row>
        <row r="291">
          <cell r="C291" t="str">
            <v>DOPI-MUN-CUSMAX-PROY-AD-339-2017</v>
          </cell>
          <cell r="M291" t="str">
            <v>FRANCISCA ELVIA</v>
          </cell>
          <cell r="N291" t="str">
            <v>RUBIO</v>
          </cell>
          <cell r="O291" t="str">
            <v>MONTES</v>
          </cell>
          <cell r="P291" t="str">
            <v>INFRAESTRUCTURA HIDRAULICA Y SERVICIOS, S.A. DE C.V.</v>
          </cell>
          <cell r="Q291" t="str">
            <v>IHS9809171R9</v>
          </cell>
          <cell r="V291">
            <v>43084</v>
          </cell>
          <cell r="Y291">
            <v>248650.88</v>
          </cell>
          <cell r="AA291" t="str">
            <v>Elaboración de proyecto ejecutivo hidráulico del parque lineal Patria, municipio de Zapopan, Jalisco.</v>
          </cell>
          <cell r="AD291">
            <v>43084</v>
          </cell>
          <cell r="AE291">
            <v>43131</v>
          </cell>
        </row>
        <row r="292">
          <cell r="C292" t="str">
            <v>DOPI-MUN-RM-IE-AD-340-2017</v>
          </cell>
          <cell r="M292" t="str">
            <v>WILLIAMS PATRICKS</v>
          </cell>
          <cell r="N292" t="str">
            <v>GIL</v>
          </cell>
          <cell r="O292" t="str">
            <v>PÉREZ</v>
          </cell>
          <cell r="P292" t="str">
            <v>GP WILLIAMS ADMON, S.A. DE C.V.</v>
          </cell>
          <cell r="Q292" t="str">
            <v>GWA141209KG7</v>
          </cell>
          <cell r="V292">
            <v>43084</v>
          </cell>
          <cell r="Y292">
            <v>1558918.75</v>
          </cell>
          <cell r="AA292" t="str">
            <v>Estructuras con lonaria, carpintería, acabados, y cancelería, en el CDI del DIF No. 8 María Jaime Franco, ubicado en Santa Ana Tepetitlán, municipio de Zapopan, Jalisco.</v>
          </cell>
          <cell r="AD292">
            <v>43084</v>
          </cell>
          <cell r="AE292">
            <v>43131</v>
          </cell>
        </row>
        <row r="293">
          <cell r="C293" t="str">
            <v>DOPI-MUN-R33-DS-AD-341-2017</v>
          </cell>
          <cell r="M293" t="str">
            <v>MAXIMILIANO</v>
          </cell>
          <cell r="N293" t="str">
            <v>TORRES</v>
          </cell>
          <cell r="O293" t="str">
            <v>LÓPEZ</v>
          </cell>
          <cell r="P293" t="str">
            <v>GRUPO CONSTRUCTOR STRADE, S.A. DE C.V.</v>
          </cell>
          <cell r="Q293" t="str">
            <v>GCS080902S44</v>
          </cell>
          <cell r="V293">
            <v>43045</v>
          </cell>
          <cell r="Y293">
            <v>1620156.15</v>
          </cell>
          <cell r="AA293" t="str">
            <v>Construcción de colector de alejamiento en la localidad de Pedregal de Milpillas, municipio de Zapopan, Jalisco, Frente 1.</v>
          </cell>
          <cell r="AD293">
            <v>43045</v>
          </cell>
          <cell r="AE293">
            <v>43100</v>
          </cell>
        </row>
        <row r="294">
          <cell r="C294" t="str">
            <v>DOPI-MUN-R33-DS-AD-342-2017</v>
          </cell>
          <cell r="M294" t="str">
            <v>ERNESTO</v>
          </cell>
          <cell r="N294" t="str">
            <v>OLIVARES</v>
          </cell>
          <cell r="O294" t="str">
            <v>ÁLVAREZ</v>
          </cell>
          <cell r="P294" t="str">
            <v xml:space="preserve">METRICA INFRAESTRUCTURA, S.A. DE C.V. </v>
          </cell>
          <cell r="Q294" t="str">
            <v>MIN170819GG1</v>
          </cell>
          <cell r="V294">
            <v>43045</v>
          </cell>
          <cell r="Y294">
            <v>1557137.55</v>
          </cell>
          <cell r="AA294" t="str">
            <v>Construcción de colector de alejamiento en la localidad de Pedregal de Milpillas, municipio de Zapopan, Jalisco, Frente 2.</v>
          </cell>
          <cell r="AD294">
            <v>43045</v>
          </cell>
          <cell r="AE294">
            <v>43100</v>
          </cell>
        </row>
        <row r="295">
          <cell r="C295" t="str">
            <v>DOPI-MUN-R33-IH-AD-343-2017</v>
          </cell>
          <cell r="M295" t="str">
            <v>GUSTAVO ALEJANDRO</v>
          </cell>
          <cell r="N295" t="str">
            <v>LEDEZMA</v>
          </cell>
          <cell r="O295" t="str">
            <v xml:space="preserve"> CERVANTES</v>
          </cell>
          <cell r="P295" t="str">
            <v>EDIFICACIONES Y PROYECTOS ROCA, S.A. DE C.V.</v>
          </cell>
          <cell r="Q295" t="str">
            <v>EPR131016I71</v>
          </cell>
          <cell r="V295">
            <v>43045</v>
          </cell>
          <cell r="Y295">
            <v>991771.16</v>
          </cell>
          <cell r="AA295" t="str">
            <v>Construcción de planta de tratamiento tipo rural, en la localidad de Pedregal de Milpillas, municipio de Zapopan, Jalisco.</v>
          </cell>
          <cell r="AD295">
            <v>43045</v>
          </cell>
          <cell r="AE295">
            <v>43100</v>
          </cell>
        </row>
        <row r="296">
          <cell r="C296" t="str">
            <v>DOPI-MUN-R33-PAV-AD-344-2017</v>
          </cell>
          <cell r="M296" t="str">
            <v>MARTÍN ALEJANDRO</v>
          </cell>
          <cell r="N296" t="str">
            <v>DIEZ MARINA</v>
          </cell>
          <cell r="O296" t="str">
            <v>INZUNZA</v>
          </cell>
          <cell r="P296" t="str">
            <v>URBANIZACIONES INZUNZA, S.A. DE C.V.</v>
          </cell>
          <cell r="Q296" t="str">
            <v>UNI1201115M6</v>
          </cell>
          <cell r="V296">
            <v>43045</v>
          </cell>
          <cell r="Y296">
            <v>1510992.13</v>
          </cell>
          <cell r="AA296" t="str">
            <v>Pavimentación con concreto hidráulico de vialidades en la colonia El Zapote II, incluye: guarniciones, banquetas, accesibilidad y servicios complementarios, municipio de Zapopan, Jalisco, Frente 1.</v>
          </cell>
          <cell r="AD296">
            <v>43045</v>
          </cell>
          <cell r="AE296">
            <v>43100</v>
          </cell>
        </row>
        <row r="297">
          <cell r="C297" t="str">
            <v>DOPI-MUN-R33-PAV-AD-345-2017</v>
          </cell>
          <cell r="M297" t="str">
            <v>EMILIO MIGUEL</v>
          </cell>
          <cell r="N297" t="str">
            <v>ZULOAGA</v>
          </cell>
          <cell r="O297" t="str">
            <v>SAENZ</v>
          </cell>
          <cell r="P297" t="str">
            <v>CONSTRUCTORA Y SERVICIOS NOVACREA, S.A. DE C.V.</v>
          </cell>
          <cell r="Q297" t="str">
            <v>CSN150923FGA</v>
          </cell>
          <cell r="V297">
            <v>43045</v>
          </cell>
          <cell r="Y297">
            <v>1622165.56</v>
          </cell>
          <cell r="AA297" t="str">
            <v>Pavimentación con concreto hidráulico de vialidades en la colonia El Zapote II, incluye: guarniciones, banquetas, accesibilidad y servicios complementarios, municipio de Zapopan, Jalisco, Frente 2.</v>
          </cell>
          <cell r="AD297">
            <v>43045</v>
          </cell>
          <cell r="AE297">
            <v>43100</v>
          </cell>
        </row>
        <row r="298">
          <cell r="C298" t="str">
            <v>DOPI-MUN-RM-PAV-AD-346-2017</v>
          </cell>
          <cell r="M298" t="str">
            <v>SERGIO CESAR</v>
          </cell>
          <cell r="N298" t="str">
            <v>DÍAZ</v>
          </cell>
          <cell r="O298" t="str">
            <v>QUIROZ</v>
          </cell>
          <cell r="P298" t="str">
            <v>TRANSCRETO S.A. DE C.V.</v>
          </cell>
          <cell r="Q298" t="str">
            <v>TRA750528286</v>
          </cell>
          <cell r="V298">
            <v>43045</v>
          </cell>
          <cell r="Y298">
            <v>1452125.63</v>
          </cell>
          <cell r="AA298" t="str">
            <v>Pavimentación con concreto hidráulico, puente vehicular y obra complementaria en la calle Emiliano Zapata y calle Pípila, en la colonia La Martinica, municipio de Zapopan, Jalisco.</v>
          </cell>
          <cell r="AD298">
            <v>43045</v>
          </cell>
          <cell r="AE298">
            <v>43100</v>
          </cell>
        </row>
        <row r="299">
          <cell r="C299" t="str">
            <v>DOPI-MUN-RM-IM-AD-347-2017</v>
          </cell>
          <cell r="M299" t="str">
            <v>ELSA GABRIELA</v>
          </cell>
          <cell r="N299" t="str">
            <v>ROMERO</v>
          </cell>
          <cell r="O299" t="str">
            <v>ORTEGA</v>
          </cell>
          <cell r="P299" t="str">
            <v>EDIFICACIONES Y VIVIENDA, S.A. DE C.V.</v>
          </cell>
          <cell r="Q299" t="str">
            <v>EVI940414M46</v>
          </cell>
          <cell r="V299">
            <v>43045</v>
          </cell>
          <cell r="Y299">
            <v>1485030.58</v>
          </cell>
          <cell r="AA299" t="str">
            <v>Trabajos complementarios de cancelería de aluminio, equipamiento, instalación de mamparas y jardinería en el centro de desarrollo infantil La Loma, municipio de Zapopan, Jalisco.</v>
          </cell>
          <cell r="AD299">
            <v>43045</v>
          </cell>
          <cell r="AE299">
            <v>43100</v>
          </cell>
        </row>
        <row r="300">
          <cell r="C300" t="str">
            <v>DOPI-MUN-RM-ELE-AD-348-2017</v>
          </cell>
          <cell r="M300" t="str">
            <v xml:space="preserve">HÉCTOR MANUEL </v>
          </cell>
          <cell r="N300" t="str">
            <v xml:space="preserve"> CRUZ </v>
          </cell>
          <cell r="O300" t="str">
            <v xml:space="preserve"> ALCALA</v>
          </cell>
          <cell r="P300" t="str">
            <v>ARKAL GRUPO CONSTRUCTOR, S.A. DE C.V.</v>
          </cell>
          <cell r="Q300" t="str">
            <v>AGC960215977</v>
          </cell>
          <cell r="V300">
            <v>43045</v>
          </cell>
          <cell r="Y300">
            <v>1134380.3999999999</v>
          </cell>
          <cell r="AA300" t="str">
            <v>Obra eléctrica complementaria en el Centro de Desarrollo Infantil La Loma, municipio de Zapopan, Jalisco.</v>
          </cell>
          <cell r="AD300">
            <v>43045</v>
          </cell>
          <cell r="AE300">
            <v>43100</v>
          </cell>
        </row>
        <row r="301">
          <cell r="C301" t="str">
            <v>DOPI-MUN-RM-IE-AD-350-2017</v>
          </cell>
          <cell r="M301" t="str">
            <v>GUSTAVO</v>
          </cell>
          <cell r="N301" t="str">
            <v>DURAN</v>
          </cell>
          <cell r="O301" t="str">
            <v>JIMÉNEZ</v>
          </cell>
          <cell r="P301" t="str">
            <v>DURAN JIMÉNEZ ARQUITECTOS Y ASOCIADOS, S.A. DE C.V.</v>
          </cell>
          <cell r="Q301" t="str">
            <v>DJA9405184G7</v>
          </cell>
          <cell r="V301">
            <v>43060</v>
          </cell>
          <cell r="Y301">
            <v>1350236.78</v>
          </cell>
          <cell r="AA301" t="str">
            <v>Reforzamiento Complementario de estructuras con lonarias en los planteles educativos: Plaza Comunitaria Ineejad matricula 200, colonia Centro; Centro de Atención Especial matricula 181, colonia El Vigia; Escuela Primaria Justo Sierra matricula 1115, localidad de Santa Anta Tepetitlán; Escuela Primaria Sor Juana Inés de la Cruz y José Vasconcelos matricula 1026, colonia Jardines del Valle; Escuela Primaria José Amador Pelayo y Miguel Hidalgo y Costilla matricula 985, colonia Lomas de Tabachines; Escuela Primaria Urbana Juan Escutia 1130 y Agustín Yañez matricula 916, colonia Paraísos del Colli; Escuela Primaria Vicente Guerrero matricula 854, colonia Vicente Guerrero, municipio de Zapopan, Jalisco.</v>
          </cell>
          <cell r="AD301">
            <v>43060</v>
          </cell>
          <cell r="AE301">
            <v>43153</v>
          </cell>
        </row>
        <row r="302">
          <cell r="C302" t="str">
            <v>DOPI-MUN-RM-IE-AD-351-2017</v>
          </cell>
          <cell r="M302" t="str">
            <v xml:space="preserve">EDUARDO </v>
          </cell>
          <cell r="N302" t="str">
            <v>CRUZ</v>
          </cell>
          <cell r="O302" t="str">
            <v>MOGUEL</v>
          </cell>
          <cell r="P302" t="str">
            <v>BALKEN, S.A. DE C.V.</v>
          </cell>
          <cell r="Q302" t="str">
            <v>BAL990803661</v>
          </cell>
          <cell r="V302">
            <v>43060</v>
          </cell>
          <cell r="Y302">
            <v>1385698.44</v>
          </cell>
          <cell r="AA302" t="str">
            <v>Reforzamiento Complementario de estructuras con lonarias en los planteles educativos: Escuela Primaria Niños Héroes y Salvador López Chávez, matricula 750, colonia Pinar de la Calma; Escuela Primaria Idolina Gaona Cosio de Vidaurri, matricula 703, colonia Los Cajetes; Escuela Primaria Antonio Caso y Patria, matricula 490, colonia El Briseño segunda sección; Escuela Primaria Paulo Freire y 24 de Octubre, matricula 675, colonia Mariano Otero; Escuela Primaria Rafael Ramírez, matricula 240, colonia Paseos del Briseño, municipio de Zapopan, Jalisco.</v>
          </cell>
          <cell r="AD302">
            <v>43060</v>
          </cell>
          <cell r="AE302">
            <v>43153</v>
          </cell>
        </row>
        <row r="303">
          <cell r="C303" t="str">
            <v>DOPI-MUN-RM-BAN-AD-352-2017</v>
          </cell>
          <cell r="M303" t="str">
            <v xml:space="preserve">EDUARDO </v>
          </cell>
          <cell r="N303" t="str">
            <v>PLASCENCIA</v>
          </cell>
          <cell r="O303" t="str">
            <v>MACIAS</v>
          </cell>
          <cell r="P303" t="str">
            <v>CONSTRUCTORA Y EDIFICADORA PLASMA, S.A. DE C.V.</v>
          </cell>
          <cell r="Q303" t="str">
            <v>CEP080129EK6</v>
          </cell>
          <cell r="V303">
            <v>43040</v>
          </cell>
          <cell r="Y303">
            <v>253296.41</v>
          </cell>
          <cell r="AA303" t="str">
            <v>Peatonalización (banquetas y obras de accesibilidad) del área de influencia del Centro de Desarrollo Infantil No. 5, ubicado en El Colli, municipio de Zapopan, Jalisco.</v>
          </cell>
          <cell r="AD303">
            <v>43040</v>
          </cell>
          <cell r="AE303">
            <v>43100</v>
          </cell>
        </row>
        <row r="304">
          <cell r="C304" t="str">
            <v>DOPI-MUN-RM-PAV-AD-353-2017</v>
          </cell>
          <cell r="M304" t="str">
            <v>CARLOS CELSO</v>
          </cell>
          <cell r="N304" t="str">
            <v>GARCÍA</v>
          </cell>
          <cell r="O304" t="str">
            <v>QUINTERO</v>
          </cell>
          <cell r="P304" t="str">
            <v>GRUPO CONSTRUCTOR HISACA, S.A. DE C.V.</v>
          </cell>
          <cell r="Q304" t="str">
            <v>GCH070702SH8</v>
          </cell>
          <cell r="V304">
            <v>43080</v>
          </cell>
          <cell r="Y304">
            <v>1717898.58</v>
          </cell>
          <cell r="AA304" t="str">
            <v>Pavimentación con concreto hidráulico en la calle La Palma de Rinconada de los Abetos a la Eucalipto, colonia El Fresno, incluye: banquetas, peatonalización, señalamiento y obras complementarias, en el municipio de Zapopan, Jalisco.</v>
          </cell>
          <cell r="AD304">
            <v>43080</v>
          </cell>
          <cell r="AE304">
            <v>43159</v>
          </cell>
        </row>
        <row r="305">
          <cell r="C305" t="str">
            <v>DOPI-MUN-RM-PAV-AD-354-2017</v>
          </cell>
          <cell r="M305" t="str">
            <v>DAVID SERGIO</v>
          </cell>
          <cell r="N305" t="str">
            <v>DOMINGUEZ</v>
          </cell>
          <cell r="O305" t="str">
            <v>MEZA</v>
          </cell>
          <cell r="P305" t="str">
            <v>VALIKA CONSTRUCTORA, S.A. DE C.V.</v>
          </cell>
          <cell r="Q305" t="str">
            <v>VCO9412201J0</v>
          </cell>
          <cell r="V305">
            <v>43080</v>
          </cell>
          <cell r="Y305">
            <v>1656483.25</v>
          </cell>
          <cell r="AA305" t="str">
            <v>Pavimentación con concreto hidráulico,  incluye: banquetas, peatonalización, señalamiento y obras complementarias en la calle Eucalipto de Primavera a Pirul, colonia El Fresno, en el municipio de Zapopan, Jalisco.</v>
          </cell>
          <cell r="AD305">
            <v>43080</v>
          </cell>
          <cell r="AE305">
            <v>43159</v>
          </cell>
        </row>
        <row r="306">
          <cell r="C306" t="str">
            <v>DOPI-MUN-RM-IM-AD-355-2017</v>
          </cell>
          <cell r="M306" t="str">
            <v>MAXIMILIANO</v>
          </cell>
          <cell r="N306" t="str">
            <v>TORRES</v>
          </cell>
          <cell r="O306" t="str">
            <v>LÓPEZ</v>
          </cell>
          <cell r="P306" t="str">
            <v>GRUPO CONSTRUCTOR STRADE, S.A. DE C.V.</v>
          </cell>
          <cell r="Q306" t="str">
            <v>GCS080902S44</v>
          </cell>
          <cell r="V306">
            <v>43052</v>
          </cell>
          <cell r="Y306">
            <v>1685254.36</v>
          </cell>
          <cell r="AA306" t="str">
            <v>Tratamiento y aplicación de recubrimientos en pisos de pasillos de circulación del mercado municipal Atemajac, municipio de Zapopan, Jalisco.</v>
          </cell>
          <cell r="AD306">
            <v>43052</v>
          </cell>
          <cell r="AE306">
            <v>43115</v>
          </cell>
        </row>
        <row r="307">
          <cell r="C307" t="str">
            <v>DOPI-MUN-RM-IM-AD-356-2017</v>
          </cell>
          <cell r="M307" t="str">
            <v>GUSTAVO ALEJANDRO</v>
          </cell>
          <cell r="N307" t="str">
            <v>LEDEZMA</v>
          </cell>
          <cell r="O307" t="str">
            <v xml:space="preserve"> CERVANTES</v>
          </cell>
          <cell r="P307" t="str">
            <v>EDIFICACIONES Y PROYECTOS ROCA, S.A. DE C.V.</v>
          </cell>
          <cell r="Q307" t="str">
            <v>EPR131016I71</v>
          </cell>
          <cell r="V307">
            <v>43052</v>
          </cell>
          <cell r="Y307">
            <v>1710691.99</v>
          </cell>
          <cell r="AA307" t="str">
            <v>Rehabilitación de módulo de baños en planta baja, pintura, albañilerías, acabados, banquetas y peatonalización, en el mercado municipal Atemajac, municipio de Zapopan, Jalisco.</v>
          </cell>
          <cell r="AD307">
            <v>43052</v>
          </cell>
          <cell r="AE307">
            <v>43115</v>
          </cell>
        </row>
        <row r="308">
          <cell r="C308" t="str">
            <v>DOPI-MUN-RM-DS-AD-357-2017</v>
          </cell>
          <cell r="M308" t="str">
            <v>RAFAEL AUGUSTO</v>
          </cell>
          <cell r="N308" t="str">
            <v>CABALLERO</v>
          </cell>
          <cell r="O308" t="str">
            <v>QUIRARTE</v>
          </cell>
          <cell r="P308" t="str">
            <v>PROYECTOS ARQUITECTONICOS TRIANGULO, S.A. DE C.V.</v>
          </cell>
          <cell r="Q308" t="str">
            <v>PAT110331HH0</v>
          </cell>
          <cell r="V308">
            <v>43080</v>
          </cell>
          <cell r="Y308">
            <v>650235.78</v>
          </cell>
          <cell r="AA308" t="str">
            <v>Construcción de red de drenaje sanitario en la calle Vista al Mirador de Puesta del Sol a Vista la Campiña, en la colonia Vista Hermosa, municipio de Zapopan, Jalisco.</v>
          </cell>
          <cell r="AD308">
            <v>43080</v>
          </cell>
          <cell r="AE308">
            <v>43174</v>
          </cell>
        </row>
        <row r="309">
          <cell r="C309" t="str">
            <v>DOPI-MUN-RM-IM-AD-358-2017</v>
          </cell>
          <cell r="M309" t="str">
            <v>MARCELO FERNANDO</v>
          </cell>
          <cell r="N309" t="str">
            <v>DE ANDA</v>
          </cell>
          <cell r="O309" t="str">
            <v>AGNESI</v>
          </cell>
          <cell r="P309" t="str">
            <v>SJ LAGOS CONSTRUCTORA E INMOBILIARIA, S.A. DE C.V.</v>
          </cell>
          <cell r="Q309" t="str">
            <v>SLC090211283</v>
          </cell>
          <cell r="V309">
            <v>43073</v>
          </cell>
          <cell r="Y309">
            <v>650126.87</v>
          </cell>
          <cell r="AA309" t="str">
            <v>Trabajos complementarios de carpintería y cancelería de aluminio en el Centro de Salud El Colli, ubicado en El Colli, municipio de Zapopan, Jalisco.</v>
          </cell>
          <cell r="AD309">
            <v>43073</v>
          </cell>
          <cell r="AE309">
            <v>43115</v>
          </cell>
        </row>
        <row r="310">
          <cell r="C310" t="str">
            <v>DOPI-MUN-RM-PAV-AD-359-2017</v>
          </cell>
          <cell r="M310" t="str">
            <v>JAVIER</v>
          </cell>
          <cell r="N310" t="str">
            <v>CAÑEDO</v>
          </cell>
          <cell r="O310" t="str">
            <v>ORTEGA</v>
          </cell>
          <cell r="P310" t="str">
            <v>CONSTRUCCIONES TECNICAS DE OCCIDENTE, S.A. DE C.V.</v>
          </cell>
          <cell r="Q310" t="str">
            <v>CTO061116F61</v>
          </cell>
          <cell r="V310">
            <v>43080</v>
          </cell>
          <cell r="Y310">
            <v>1202354.8700000001</v>
          </cell>
          <cell r="AA310" t="str">
            <v>Obra complementaria para la pavimentación con concreto hidráulico en la calle Ing. Alberto Mora López de Elote a Ing. Alfonso Padilla, en la colonia La Mesa Colorada, en el municipio de Zapopan, Jalisco.</v>
          </cell>
          <cell r="AD310">
            <v>43080</v>
          </cell>
          <cell r="AE310">
            <v>43146</v>
          </cell>
        </row>
        <row r="311">
          <cell r="C311" t="str">
            <v>DOPI-MUN-RM-BAN-AD-360-2017</v>
          </cell>
          <cell r="M311" t="str">
            <v>GABRIELA CECILIA</v>
          </cell>
          <cell r="N311" t="str">
            <v xml:space="preserve">RUÍZ  </v>
          </cell>
          <cell r="O311" t="str">
            <v>HERNÁNDEZ</v>
          </cell>
          <cell r="P311" t="str">
            <v>CONSTRUCTORA TGV, S.A. DE C.V.</v>
          </cell>
          <cell r="Q311" t="str">
            <v>CTG070803966</v>
          </cell>
          <cell r="V311">
            <v>43031</v>
          </cell>
          <cell r="Y311">
            <v>1250847.24</v>
          </cell>
          <cell r="AA311" t="str">
            <v>Obra complementaria de peatonalización en el frente 1 de la rehabilitación de la Av. Dr. Ángel Leaño, Tramo Zona de Nixticuitl, municipio de Zapopan, Jalisco.</v>
          </cell>
          <cell r="AD311">
            <v>43031</v>
          </cell>
          <cell r="AE311">
            <v>43084</v>
          </cell>
        </row>
        <row r="312">
          <cell r="C312" t="str">
            <v>DOPI-MUN-RM-PAV-AD-361-2017</v>
          </cell>
          <cell r="M312" t="str">
            <v>SERGIO ALBERTO</v>
          </cell>
          <cell r="N312" t="str">
            <v>BAYLON</v>
          </cell>
          <cell r="O312" t="str">
            <v>MORENO</v>
          </cell>
          <cell r="P312" t="str">
            <v>EDIFICACIONES ESTRUCTURALES COBAY, S.A. DE C.V.</v>
          </cell>
          <cell r="Q312" t="str">
            <v>EEC9909173A7</v>
          </cell>
          <cell r="V312">
            <v>43033</v>
          </cell>
          <cell r="Y312">
            <v>1002350.44</v>
          </cell>
          <cell r="AA312" t="str">
            <v>Pavimentación con concreto hidráulico, incluye: drenaje sanitario, banquetas, peatonalización, señalamiento y obras complementarias en la calle Navarro Rosas de la Abel Salgado al Arroyo, colonia Agua Fría, en el municipio de Zapopan, Jalisco.</v>
          </cell>
          <cell r="AD312">
            <v>43033</v>
          </cell>
          <cell r="AE312">
            <v>43089</v>
          </cell>
        </row>
        <row r="313">
          <cell r="C313" t="str">
            <v>DOPI-MUN-RM-PAV-AD-362-2017</v>
          </cell>
          <cell r="M313" t="str">
            <v>CLARISSA GABRIELA</v>
          </cell>
          <cell r="N313" t="str">
            <v>VALDEZ</v>
          </cell>
          <cell r="O313" t="str">
            <v>MANJARREZ</v>
          </cell>
          <cell r="P313" t="str">
            <v>TEKTON GRUPO EMPRESARIAL, S.A. DE C.V.</v>
          </cell>
          <cell r="Q313" t="str">
            <v>TGE101215JI6</v>
          </cell>
          <cell r="V313">
            <v>43080</v>
          </cell>
          <cell r="Y313">
            <v>1603555.44</v>
          </cell>
          <cell r="AA313" t="str">
            <v>Pavimentación con concreto hidráulico, incluye: drenaje sanitario, banquetas, peatonalización, señalamiento y obras complementarias en la calle Canal, colonia Agua Fría, en el municipio de Zapopan, Jalisco, primera etapa.</v>
          </cell>
          <cell r="AD313">
            <v>43080</v>
          </cell>
          <cell r="AE313">
            <v>43146</v>
          </cell>
        </row>
        <row r="314">
          <cell r="C314" t="str">
            <v>DOPI-MUN-RM-SERV-AD-363-2017</v>
          </cell>
          <cell r="M314" t="str">
            <v>RICARDO</v>
          </cell>
          <cell r="N314" t="str">
            <v>MEZA</v>
          </cell>
          <cell r="O314" t="str">
            <v>PONCE</v>
          </cell>
          <cell r="P314" t="str">
            <v>CME CALIDAD MODELO DE EFICANCIA, S.A. DE C.V.</v>
          </cell>
          <cell r="Q314" t="str">
            <v>CCM1405243C4</v>
          </cell>
          <cell r="V314">
            <v>43021</v>
          </cell>
          <cell r="Y314">
            <v>355235.68</v>
          </cell>
          <cell r="AA314" t="str">
            <v>Control de calidad de diferentes obras 2017 del municipio de Zapopan, Jalisco, etapa 4.</v>
          </cell>
          <cell r="AD314">
            <v>43024</v>
          </cell>
          <cell r="AE314">
            <v>43100</v>
          </cell>
        </row>
        <row r="315">
          <cell r="C315" t="str">
            <v>DOPI-MUN-RM-PAV-AD-364-2017</v>
          </cell>
          <cell r="M315" t="str">
            <v>J. JESÚS</v>
          </cell>
          <cell r="N315" t="str">
            <v>NUÑEZ</v>
          </cell>
          <cell r="O315" t="str">
            <v>GUTIÉRREZ</v>
          </cell>
          <cell r="P315" t="str">
            <v>CERRO VIEJO CONSTRUCCIÓNES, S.A. DE C.V.</v>
          </cell>
          <cell r="Q315" t="str">
            <v>CVC110114429</v>
          </cell>
          <cell r="V315">
            <v>43084</v>
          </cell>
          <cell r="Y315">
            <v>1698556.36</v>
          </cell>
          <cell r="AA315" t="str">
            <v>Pavimentación con concreto hidráulico, incluye: banquetas, peatonalización, señalamiento y obras complementarias en la calle Santa Mercedez de la Av. Jesús a San Felipe, colonia Tuzania Ejidal, , en el municipio de Zapopan, Jalisco, frente 1.</v>
          </cell>
          <cell r="AD315">
            <v>43084</v>
          </cell>
          <cell r="AE315">
            <v>43203</v>
          </cell>
        </row>
        <row r="316">
          <cell r="C316" t="str">
            <v>DOPI-MUN-RM-DS-AD-366-2017</v>
          </cell>
          <cell r="M316" t="str">
            <v xml:space="preserve">RODOLFO </v>
          </cell>
          <cell r="N316" t="str">
            <v xml:space="preserve">VELAZQUEZ </v>
          </cell>
          <cell r="O316" t="str">
            <v>ORDOÑEZ</v>
          </cell>
          <cell r="P316" t="str">
            <v>VELAZQUEZ INGENIERIA ECOLOGICA, S.A. DE C.V.</v>
          </cell>
          <cell r="Q316" t="str">
            <v>VIE110125RL4</v>
          </cell>
          <cell r="V316">
            <v>43084</v>
          </cell>
          <cell r="Y316">
            <v>1650236.98</v>
          </cell>
          <cell r="AA316" t="str">
            <v>Colector de aguas residuales, descargas sanitarias y línea de agua potable en la colonia Tuzania Ejidal, municipio de Zapopan, Jalisco, primera etapa Frente 1.</v>
          </cell>
          <cell r="AD316">
            <v>43084</v>
          </cell>
          <cell r="AE316">
            <v>43203</v>
          </cell>
        </row>
        <row r="317">
          <cell r="C317" t="str">
            <v>DOPI-MUN-RM-MOV-AD-369-2017</v>
          </cell>
          <cell r="M317" t="str">
            <v>JORGE ALBERTO</v>
          </cell>
          <cell r="N317" t="str">
            <v>MENA</v>
          </cell>
          <cell r="O317" t="str">
            <v>ADAMES</v>
          </cell>
          <cell r="P317" t="str">
            <v>DIVICON, S.A. DE C.V.</v>
          </cell>
          <cell r="Q317" t="str">
            <v>DIV010905510</v>
          </cell>
          <cell r="V317">
            <v>43084</v>
          </cell>
          <cell r="Y317">
            <v>310538.7</v>
          </cell>
          <cell r="AA317" t="str">
            <v>Señalización vertical y horizontal en diferentes zonas del municipio de Zapopan, Jalisco, frente 1.</v>
          </cell>
          <cell r="AD317">
            <v>43084</v>
          </cell>
          <cell r="AE317">
            <v>43203</v>
          </cell>
        </row>
        <row r="318">
          <cell r="C318" t="str">
            <v>DOPI-MUN-RM-IM-AD-370-2017</v>
          </cell>
          <cell r="M318" t="str">
            <v>JOSÉ MANUEL</v>
          </cell>
          <cell r="N318" t="str">
            <v>GÓMEZ</v>
          </cell>
          <cell r="O318" t="str">
            <v>CASTELLANOS</v>
          </cell>
          <cell r="P318" t="str">
            <v>GGV INVERSIONES, S.A. DE C.V.</v>
          </cell>
          <cell r="Q318" t="str">
            <v>GDI020122D2A</v>
          </cell>
          <cell r="V318">
            <v>43042</v>
          </cell>
          <cell r="Y318">
            <v>1495654.87</v>
          </cell>
          <cell r="AA318" t="str">
            <v>Cimentación y estructura para la rampa de accesibilidad al CRI Centro de Autismo, ubicado en Av. Juan Pablo II, colonia Fovisste, municipio de Zapopan, Jalisco.</v>
          </cell>
          <cell r="AD318">
            <v>43045</v>
          </cell>
          <cell r="AE318">
            <v>43159</v>
          </cell>
        </row>
        <row r="319">
          <cell r="C319" t="str">
            <v>DOPI-MUN-RM-IM-AD-371-2017</v>
          </cell>
          <cell r="M319" t="str">
            <v>ARTURO RAFAEL</v>
          </cell>
          <cell r="N319" t="str">
            <v>SALAZAR</v>
          </cell>
          <cell r="O319" t="str">
            <v>MARTÍN DEL CAMPO</v>
          </cell>
          <cell r="P319" t="str">
            <v>KALMANI CONSTRUCTORA, S.A. DE C.V.</v>
          </cell>
          <cell r="Q319" t="str">
            <v>KCO030922UM6</v>
          </cell>
          <cell r="V319">
            <v>43070</v>
          </cell>
          <cell r="Y319">
            <v>309258.36</v>
          </cell>
          <cell r="AA319" t="str">
            <v>Delimitación con malla ciclónica en terrenos afectados por la ampliación de la carretera La Venta - Santa Lucia, municipio de Zapopan, Jalisco.</v>
          </cell>
          <cell r="AD319">
            <v>43070</v>
          </cell>
          <cell r="AE319">
            <v>43100</v>
          </cell>
        </row>
        <row r="320">
          <cell r="C320" t="str">
            <v>DOPI-MUN-RM-ID-AD-372-2017</v>
          </cell>
          <cell r="M320" t="str">
            <v>PAOLA ALEJANDRA</v>
          </cell>
          <cell r="N320" t="str">
            <v>DIAZ</v>
          </cell>
          <cell r="O320" t="str">
            <v>RUIZ</v>
          </cell>
          <cell r="P320" t="str">
            <v>OBRAS CIVILES ACUARIO, S.A. DE C.V.</v>
          </cell>
          <cell r="Q320" t="str">
            <v>OCA080707FG8</v>
          </cell>
          <cell r="V320">
            <v>43056</v>
          </cell>
          <cell r="Y320">
            <v>905532.5</v>
          </cell>
          <cell r="AA320" t="str">
            <v>Acometida eléctrica y obra complementaria para la terminación de la Unidad Deportiva Paseos del Briseño municipio de Zapopan, Jalisco.</v>
          </cell>
          <cell r="AD320">
            <v>43060</v>
          </cell>
          <cell r="AE320">
            <v>43115</v>
          </cell>
        </row>
        <row r="321">
          <cell r="C321" t="str">
            <v>DOPI-MUN-RM-PROY-AD-373-2017</v>
          </cell>
          <cell r="M321" t="str">
            <v>RICARDO</v>
          </cell>
          <cell r="N321" t="str">
            <v>GONZÁLEZ</v>
          </cell>
          <cell r="O321" t="str">
            <v>CARRANZA</v>
          </cell>
          <cell r="P321" t="str">
            <v>RICARDO GONZÁLEZ CARRANZA</v>
          </cell>
          <cell r="Q321" t="str">
            <v>GOCR801106234</v>
          </cell>
          <cell r="V321">
            <v>43042</v>
          </cell>
          <cell r="Y321">
            <v>350254.74</v>
          </cell>
          <cell r="AA321" t="str">
            <v>Elaboración de proyecto ejecutivo de la Unidad Deportiva Valle de los Molinos, municipio de Zapopan, Jalisco.</v>
          </cell>
          <cell r="AD321">
            <v>43045</v>
          </cell>
          <cell r="AE321">
            <v>43100</v>
          </cell>
        </row>
        <row r="322">
          <cell r="C322" t="str">
            <v>DOPI-MUN-RM-SERV-AD-374-2017</v>
          </cell>
          <cell r="M322" t="str">
            <v>JOEL</v>
          </cell>
          <cell r="N322" t="str">
            <v>ZULOAGA</v>
          </cell>
          <cell r="O322" t="str">
            <v>ACEVES</v>
          </cell>
          <cell r="P322" t="str">
            <v>TASUM SOLUCIONES EN CONSTRUCCIÓN, S.A. DE C.V.</v>
          </cell>
          <cell r="Q322" t="str">
            <v>TSC100210E48</v>
          </cell>
          <cell r="V322">
            <v>43021</v>
          </cell>
          <cell r="Y322">
            <v>910147.98</v>
          </cell>
          <cell r="AA322" t="str">
            <v>Estudios de mecánica de suelos y diseño de pavimentos de diferentes obras 2017 del municipio de Zapopan, Jalisco, etapa 2.</v>
          </cell>
          <cell r="AD322">
            <v>43024</v>
          </cell>
          <cell r="AE322">
            <v>43100</v>
          </cell>
        </row>
        <row r="323">
          <cell r="C323" t="str">
            <v>DOPI-MUN-RM-PROY-AD-375-2017</v>
          </cell>
          <cell r="M323" t="str">
            <v xml:space="preserve">HÉCTOR ALEJANDRO </v>
          </cell>
          <cell r="N323" t="str">
            <v xml:space="preserve">ORTEGA </v>
          </cell>
          <cell r="O323" t="str">
            <v>ROSALES</v>
          </cell>
          <cell r="P323" t="str">
            <v>IME SERVICIOS Y SUMINISTROS, S.A. DE C.V.</v>
          </cell>
          <cell r="Q323" t="str">
            <v>ISS920330811</v>
          </cell>
          <cell r="V323">
            <v>43050</v>
          </cell>
          <cell r="Y323">
            <v>925364.12</v>
          </cell>
          <cell r="AA323" t="str">
            <v>Diagnóstico, diseño y proyectos de infraestructura eléctrica 2017, segunda etapa, municipio de Zapopan, Jalisco.</v>
          </cell>
          <cell r="AD323">
            <v>43050</v>
          </cell>
          <cell r="AE323">
            <v>43100</v>
          </cell>
        </row>
        <row r="324">
          <cell r="C324" t="str">
            <v>DOPI-MUN-RM-ELE-AD-376-2017</v>
          </cell>
          <cell r="M324" t="str">
            <v>FAUSTO</v>
          </cell>
          <cell r="N324" t="str">
            <v>GARNICA</v>
          </cell>
          <cell r="O324" t="str">
            <v>PADILLA</v>
          </cell>
          <cell r="P324" t="str">
            <v>FAUSTO GARNICA PADILLA</v>
          </cell>
          <cell r="Q324" t="str">
            <v>GAPF5912193V9</v>
          </cell>
          <cell r="V324">
            <v>43050</v>
          </cell>
          <cell r="Y324">
            <v>1203455.22</v>
          </cell>
          <cell r="AA324" t="str">
            <v>Trabajos complementarios de infraestructura eléctrica y de alumbrado público, frente 1, municipio de Zapopan, Jalisco</v>
          </cell>
          <cell r="AD324">
            <v>43050</v>
          </cell>
          <cell r="AE324">
            <v>43131</v>
          </cell>
        </row>
        <row r="325">
          <cell r="C325" t="str">
            <v>DOPI-MUN-RM-ID-AD-377-2017</v>
          </cell>
          <cell r="M325" t="str">
            <v>MARÍA ARCELIA</v>
          </cell>
          <cell r="N325" t="str">
            <v>IÑIGUEZ</v>
          </cell>
          <cell r="O325" t="str">
            <v>HERNÁNDEZ</v>
          </cell>
          <cell r="P325" t="str">
            <v>INFRAESTRUCTURA RHINO77, S.A. DE C.V.</v>
          </cell>
          <cell r="Q325" t="str">
            <v>IRH140924LX3</v>
          </cell>
          <cell r="V325">
            <v>43042</v>
          </cell>
          <cell r="Y325">
            <v>1191632.6599999999</v>
          </cell>
          <cell r="AA325" t="str">
            <v>Construcción de fuente interactiva y estructura con lonaria para protección de rayos ultravioleta para gradería en cancha de fut bol de la Unidad Deportiva Miguel de la Madrid, municipio de Zapopan, Jalisco.</v>
          </cell>
          <cell r="AD325">
            <v>43045</v>
          </cell>
          <cell r="AE325">
            <v>43100</v>
          </cell>
        </row>
        <row r="326">
          <cell r="C326" t="str">
            <v>DOPI-MUN-RM-ELE-AD-378-2017</v>
          </cell>
          <cell r="M326" t="str">
            <v xml:space="preserve">MARCO ANTONIO </v>
          </cell>
          <cell r="N326" t="str">
            <v>LOZANO</v>
          </cell>
          <cell r="O326" t="str">
            <v>ESTRADA</v>
          </cell>
          <cell r="P326" t="str">
            <v>DESARROLLADORA FULHAM S. DE R.L. DE C.V.</v>
          </cell>
          <cell r="Q326" t="str">
            <v>DFU090928JB5</v>
          </cell>
          <cell r="V326">
            <v>43042</v>
          </cell>
          <cell r="Y326">
            <v>476609.73</v>
          </cell>
          <cell r="AA326" t="str">
            <v>Red de electrificación en media tensión en la calle Capulín, en la localidad de Tesistán, municipio de Zapopan, Jalisco.</v>
          </cell>
          <cell r="AD326">
            <v>43045</v>
          </cell>
          <cell r="AE326">
            <v>43100</v>
          </cell>
        </row>
        <row r="327">
          <cell r="C327" t="str">
            <v>DOPI-MUN-RM-DS-AD-379-2017</v>
          </cell>
          <cell r="M327" t="str">
            <v>J. GERARDO</v>
          </cell>
          <cell r="N327" t="str">
            <v>NICANOR</v>
          </cell>
          <cell r="O327" t="str">
            <v>MEJIA MARISCAL</v>
          </cell>
          <cell r="P327" t="str">
            <v>INECO CONSTRUYE, S.A. DE C.V.</v>
          </cell>
          <cell r="Q327" t="str">
            <v>ICO980722MQ4</v>
          </cell>
          <cell r="V327">
            <v>43042</v>
          </cell>
          <cell r="Y327">
            <v>750368.42</v>
          </cell>
          <cell r="AA327" t="str">
            <v>Construcción de colector pluvial en la calle Plata en el tramo de Juan Pablo II a calle Insurgentes, colonia San José del Bajio, municipio de Zapopan, Jalisco.</v>
          </cell>
          <cell r="AD327">
            <v>43045</v>
          </cell>
          <cell r="AE327">
            <v>43146</v>
          </cell>
        </row>
        <row r="328">
          <cell r="C328" t="str">
            <v>DOPI-MUN-RM-IH-AD-380-2017</v>
          </cell>
          <cell r="M328" t="str">
            <v>AMALIA</v>
          </cell>
          <cell r="N328" t="str">
            <v>MORENO</v>
          </cell>
          <cell r="O328" t="str">
            <v>MALDONADO</v>
          </cell>
          <cell r="P328" t="str">
            <v>GRUPO CONSTRUCTOR LOS MUROS, S.A. DE C.V.</v>
          </cell>
          <cell r="Q328" t="str">
            <v>GCM020226F28</v>
          </cell>
          <cell r="V328">
            <v>43053</v>
          </cell>
          <cell r="Y328">
            <v>1655244.55</v>
          </cell>
          <cell r="AA328" t="str">
            <v>Trabajos de interconexión de la red de distribución a la red del SIAPA en la localidad de Santa Anta Tepetitlán, municipio de Zapopan, Jalisco, primera etapa.</v>
          </cell>
          <cell r="AD328">
            <v>43054</v>
          </cell>
          <cell r="AE328">
            <v>43100</v>
          </cell>
        </row>
        <row r="329">
          <cell r="C329" t="str">
            <v>DOPI-MUN-CUSMAX-ID-AD-381-2017</v>
          </cell>
          <cell r="M329" t="str">
            <v xml:space="preserve">BEATRIZ </v>
          </cell>
          <cell r="N329" t="str">
            <v xml:space="preserve">MORA  </v>
          </cell>
          <cell r="O329" t="str">
            <v xml:space="preserve"> MEDINA </v>
          </cell>
          <cell r="P329" t="str">
            <v xml:space="preserve">PARÁBOLA ESTUDIOS, S.A. DE C.V. </v>
          </cell>
          <cell r="Q329" t="str">
            <v>PES121109MN7</v>
          </cell>
          <cell r="V329">
            <v>43080</v>
          </cell>
          <cell r="Y329">
            <v>1498589.36</v>
          </cell>
          <cell r="AA329" t="str">
            <v>Rehabilitación de la Unidad Deportiva Santa Ana Tepetitlán, (Alcances: cancha de usos múltiples, motivo de ingreso, juegos infantiles, gimnasio al aire libre, andadores, accesibilidad, pintura y alumbrado público), primera etapa, municipio de Zapopan, Jalisco.</v>
          </cell>
          <cell r="AD329">
            <v>43080</v>
          </cell>
          <cell r="AE329">
            <v>43177</v>
          </cell>
        </row>
        <row r="330">
          <cell r="C330" t="str">
            <v>DOPI-MUN-RM-APDS-AD-001-2018</v>
          </cell>
          <cell r="M330" t="str">
            <v xml:space="preserve">NÉSTOR </v>
          </cell>
          <cell r="N330" t="str">
            <v>DE LA TORRE</v>
          </cell>
          <cell r="O330" t="str">
            <v>MENCHACA</v>
          </cell>
          <cell r="P330" t="str">
            <v>INGENIEROS DE LA TORRE, S.A. DE C.V.</v>
          </cell>
          <cell r="Q330" t="str">
            <v>ITO951005HY5</v>
          </cell>
          <cell r="V330">
            <v>43115</v>
          </cell>
          <cell r="Y330">
            <v>1698155.15</v>
          </cell>
          <cell r="AA330" t="str">
            <v>Construcción de red de agua potable y drenaje sanitario en la Av. Camino Antiguo a Tesistán de la calle De Las Palmeras a Arcos de Alejandro, en la colonia Parques de Zapopan, municipio de Zapopan, Jalisco.</v>
          </cell>
          <cell r="AD330">
            <v>43115</v>
          </cell>
          <cell r="AE330">
            <v>43177</v>
          </cell>
        </row>
        <row r="331">
          <cell r="C331" t="str">
            <v>DOPI-MUN-RM-PROY-AD-002-2018</v>
          </cell>
          <cell r="M331" t="str">
            <v>JOSÉ MANUEL</v>
          </cell>
          <cell r="N331" t="str">
            <v>GÓMEZ</v>
          </cell>
          <cell r="O331" t="str">
            <v>CASTELLANOS</v>
          </cell>
          <cell r="P331" t="str">
            <v>GGV INVERSIONES, S.A. DE C.V.</v>
          </cell>
          <cell r="Q331" t="str">
            <v>GDI020122D2A</v>
          </cell>
          <cell r="V331">
            <v>43115</v>
          </cell>
          <cell r="Y331">
            <v>765602.44</v>
          </cell>
          <cell r="AA331" t="str">
            <v>Análisis de alternativas y anteproyecto del Parque Central, ubicado en la colonia Tepeyac, municipio de Zapopan, Jalisco.</v>
          </cell>
          <cell r="AD331">
            <v>43115</v>
          </cell>
          <cell r="AE331">
            <v>43159</v>
          </cell>
        </row>
        <row r="332">
          <cell r="C332" t="str">
            <v>DOPI-MUN-RM-BAN-AD-003-2018</v>
          </cell>
          <cell r="M332" t="str">
            <v>TOMÁS</v>
          </cell>
          <cell r="N332" t="str">
            <v>SANDOVAL</v>
          </cell>
          <cell r="O332" t="str">
            <v>ÁLVAREZ</v>
          </cell>
          <cell r="P332" t="str">
            <v>CONSTRUCCIÓNES Y RENTAS DE MAQUINARIA DE OCCIDENTE, S.A. DE C.V.</v>
          </cell>
          <cell r="Q332" t="str">
            <v>CRM910909K48</v>
          </cell>
          <cell r="V332">
            <v>43115</v>
          </cell>
          <cell r="Y332">
            <v>1301844.8500000001</v>
          </cell>
          <cell r="AA332" t="str">
            <v>Peatonalización, construcción de banquetas, guarniciones, bolardos, accesibilidad, en la colonia Parques de Zapopan, municipio de Zapopan, Jalisco, primera etapa.</v>
          </cell>
          <cell r="AD332">
            <v>43115</v>
          </cell>
          <cell r="AE332">
            <v>43192</v>
          </cell>
        </row>
        <row r="333">
          <cell r="C333" t="str">
            <v>DOPI-MUN-RM-IS-AD-004-2018</v>
          </cell>
          <cell r="M333" t="str">
            <v>LUIS ARMANDO</v>
          </cell>
          <cell r="N333" t="str">
            <v>LINARES</v>
          </cell>
          <cell r="O333" t="str">
            <v>CACHO</v>
          </cell>
          <cell r="P333" t="str">
            <v>URCOMA 1970, S.A. DE C.V.</v>
          </cell>
          <cell r="Q333" t="str">
            <v>UMN160125869</v>
          </cell>
          <cell r="V333">
            <v>43150</v>
          </cell>
          <cell r="Y333">
            <v>972692.46</v>
          </cell>
          <cell r="AA333" t="str">
            <v>Albañilería, acabados, cancelería e instalación eléctrica en el área de administración y rayos X, y obra complementaria en el estacionamiento, en la Cruz Verde Federalismo, municipio de Zapopan, Jalisco.</v>
          </cell>
          <cell r="AD333">
            <v>43150</v>
          </cell>
          <cell r="AE333">
            <v>43174</v>
          </cell>
        </row>
        <row r="334">
          <cell r="C334" t="str">
            <v>DOPI-MUN-RM-BAN-AD-005-2018</v>
          </cell>
          <cell r="M334" t="str">
            <v>JOSÉ ANTONIO</v>
          </cell>
          <cell r="N334" t="str">
            <v>ÁLVAREZ</v>
          </cell>
          <cell r="O334" t="str">
            <v>ZULOAGA</v>
          </cell>
          <cell r="P334" t="str">
            <v>GRUPO DESARROLLADOR ALZU, S.A. DE C.V.</v>
          </cell>
          <cell r="Q334" t="str">
            <v>GDA150928286</v>
          </cell>
          <cell r="V334">
            <v>43150</v>
          </cell>
          <cell r="Y334">
            <v>1158131.04</v>
          </cell>
          <cell r="AA334" t="str">
            <v>Construcción de banquetas y peatonalización en la Zona de Nixticuitl, municipio de Zapopan, Jalisco.</v>
          </cell>
          <cell r="AD334">
            <v>43150</v>
          </cell>
          <cell r="AE334">
            <v>43189</v>
          </cell>
        </row>
        <row r="335">
          <cell r="C335" t="str">
            <v>DOPI-MUN-RM-BAN-AD-006-2018</v>
          </cell>
          <cell r="M335" t="str">
            <v xml:space="preserve">FRANCISCO GUSTAVO </v>
          </cell>
          <cell r="N335" t="str">
            <v>ACEVES</v>
          </cell>
          <cell r="O335" t="str">
            <v xml:space="preserve">GARZA </v>
          </cell>
          <cell r="P335" t="str">
            <v>TAG SOLUCIONES INTEGRALES, S.A. DE C.V.</v>
          </cell>
          <cell r="Q335" t="str">
            <v>TSI0906015A9</v>
          </cell>
          <cell r="V335">
            <v>43150</v>
          </cell>
          <cell r="Y335">
            <v>1467824.62</v>
          </cell>
          <cell r="AA335" t="str">
            <v>Peatonalización, construcción de banquetas, sustitución de guarniciones, bolardos, señalética vertical y horizontal en la Av. Romanos de Del Dolmen a Av. Patria, en la colonia Altamira, municipio de Zapopan, Jalisco.</v>
          </cell>
          <cell r="AD335">
            <v>43150</v>
          </cell>
          <cell r="AE335">
            <v>43174</v>
          </cell>
        </row>
        <row r="336">
          <cell r="C336" t="str">
            <v>DOPI-MUN-RM-IE-AD-007-2018</v>
          </cell>
          <cell r="M336" t="str">
            <v xml:space="preserve">ALEJANDRO LUIS </v>
          </cell>
          <cell r="N336" t="str">
            <v xml:space="preserve">VAIDOVITS </v>
          </cell>
          <cell r="O336" t="str">
            <v xml:space="preserve"> SCHNURER</v>
          </cell>
          <cell r="P336" t="str">
            <v>PROMACO DE MÉXICO, S.A. DE C.V.</v>
          </cell>
          <cell r="Q336" t="str">
            <v>PME930817EV7</v>
          </cell>
          <cell r="V336">
            <v>43140</v>
          </cell>
          <cell r="Y336">
            <v>290115.26</v>
          </cell>
          <cell r="AA336" t="str">
            <v>Reforzamiento Complementario de estructuras con lonarias los planteles educativos: Primaria Diego Rivera (14DPR3789G) y Escuela Alfredo V. Bonfil (14EPR1115G), municipio de Zapopan, Jalisco.</v>
          </cell>
          <cell r="AD336">
            <v>43143</v>
          </cell>
          <cell r="AE336">
            <v>43190</v>
          </cell>
        </row>
        <row r="337">
          <cell r="C337" t="str">
            <v>DOPI-MUN-RM-ID-AD-008-2018</v>
          </cell>
          <cell r="M337" t="str">
            <v>MARÍA ARCELIA</v>
          </cell>
          <cell r="N337" t="str">
            <v>IÑIGUEZ</v>
          </cell>
          <cell r="O337" t="str">
            <v>HERNÁNDEZ</v>
          </cell>
          <cell r="P337" t="str">
            <v>COMERCIALIZADORA POLIGONO, S..A DE C.V.</v>
          </cell>
          <cell r="Q337" t="str">
            <v>COP1209104M8</v>
          </cell>
          <cell r="V337">
            <v>43145</v>
          </cell>
          <cell r="Y337">
            <v>1712546.87</v>
          </cell>
          <cell r="AA337" t="str">
            <v>Construcción de cancha de usos múltiples, iluminación, ingreso, infraestructura pluvial, pista de trote y andadores en la Unidad Deportiva Miguel de la Madrid, municipio de Zapopan, Jalisco.</v>
          </cell>
          <cell r="AD337">
            <v>43146</v>
          </cell>
          <cell r="AE337">
            <v>43190</v>
          </cell>
        </row>
        <row r="338">
          <cell r="C338" t="str">
            <v>DOPI-MUN-RM-ID-AD-009-2018</v>
          </cell>
          <cell r="M338" t="str">
            <v>HUGO ARMANDO</v>
          </cell>
          <cell r="N338" t="str">
            <v>PRIETO</v>
          </cell>
          <cell r="O338" t="str">
            <v>JIMÉNEZ</v>
          </cell>
          <cell r="P338" t="str">
            <v>CONSTRUCTORA RURAL DEL PAIS, S.A. DE C.V.</v>
          </cell>
          <cell r="Q338" t="str">
            <v>CRP870708I62</v>
          </cell>
          <cell r="V338">
            <v>43145</v>
          </cell>
          <cell r="Y338">
            <v>1706549.23</v>
          </cell>
          <cell r="AA338" t="str">
            <v>Obra civil, Juegos infantiles, mobiliario urbano en la Unidad Deportiva Miguel de la Madrid, municipio de Zapopan, Jalisco.</v>
          </cell>
          <cell r="AD338">
            <v>43146</v>
          </cell>
          <cell r="AE338">
            <v>43200</v>
          </cell>
        </row>
        <row r="339">
          <cell r="C339" t="str">
            <v>DOPI-MUN-RM-PAV-AD-010-2018</v>
          </cell>
          <cell r="M339" t="str">
            <v xml:space="preserve">ELIZABETH </v>
          </cell>
          <cell r="N339" t="str">
            <v xml:space="preserve">DELGADO </v>
          </cell>
          <cell r="O339" t="str">
            <v>NAVARRO</v>
          </cell>
          <cell r="P339" t="str">
            <v>METROPOLIZADORA DE SERVICIOS PARA LA CONSTRUCCION, S.A. DE C.V.</v>
          </cell>
          <cell r="Q339" t="str">
            <v>MSC090401AZ0</v>
          </cell>
          <cell r="V339">
            <v>43145</v>
          </cell>
          <cell r="Y339">
            <v>1418299.12</v>
          </cell>
          <cell r="AA339" t="str">
            <v>Pavimentación con concreto hidráulico en la calle Juan García de la calle Casiano Torres a la calle Ignacio Espinoza, colonia Villa de Guadalupe, incluye: drenaje sanitario, agua potable, banquetas, peatonalización, señalamiento y obras complementarias, en el municipio de Zapopan, Jalisco, frente 1.</v>
          </cell>
          <cell r="AD339">
            <v>43146</v>
          </cell>
          <cell r="AE339">
            <v>43190</v>
          </cell>
        </row>
        <row r="340">
          <cell r="C340" t="str">
            <v>DOPI-MUN-RM-OC-AD-011-2018</v>
          </cell>
          <cell r="M340" t="str">
            <v>ELBA</v>
          </cell>
          <cell r="N340" t="str">
            <v xml:space="preserve">GONZÁLEZ </v>
          </cell>
          <cell r="O340" t="str">
            <v>AGUIRRE</v>
          </cell>
          <cell r="P340" t="str">
            <v>GA URBANIZACIÓN, S.A. DE C.V.</v>
          </cell>
          <cell r="Q340" t="str">
            <v>GUR120612P22</v>
          </cell>
          <cell r="V340">
            <v>43145</v>
          </cell>
          <cell r="Y340">
            <v>916528.42</v>
          </cell>
          <cell r="AA340" t="str">
            <v>Obras emergentes de rehabilitación de muros, plantillas y elementos estructurales en al arroyo Garabato, zona El Briseño, municipio de Zapopan, Jalisco.</v>
          </cell>
          <cell r="AD340">
            <v>43146</v>
          </cell>
          <cell r="AE340">
            <v>43195</v>
          </cell>
        </row>
        <row r="341">
          <cell r="C341" t="str">
            <v>DOPI-MUN-RM-IH-AD-012-2018</v>
          </cell>
          <cell r="M341" t="str">
            <v>ALFREDO</v>
          </cell>
          <cell r="N341" t="str">
            <v>AGUIRRE</v>
          </cell>
          <cell r="O341" t="str">
            <v>MONTOYA</v>
          </cell>
          <cell r="P341" t="str">
            <v>TORRES AGUIRRE INGENIEROS, S.A. DE C.V.</v>
          </cell>
          <cell r="Q341" t="str">
            <v>TAI920312952</v>
          </cell>
          <cell r="V341">
            <v>43145</v>
          </cell>
          <cell r="Y341">
            <v>1159873.06</v>
          </cell>
          <cell r="AA341" t="str">
            <v>Construcción de colector pluvial en Boulevard del Rodeo, de la calle Juan Pablo II a calle Escorial, municipio de Zapopan, Jalisco, frente 1.</v>
          </cell>
          <cell r="AD341">
            <v>43146</v>
          </cell>
          <cell r="AE341">
            <v>43190</v>
          </cell>
        </row>
        <row r="342">
          <cell r="C342" t="str">
            <v>DOPI-MUN-RM-ID-AD-013-2018</v>
          </cell>
          <cell r="M342" t="str">
            <v xml:space="preserve">EDUARDO </v>
          </cell>
          <cell r="N342" t="str">
            <v>CRUZ</v>
          </cell>
          <cell r="O342" t="str">
            <v>MOGUEL</v>
          </cell>
          <cell r="P342" t="str">
            <v>BALKEN, S.A. DE C.V.</v>
          </cell>
          <cell r="Q342" t="str">
            <v>BAL990803661</v>
          </cell>
          <cell r="V342">
            <v>43145</v>
          </cell>
          <cell r="Y342">
            <v>1710451.6</v>
          </cell>
          <cell r="AA342" t="str">
            <v>Instalación de pasto sintético en cancha de futbol y en área de juegos en la unidad santa margarita.</v>
          </cell>
          <cell r="AD342">
            <v>43146</v>
          </cell>
          <cell r="AE342">
            <v>43190</v>
          </cell>
        </row>
        <row r="343">
          <cell r="C343" t="str">
            <v>DOPI-MUN-RM-ID-AD-014-2018</v>
          </cell>
          <cell r="M343" t="str">
            <v xml:space="preserve"> MARTHA </v>
          </cell>
          <cell r="N343" t="str">
            <v>JIMÉNEZ</v>
          </cell>
          <cell r="O343" t="str">
            <v>LÓPEZ</v>
          </cell>
          <cell r="P343" t="str">
            <v>INMOBILIARIA BOCHUM S. DE R.L. DE C.V.</v>
          </cell>
          <cell r="Q343" t="str">
            <v>IBO090918ET9</v>
          </cell>
          <cell r="V343">
            <v>43145</v>
          </cell>
          <cell r="Y343">
            <v>1117278.06</v>
          </cell>
          <cell r="AA343" t="str">
            <v>Construcción de losa de cimentación y graderías en la zona de canchas en la unidad deportiva santa margarita.</v>
          </cell>
          <cell r="AD343">
            <v>43146</v>
          </cell>
          <cell r="AE343">
            <v>43190</v>
          </cell>
        </row>
        <row r="344">
          <cell r="C344" t="str">
            <v>DOPI-MUN-RM-IH-AD-015-2018</v>
          </cell>
          <cell r="M344" t="str">
            <v>DAVID SERGIO</v>
          </cell>
          <cell r="N344" t="str">
            <v>DOMINGUEZ</v>
          </cell>
          <cell r="O344" t="str">
            <v>MEZA</v>
          </cell>
          <cell r="P344" t="str">
            <v>VALIKA CONSTRUCTORA, S.A. DE C.V.</v>
          </cell>
          <cell r="Q344" t="str">
            <v>VCO9412201J0</v>
          </cell>
          <cell r="V344">
            <v>43145</v>
          </cell>
          <cell r="Y344">
            <v>1246722.68</v>
          </cell>
          <cell r="AA344" t="str">
            <v>Construcción de red de drenaje sanitario, red de agua potable e infraestructura pluvial en calle 16 de Septiembre de calle Angulo a la Av. 5 de Mayo, en San Juan de Ocotán, municipio de Zapopan, Jalisco.</v>
          </cell>
          <cell r="AD344">
            <v>43146</v>
          </cell>
          <cell r="AE344">
            <v>43200</v>
          </cell>
        </row>
        <row r="345">
          <cell r="C345" t="str">
            <v>DOPI-MUN-RM-PAV-AD-016-2018</v>
          </cell>
          <cell r="M345" t="str">
            <v>JOSÉ OMAR</v>
          </cell>
          <cell r="N345" t="str">
            <v>FERNÁNDEZ</v>
          </cell>
          <cell r="O345" t="str">
            <v>VÁZQUEZ</v>
          </cell>
          <cell r="P345" t="str">
            <v>EXTRA CONSTRUCCIÓNES, S.A. DE C.V.</v>
          </cell>
          <cell r="Q345" t="str">
            <v>ECO0908115Z7</v>
          </cell>
          <cell r="V345">
            <v>43153</v>
          </cell>
          <cell r="Y345">
            <v>1721356.6</v>
          </cell>
          <cell r="AA345" t="str">
            <v>Pavimentación de vialidad Prolongación Guadalupe, de calle Prolongación Galindo a calle Puerto Chamela, en la colonia Miramar, incluye: red de agua potable, red de drenaje sanitario, banquetas, peatonalización, señalamiento y obras complementarias, municipio de Zapopan, Jalisco.</v>
          </cell>
          <cell r="AD345">
            <v>43154</v>
          </cell>
          <cell r="AE345">
            <v>43190</v>
          </cell>
        </row>
        <row r="346">
          <cell r="C346" t="str">
            <v>DOPI-MUN-RM-ID-AD-017-2018</v>
          </cell>
          <cell r="M346" t="str">
            <v>JOSÉ DE JESÚS</v>
          </cell>
          <cell r="N346" t="str">
            <v>ROMERO</v>
          </cell>
          <cell r="O346" t="str">
            <v>GARCÍA</v>
          </cell>
          <cell r="P346" t="str">
            <v>URBANIZADORA Y CONSTRUCTORA ROAL, S.A. DE C.V.</v>
          </cell>
          <cell r="Q346" t="str">
            <v>URC160310857</v>
          </cell>
          <cell r="V346">
            <v>43159</v>
          </cell>
          <cell r="Y346">
            <v>608405.23</v>
          </cell>
          <cell r="AA346" t="str">
            <v>Construcción de gimnasio al aire libre, incluye peatonalización, equipos, mobiliario urbano e iluminación en el camellón de la Prolongación Acueducto, entre Calzada Federalistas y Av. del Valle, en la colonia Jardines del Valle, municipio de Zapopan, Jalisco.</v>
          </cell>
          <cell r="AD346">
            <v>43160</v>
          </cell>
          <cell r="AE346">
            <v>43205</v>
          </cell>
        </row>
        <row r="347">
          <cell r="C347" t="str">
            <v>DOPI-MUN-RM-ID-AD-018-2018</v>
          </cell>
          <cell r="M347" t="str">
            <v xml:space="preserve">ARTURO </v>
          </cell>
          <cell r="N347" t="str">
            <v>DISTANCIA</v>
          </cell>
          <cell r="O347" t="str">
            <v>SÁNCHEZ</v>
          </cell>
          <cell r="P347" t="str">
            <v>JAVAX CONSULTORES, S.A. DE C.V.</v>
          </cell>
          <cell r="Q347" t="str">
            <v>JCO160413SK4</v>
          </cell>
          <cell r="V347">
            <v>43164</v>
          </cell>
          <cell r="Y347">
            <v>1250031.24</v>
          </cell>
          <cell r="AA347" t="str">
            <v>Obra complementaria para la terminación de módulo de baños en el Centro Acuático y rehabilitación de baños públicos en Unidad Deportiva Francisco Villa, municipio de Zapopan, Jalisco.</v>
          </cell>
          <cell r="AD347">
            <v>43164</v>
          </cell>
          <cell r="AE347">
            <v>43220</v>
          </cell>
        </row>
        <row r="348">
          <cell r="C348" t="str">
            <v>DOPI-MUN-RM-IM-AD-019-2018</v>
          </cell>
          <cell r="M348" t="str">
            <v>GUSTAVO ALEJANDRO</v>
          </cell>
          <cell r="N348" t="str">
            <v>LEDEZMA</v>
          </cell>
          <cell r="O348" t="str">
            <v xml:space="preserve"> CERVANTES</v>
          </cell>
          <cell r="P348" t="str">
            <v>EDIFICACIONES Y PROYECTOS ROCA, S.A. DE C.V.</v>
          </cell>
          <cell r="Q348" t="str">
            <v>EPR131016I71</v>
          </cell>
          <cell r="V348">
            <v>43164</v>
          </cell>
          <cell r="Y348">
            <v>715434.62</v>
          </cell>
          <cell r="AA348" t="str">
            <v>Obra complementaria del centro comunitario, Centro de Emprendimiento, en la colonia Miramar, municipio de Zapopan, Jalisco.</v>
          </cell>
          <cell r="AD348">
            <v>43164</v>
          </cell>
          <cell r="AE348">
            <v>43205</v>
          </cell>
        </row>
        <row r="349">
          <cell r="C349" t="str">
            <v>DOPI-MUN-RM-IM-AD-020-2018</v>
          </cell>
          <cell r="M349" t="str">
            <v xml:space="preserve">MARCO ANTONIO </v>
          </cell>
          <cell r="N349" t="str">
            <v>LOZANO</v>
          </cell>
          <cell r="O349" t="str">
            <v>ESTRADA</v>
          </cell>
          <cell r="P349" t="str">
            <v>DESARROLLADORA FULHAM S. DE R.L. DE C.V.</v>
          </cell>
          <cell r="Q349" t="str">
            <v>DFU090928JB5</v>
          </cell>
          <cell r="V349">
            <v>43171</v>
          </cell>
          <cell r="Y349">
            <v>1236680.3400000001</v>
          </cell>
          <cell r="AA349" t="str">
            <v>Construcción de Parkour y estacionamiento en la Unidad Santa Margarita, municipio de Zapopan, Jalisco.</v>
          </cell>
          <cell r="AD349">
            <v>43171</v>
          </cell>
          <cell r="AE349">
            <v>43220</v>
          </cell>
        </row>
        <row r="350">
          <cell r="C350" t="str">
            <v>DOPI-MUN-RM-IE-AD-021-2018</v>
          </cell>
          <cell r="M350" t="str">
            <v>ARTURO RAFAEL</v>
          </cell>
          <cell r="N350" t="str">
            <v>SALAZAR</v>
          </cell>
          <cell r="O350" t="str">
            <v>MARTÍN DEL CAMPO</v>
          </cell>
          <cell r="P350" t="str">
            <v>KALMANI CONSTRUCTORA, S.A. DE C.V.</v>
          </cell>
          <cell r="Q350" t="str">
            <v>KCO030922UM6</v>
          </cell>
          <cell r="V350">
            <v>43164</v>
          </cell>
          <cell r="Y350">
            <v>1091791.78</v>
          </cell>
          <cell r="AA350" t="str">
            <v>Reforzamiento complementario de estructuras de protección de rayos ultravioleta en los planteles educativos: Secundaria José Antonio Torres (14DE50017T) y Carlos González Peña (14EPR1341C), municipio de Zapopan, Jalisco.</v>
          </cell>
          <cell r="AD350">
            <v>43164</v>
          </cell>
          <cell r="AE350">
            <v>43220</v>
          </cell>
        </row>
        <row r="351">
          <cell r="C351" t="str">
            <v>DOPI-MUN-RM-SERV-AD-103-2018</v>
          </cell>
          <cell r="M351" t="str">
            <v>ARMANDO</v>
          </cell>
          <cell r="N351" t="str">
            <v>ARROYO</v>
          </cell>
          <cell r="O351" t="str">
            <v>ZEPEDA</v>
          </cell>
          <cell r="P351" t="str">
            <v>CONSTRUCCIÓNES Y EXTRUCTURAS ITZ, S.A. DE C.V.</v>
          </cell>
          <cell r="Q351" t="str">
            <v>CEI000807E95</v>
          </cell>
          <cell r="V351">
            <v>43178</v>
          </cell>
          <cell r="Y351">
            <v>300125.36</v>
          </cell>
          <cell r="AA351" t="str">
            <v>Diagnóstico, diseño y proyectos de infraestructura eléctrica para obras de ramo 33, municipio de Zapopan, Jalisco, frente 1.</v>
          </cell>
          <cell r="AD351">
            <v>43178</v>
          </cell>
          <cell r="AE351">
            <v>43251</v>
          </cell>
        </row>
        <row r="352">
          <cell r="C352" t="str">
            <v>DOPI-MUN-RM-MOV-AD-106-2018</v>
          </cell>
          <cell r="M352" t="str">
            <v>ANDRÉS EDUARDO</v>
          </cell>
          <cell r="N352" t="str">
            <v>ACEVES</v>
          </cell>
          <cell r="O352" t="str">
            <v>CASTAÑEDA</v>
          </cell>
          <cell r="P352" t="str">
            <v>SECRI CONSTRUCTORA, S.A. DE C.V.</v>
          </cell>
          <cell r="Q352" t="str">
            <v>SCO100609EVA</v>
          </cell>
          <cell r="V352">
            <v>43234</v>
          </cell>
          <cell r="Y352">
            <v>1126498.8600000001</v>
          </cell>
          <cell r="AA352" t="str">
            <v>Señalización vertical, horizontal y servicios complementarios en la Lateral Poniente de Periférico de Prolongación Av. Central Guillermo González Camarena a calle 5 de Mayo, municipio de Zapopan, Jalisco.</v>
          </cell>
          <cell r="AD352">
            <v>43235</v>
          </cell>
          <cell r="AE352">
            <v>43277</v>
          </cell>
        </row>
        <row r="353">
          <cell r="C353" t="str">
            <v>DOPI-MUN-RM-IM-AD-107-2018</v>
          </cell>
          <cell r="M353" t="str">
            <v xml:space="preserve">ARTURO </v>
          </cell>
          <cell r="N353" t="str">
            <v>DISTANCIA</v>
          </cell>
          <cell r="O353" t="str">
            <v>SÁNCHEZ</v>
          </cell>
          <cell r="P353" t="str">
            <v>JAVAX CONSULTORES, S.A. DE C.V.</v>
          </cell>
          <cell r="Q353" t="str">
            <v>JCO160413SK4</v>
          </cell>
          <cell r="V353">
            <v>43203</v>
          </cell>
          <cell r="Y353">
            <v>435785.44</v>
          </cell>
          <cell r="AA353" t="str">
            <v>Rehabilitación de módulo de oficinas y aulas para academias municipales, ubicado en Av. Tabachines en su cruce con Periférico Norte, municipio de Zapopan, Jalisco.</v>
          </cell>
          <cell r="AD353">
            <v>43206</v>
          </cell>
          <cell r="AE353">
            <v>43251</v>
          </cell>
        </row>
        <row r="354">
          <cell r="C354" t="str">
            <v>DOPI-MUN-RM-PAV-AD-108-2018</v>
          </cell>
          <cell r="M354" t="str">
            <v>CARLOS</v>
          </cell>
          <cell r="N354" t="str">
            <v>PÉREZ</v>
          </cell>
          <cell r="O354" t="str">
            <v>CRUZ</v>
          </cell>
          <cell r="P354" t="str">
            <v>CONSTRUCTORA PECRU, S.A. DE C.V.</v>
          </cell>
          <cell r="Q354" t="str">
            <v>CPE070123PD4</v>
          </cell>
          <cell r="V354">
            <v>43175</v>
          </cell>
          <cell r="Y354">
            <v>1673532.2</v>
          </cell>
          <cell r="AA354" t="str">
            <v>Construcción de pavimento de concreto hidráulico, incluye: guarniciones, banquetas, accesibilidad y servicios complementarios en la calle Nueva Orleans de Lituania a Av. Juan Gil Preciado, colonia Juan Gil Preciado, municipio de Zapopan, Jalisco.</v>
          </cell>
          <cell r="AD354">
            <v>43178</v>
          </cell>
          <cell r="AE354">
            <v>43251</v>
          </cell>
        </row>
        <row r="355">
          <cell r="C355" t="str">
            <v>DOPI-MUN-RM-IM-AD-109-2018</v>
          </cell>
          <cell r="M355" t="str">
            <v xml:space="preserve">J. JESÚS </v>
          </cell>
          <cell r="N355" t="str">
            <v>CÁRDENAS</v>
          </cell>
          <cell r="O355" t="str">
            <v>SILVA</v>
          </cell>
          <cell r="P355" t="str">
            <v>STUDIO KAPITAL CONSTRUCTORA, S.A. DE C.V.</v>
          </cell>
          <cell r="Q355" t="str">
            <v>SKC171027PH6</v>
          </cell>
          <cell r="V355">
            <v>43187</v>
          </cell>
          <cell r="Y355">
            <v>1796254.78</v>
          </cell>
          <cell r="AA355" t="str">
            <v>Estructura con lonaria en cancha de basketball en la Unidad Deportiva República, ubicada en la colonia Centro, municipio de Zapopan, Jalisco.</v>
          </cell>
          <cell r="AD355">
            <v>43192</v>
          </cell>
          <cell r="AE355">
            <v>43235</v>
          </cell>
        </row>
        <row r="356">
          <cell r="C356" t="str">
            <v>DOPI-MUN-RM-PROY-AD-110-2018</v>
          </cell>
          <cell r="M356" t="str">
            <v>RICARDO</v>
          </cell>
          <cell r="N356" t="str">
            <v>HARO</v>
          </cell>
          <cell r="O356" t="str">
            <v>BUGARIN</v>
          </cell>
          <cell r="P356" t="str">
            <v>CENTRAL EDIFICACIONES, S.A. DE C.V.</v>
          </cell>
          <cell r="Q356" t="str">
            <v>CED030514T47</v>
          </cell>
          <cell r="V356">
            <v>43187</v>
          </cell>
          <cell r="Y356">
            <v>1205254.78</v>
          </cell>
          <cell r="AA356" t="str">
            <v>Diagnóstico, diseño y proyectos estructurales de diferentes elementos del programa 2018 primera etapa, municipio de Zapopan, Jalisco.</v>
          </cell>
          <cell r="AD356">
            <v>43192</v>
          </cell>
          <cell r="AE356">
            <v>43312</v>
          </cell>
        </row>
        <row r="357">
          <cell r="C357" t="str">
            <v>DOPI-MUN-RM-SERV-AD-111-2018</v>
          </cell>
          <cell r="M357" t="str">
            <v>RICARDO</v>
          </cell>
          <cell r="N357" t="str">
            <v>MEZA</v>
          </cell>
          <cell r="O357" t="str">
            <v>PONCE</v>
          </cell>
          <cell r="P357" t="str">
            <v>CME CALIDAD MODELO DE EFICANCIA, S.A. DE C.V.</v>
          </cell>
          <cell r="Q357" t="str">
            <v>CCM1405243C4</v>
          </cell>
          <cell r="V357">
            <v>43175</v>
          </cell>
          <cell r="Y357">
            <v>1315420.48</v>
          </cell>
          <cell r="AA357" t="str">
            <v>Control de calidad de diferentes obras 2018 del municipio de Zapopan, Jalisco, frente 1.</v>
          </cell>
          <cell r="AD357">
            <v>43178</v>
          </cell>
          <cell r="AE357">
            <v>43343</v>
          </cell>
        </row>
        <row r="358">
          <cell r="C358" t="str">
            <v>DOPI-MUN-RM-SERV-AD-112-2018</v>
          </cell>
          <cell r="M358" t="str">
            <v>JOSÉ ALEJANDRO</v>
          </cell>
          <cell r="N358" t="str">
            <v>ALVA</v>
          </cell>
          <cell r="O358" t="str">
            <v>DELGADO</v>
          </cell>
          <cell r="P358" t="str">
            <v>SERVICIOS DE OBRAS CIVILES SERCO, S.A. DE C.V.</v>
          </cell>
          <cell r="Q358" t="str">
            <v>SOC150806E69</v>
          </cell>
          <cell r="V358">
            <v>43175</v>
          </cell>
          <cell r="Y358">
            <v>1225478.6399999999</v>
          </cell>
          <cell r="AA358" t="str">
            <v>Control de calidad de diferentes obras 2018 del municipio de Zapopan, Jalisco, frente 2.</v>
          </cell>
          <cell r="AD358">
            <v>43178</v>
          </cell>
          <cell r="AE358">
            <v>43343</v>
          </cell>
        </row>
        <row r="359">
          <cell r="C359" t="str">
            <v>DOPI-MUN-RM-SERV-AD-113-2018</v>
          </cell>
          <cell r="M359" t="str">
            <v>RICARDO</v>
          </cell>
          <cell r="N359" t="str">
            <v>MEZA</v>
          </cell>
          <cell r="O359" t="str">
            <v>PONCE</v>
          </cell>
          <cell r="P359" t="str">
            <v>CME CALIDAD MODELO DE EFICANCIA, S.A. DE C.V.</v>
          </cell>
          <cell r="Q359" t="str">
            <v>CCM1405243C4</v>
          </cell>
          <cell r="V359">
            <v>43175</v>
          </cell>
          <cell r="Y359">
            <v>850254.36</v>
          </cell>
          <cell r="AA359" t="str">
            <v>Control topográfico en trazo y nivelación de elementos estructurales, urbanisticos para la Construcción del Centro Integral de Servicios del Municipio de Zapopan.</v>
          </cell>
          <cell r="AD359">
            <v>43178</v>
          </cell>
          <cell r="AE359">
            <v>43343</v>
          </cell>
        </row>
        <row r="360">
          <cell r="C360" t="str">
            <v>DOPI-MUN-RM-IM-AD-114-2018</v>
          </cell>
          <cell r="M360" t="str">
            <v>ALFREDO</v>
          </cell>
          <cell r="N360" t="str">
            <v>FLORES</v>
          </cell>
          <cell r="O360" t="str">
            <v>CHÁVEZ</v>
          </cell>
          <cell r="P360" t="str">
            <v>ALFREDO FLORES CHÁVEZ</v>
          </cell>
          <cell r="Q360" t="str">
            <v>FOCA830904HT8</v>
          </cell>
          <cell r="V360">
            <v>43173</v>
          </cell>
          <cell r="Y360">
            <v>1798554.26</v>
          </cell>
          <cell r="AA360" t="str">
            <v>Rehabilitación del Centro Comunitario en la colonia El Colli CTM, municipio de Zapopan, Jalisco, segunda etapa.</v>
          </cell>
          <cell r="AD360">
            <v>43174</v>
          </cell>
          <cell r="AE360">
            <v>43220</v>
          </cell>
        </row>
        <row r="361">
          <cell r="C361" t="str">
            <v>DOPI-MUN-RM-PAV-AD-115-2018</v>
          </cell>
          <cell r="M361" t="str">
            <v>JUAN CARLOS</v>
          </cell>
          <cell r="N361" t="str">
            <v>SUAZO</v>
          </cell>
          <cell r="O361" t="str">
            <v>HERNÁNDEZ</v>
          </cell>
          <cell r="P361" t="str">
            <v>CODIGO A CONSTRUCTORES, S.A. DE C.V.</v>
          </cell>
          <cell r="Q361" t="str">
            <v>CCO1304181PA</v>
          </cell>
          <cell r="V361">
            <v>43187</v>
          </cell>
          <cell r="Y361">
            <v>1650234.78</v>
          </cell>
          <cell r="AA361" t="str">
            <v>Pavimentación con concreto hidráulico en la calle Juan García de la calle Casiano Torres a la calle Ignacio Espinoza, colonia Villa de Guadalupe, incluye: drenaje sanitario, agua potable, banquetas, peatonalización, señalamiento y obras complementarias, en el municipio de Zapopan, Jalisco, frente 2.</v>
          </cell>
          <cell r="AD361">
            <v>43192</v>
          </cell>
          <cell r="AE361">
            <v>43235</v>
          </cell>
        </row>
        <row r="362">
          <cell r="C362" t="str">
            <v>DOPI-MUN-RM-IH-AD-116-2018</v>
          </cell>
          <cell r="M362" t="str">
            <v>JOSÉ ANTONIO</v>
          </cell>
          <cell r="N362" t="str">
            <v>CUEVAS</v>
          </cell>
          <cell r="O362" t="str">
            <v>BRISEÑO</v>
          </cell>
          <cell r="P362" t="str">
            <v>JOSÉ ANTONIO CUEVAS BRISEÑO</v>
          </cell>
          <cell r="Q362" t="str">
            <v>CUBA5705179V8</v>
          </cell>
          <cell r="V362">
            <v>43187</v>
          </cell>
          <cell r="Y362">
            <v>839908.08</v>
          </cell>
          <cell r="AA362" t="str">
            <v>Construcción de colector pluvial en Boulevard del Rodeo, de la calle Juan Pablo II a calle Escorial, municipio de Zapopan, Jalisco, fente 2.</v>
          </cell>
          <cell r="AD362">
            <v>43192</v>
          </cell>
          <cell r="AE362">
            <v>43235</v>
          </cell>
        </row>
        <row r="363">
          <cell r="C363" t="str">
            <v>DOPI-MUN-RM-PAV-AD-117-2018</v>
          </cell>
          <cell r="M363" t="str">
            <v>CARLOS CELSO</v>
          </cell>
          <cell r="N363" t="str">
            <v>GARCÍA</v>
          </cell>
          <cell r="O363" t="str">
            <v>QUINTERO</v>
          </cell>
          <cell r="P363" t="str">
            <v>GRUPO CONSTRUCTOR HISACA, S.A. DE C.V.</v>
          </cell>
          <cell r="Q363" t="str">
            <v>GCH070702SH8</v>
          </cell>
          <cell r="V363">
            <v>43182</v>
          </cell>
          <cell r="Y363">
            <v>1325087.44</v>
          </cell>
          <cell r="AA363" t="str">
            <v>Pavimentación con concreto hidráulico de calle 16 de Septiembre de de calle Angulo a la Av. 5 de Mayo, incluye: banquetas, peatonalización, señalamiento y obras complementarias, en San Juan de Ocotán, municipio de Zapopan, Jalisco.</v>
          </cell>
          <cell r="AD363">
            <v>43185</v>
          </cell>
          <cell r="AE363">
            <v>43267</v>
          </cell>
        </row>
        <row r="364">
          <cell r="C364" t="str">
            <v>DOPI-MUN-RM-ELE-AD-118-2018</v>
          </cell>
          <cell r="M364" t="str">
            <v>ANA KARINA</v>
          </cell>
          <cell r="N364" t="str">
            <v>OJEDA</v>
          </cell>
          <cell r="O364" t="str">
            <v>FERRELL</v>
          </cell>
          <cell r="P364" t="str">
            <v>KP CONSTRUCTORA E INMOBILIARIA, S.A. DE C.V.</v>
          </cell>
          <cell r="Q364" t="str">
            <v>KCI120928CD5</v>
          </cell>
          <cell r="V364">
            <v>43187</v>
          </cell>
          <cell r="Y364">
            <v>1794066.85</v>
          </cell>
          <cell r="AA364" t="str">
            <v>Red de electrificación de media y baja tensión en la Lateral Poniente de Periférico de Prolongación Av. Central Guillermo González Camarena a calle 5 de Mayo, municipio de Zapopan, Jalisco.</v>
          </cell>
          <cell r="AD364">
            <v>43192</v>
          </cell>
          <cell r="AE364">
            <v>43235</v>
          </cell>
        </row>
        <row r="365">
          <cell r="C365" t="str">
            <v>DOPI-MUN-RM-BACHEO-AD-119-2018</v>
          </cell>
          <cell r="M365" t="str">
            <v>ÁNGEL SALOMÓN</v>
          </cell>
          <cell r="N365" t="str">
            <v>RINCÓN</v>
          </cell>
          <cell r="O365" t="str">
            <v>DE LA ROSA</v>
          </cell>
          <cell r="P365" t="str">
            <v>ARO ASFALTOS Y RIEGOS DE OCCIDENTE, S.A. DE C.V.</v>
          </cell>
          <cell r="Q365" t="str">
            <v>AAR120507VA9</v>
          </cell>
          <cell r="V365">
            <v>43187</v>
          </cell>
          <cell r="Y365">
            <v>1654654.79</v>
          </cell>
          <cell r="AA365" t="str">
            <v>Programa municipal de bacheo superficial aislado y nivelación con mezcla asfáltica en caliente en vialidades, Zona Sur Poniente, frente 1, municipio de Zapopan, Jalisco.</v>
          </cell>
          <cell r="AD365">
            <v>43192</v>
          </cell>
          <cell r="AE365">
            <v>43251</v>
          </cell>
        </row>
        <row r="366">
          <cell r="C366" t="str">
            <v>DOPI-MUN-RM-BACHEO-AD-120-2018</v>
          </cell>
          <cell r="M366" t="str">
            <v xml:space="preserve">HUGO </v>
          </cell>
          <cell r="N366" t="str">
            <v>BOJORQUEZ</v>
          </cell>
          <cell r="O366" t="str">
            <v>SÁNCHEZ</v>
          </cell>
          <cell r="P366" t="str">
            <v>BACHEO JET, S.A. DE C.V.</v>
          </cell>
          <cell r="Q366" t="str">
            <v>BJE1308202Z2</v>
          </cell>
          <cell r="V366">
            <v>43187</v>
          </cell>
          <cell r="Y366">
            <v>1722436.89</v>
          </cell>
          <cell r="AA366" t="str">
            <v>Programa municipal de bacheo superficial aislado y nivelación con mezcla asfáltica en vialidades, en diferentes Zonas, frente 1, municipio de Zapopan, Jalisco.</v>
          </cell>
          <cell r="AD366">
            <v>43192</v>
          </cell>
          <cell r="AE366">
            <v>43251</v>
          </cell>
        </row>
        <row r="367">
          <cell r="C367" t="str">
            <v>DOPI-MUN-RM-BACHEO-AD-121-2018</v>
          </cell>
          <cell r="M367" t="str">
            <v>RODRIGO</v>
          </cell>
          <cell r="N367" t="str">
            <v>RAMOS</v>
          </cell>
          <cell r="O367" t="str">
            <v>GARIBI</v>
          </cell>
          <cell r="P367" t="str">
            <v>METRO ASFALTOS, S.A. DE C.V.</v>
          </cell>
          <cell r="Q367" t="str">
            <v>CMA070307RU6</v>
          </cell>
          <cell r="V367">
            <v>43187</v>
          </cell>
          <cell r="Y367">
            <v>1696874.24</v>
          </cell>
          <cell r="AA367" t="str">
            <v>Programa municipal de bacheo superficial aislado y nivelación con mezcla asfáltica en caliente en vialidades, Zona Nor Poniente, frente 1, municipio de Zapopan, Jalisco.</v>
          </cell>
          <cell r="AD367">
            <v>43192</v>
          </cell>
          <cell r="AE367">
            <v>43251</v>
          </cell>
        </row>
        <row r="368">
          <cell r="C368" t="str">
            <v>DOPI-MUN-RM-BACHEO-AD-122-2018</v>
          </cell>
          <cell r="M368" t="str">
            <v>JESÚS DAVID</v>
          </cell>
          <cell r="N368" t="str">
            <v xml:space="preserve">GARZA </v>
          </cell>
          <cell r="O368" t="str">
            <v>GARCÍA</v>
          </cell>
          <cell r="P368" t="str">
            <v>CONSTRUCCIÓNES  ELECTRIFICACIONES Y ARRENDAMIENTO DE MAQUINARIA S.A. DE C.V.</v>
          </cell>
          <cell r="Q368" t="str">
            <v>CEA010615GT0</v>
          </cell>
          <cell r="V368">
            <v>43187</v>
          </cell>
          <cell r="Y368">
            <v>1764325.15</v>
          </cell>
          <cell r="AA368" t="str">
            <v>Programa municipal de bacheo superficial aislado y nivelación con mezcla asfáltica en caliente en vialidades, Zona Centro, frente 1, municipio de Zapopan, Jalisco.</v>
          </cell>
          <cell r="AD368">
            <v>43192</v>
          </cell>
          <cell r="AE368">
            <v>43251</v>
          </cell>
        </row>
        <row r="369">
          <cell r="C369" t="str">
            <v>DOPI-MUN-RM-CALAFATEO-AD-123-2018</v>
          </cell>
          <cell r="M369" t="str">
            <v>OSCAR MELESIO</v>
          </cell>
          <cell r="N369" t="str">
            <v>HERNÁNDEZ</v>
          </cell>
          <cell r="O369" t="str">
            <v>VALERIANO</v>
          </cell>
          <cell r="P369" t="str">
            <v>CONSTRUCTORA GRINA, S.A. DE C.V.</v>
          </cell>
          <cell r="Q369" t="str">
            <v>CGR120828P29</v>
          </cell>
          <cell r="V369">
            <v>43187</v>
          </cell>
          <cell r="Y369">
            <v>1776315.78</v>
          </cell>
          <cell r="AA369" t="str">
            <v>Programa municipal de calafateo en juntas y grietas de pavimentos hidráulicos con sellador asfaltico en vialidades, Zona Centro, frente 1, municipio de Zapopan, Jalisco.</v>
          </cell>
          <cell r="AD369">
            <v>43192</v>
          </cell>
          <cell r="AE369">
            <v>43281</v>
          </cell>
        </row>
        <row r="370">
          <cell r="C370" t="str">
            <v>DOPI-MUN-RM-CALAFATEO-AD-124-2018</v>
          </cell>
          <cell r="M370" t="str">
            <v>JOSÉ DE JESÚS</v>
          </cell>
          <cell r="N370" t="str">
            <v>PALAFOX</v>
          </cell>
          <cell r="O370" t="str">
            <v>VILLEGAS</v>
          </cell>
          <cell r="P370" t="str">
            <v>MEGAENLACE CONSTRUCCIÓNES S.A. DE C.V.</v>
          </cell>
          <cell r="Q370" t="str">
            <v>MCO1510113H8</v>
          </cell>
          <cell r="V370">
            <v>43187</v>
          </cell>
          <cell r="Y370">
            <v>1692436.74</v>
          </cell>
          <cell r="AA370" t="str">
            <v>Programa municipal de calafateo en juntas y grietas de pavimentos hidráulicos con sellador asfaltico en vialidades, Zona Sur Poniente, frente 1, municipio de Zapopan, Jalisco.</v>
          </cell>
          <cell r="AD370">
            <v>43192</v>
          </cell>
          <cell r="AE370">
            <v>43281</v>
          </cell>
        </row>
        <row r="371">
          <cell r="C371" t="str">
            <v>DOPI-MUN-RM-DES-AD-125-2018</v>
          </cell>
          <cell r="M371" t="str">
            <v>DARIO</v>
          </cell>
          <cell r="N371" t="str">
            <v>HURTADO</v>
          </cell>
          <cell r="O371" t="str">
            <v>SERRANO</v>
          </cell>
          <cell r="P371" t="str">
            <v>EDH INGENIERIA Y DISEÑO, S.A. DE C.V.</v>
          </cell>
          <cell r="Q371" t="str">
            <v>EID120425SQ2</v>
          </cell>
          <cell r="V371">
            <v>43203</v>
          </cell>
          <cell r="Y371">
            <v>1595324.1</v>
          </cell>
          <cell r="AA371" t="str">
            <v>Desazolve, limpieza, rectificación y obras de protección de cauce y canal del Arroyo Garabato de Arenales Tapatíos a Periférico, municipio de Zapopan, Jalisco, primera etapa.</v>
          </cell>
          <cell r="AD371">
            <v>43206</v>
          </cell>
          <cell r="AE371">
            <v>43251</v>
          </cell>
        </row>
        <row r="372">
          <cell r="C372" t="str">
            <v>DOPI-MUN-RM-DES-AD-126-2018</v>
          </cell>
          <cell r="M372" t="str">
            <v>MA. LUIZA</v>
          </cell>
          <cell r="N372" t="str">
            <v>MARTÍNEZ</v>
          </cell>
          <cell r="O372" t="str">
            <v>ALMARAZ</v>
          </cell>
          <cell r="P372" t="str">
            <v>J&amp;L ASESORIA Y SERVICIOS, S.A. DE C.V.</v>
          </cell>
          <cell r="Q372" t="str">
            <v>JAS170622TX0</v>
          </cell>
          <cell r="V372">
            <v>43203</v>
          </cell>
          <cell r="Y372">
            <v>1686334.79</v>
          </cell>
          <cell r="AA372" t="str">
            <v>Desazolve, limpieza, rectificación y obras de protección de cauce y canal del Arroyo Seco de Lomas de la Primavera a Periférico, municipio de Zapopan, Jalisco, primera etapa.</v>
          </cell>
          <cell r="AD372">
            <v>43206</v>
          </cell>
          <cell r="AE372">
            <v>43281</v>
          </cell>
        </row>
        <row r="373">
          <cell r="C373" t="str">
            <v>DOPI-MUN-CUSMAX-IM-AD-127-2018</v>
          </cell>
          <cell r="M373" t="str">
            <v>RICARDO</v>
          </cell>
          <cell r="N373" t="str">
            <v>HARO</v>
          </cell>
          <cell r="O373" t="str">
            <v>BUGARIN</v>
          </cell>
          <cell r="P373" t="str">
            <v>CENTRAL EDIFICACIONES, S.A. DE C.V.</v>
          </cell>
          <cell r="Q373" t="str">
            <v>CED030514T47</v>
          </cell>
          <cell r="V373">
            <v>43203</v>
          </cell>
          <cell r="Y373">
            <v>1765454.36</v>
          </cell>
          <cell r="AA373" t="str">
            <v>Construcción de la cimentación y cisternas en la estación de bomberos, ubicada en Av. Universidad, municipio de Zapopan, Jalisco.</v>
          </cell>
          <cell r="AD373">
            <v>43206</v>
          </cell>
          <cell r="AE373">
            <v>43281</v>
          </cell>
        </row>
        <row r="374">
          <cell r="C374" t="str">
            <v>DOPI-MUN-R33-DS-AD-128-2018</v>
          </cell>
          <cell r="M374" t="str">
            <v>JOSÉ DE JESÚS</v>
          </cell>
          <cell r="N374" t="str">
            <v>PALAFOX</v>
          </cell>
          <cell r="O374" t="str">
            <v>VILLEGAS</v>
          </cell>
          <cell r="P374" t="str">
            <v>MEGAENLACE CONSTRUCCIÓNES S.A. DE C.V.</v>
          </cell>
          <cell r="Q374" t="str">
            <v>MCO1510113H8</v>
          </cell>
          <cell r="V374">
            <v>43187</v>
          </cell>
          <cell r="Y374">
            <v>720360.47</v>
          </cell>
          <cell r="AA374" t="str">
            <v>Construcción de red de drenaje en la Lateral Prolongación Mariano Otero, colonia Puerta del Bosque, municipio de Zapopan, Jalisco.</v>
          </cell>
          <cell r="AD374">
            <v>43192</v>
          </cell>
          <cell r="AE374">
            <v>43266</v>
          </cell>
        </row>
        <row r="375">
          <cell r="C375" t="str">
            <v>DOPI-MUN-R33-APDS-AD-129-2018</v>
          </cell>
          <cell r="M375" t="str">
            <v>JOSÉ DE JESÚS</v>
          </cell>
          <cell r="N375" t="str">
            <v>MARQUEZ</v>
          </cell>
          <cell r="O375" t="str">
            <v>ÁVILA</v>
          </cell>
          <cell r="P375" t="str">
            <v>FUTUROBRAS, S.A. DE C.V.</v>
          </cell>
          <cell r="Q375" t="str">
            <v>FUT1110275V9</v>
          </cell>
          <cell r="V375">
            <v>43187</v>
          </cell>
          <cell r="Y375">
            <v>539750.36</v>
          </cell>
          <cell r="AA375" t="str">
            <v>Construcción de líneas de drenaje y agua potable en la calle Belisario Domínguez, en la colonia Mariano Otero, municipio de Zapopan, Jalisco.</v>
          </cell>
          <cell r="AD375">
            <v>43192</v>
          </cell>
          <cell r="AE375">
            <v>43266</v>
          </cell>
        </row>
        <row r="376">
          <cell r="C376" t="str">
            <v>DOPI-MUN-R33-APDS-AD-130-2018</v>
          </cell>
          <cell r="M376" t="str">
            <v>ALEJANDRO</v>
          </cell>
          <cell r="N376" t="str">
            <v>MONTUFAR</v>
          </cell>
          <cell r="O376" t="str">
            <v>NUÑEZ</v>
          </cell>
          <cell r="P376" t="str">
            <v>CONSORCIO CONSTRUCTOR VALVULA S.A. DE C.V.</v>
          </cell>
          <cell r="Q376" t="str">
            <v>CCV120524J49</v>
          </cell>
          <cell r="V376">
            <v>43187</v>
          </cell>
          <cell r="Y376">
            <v>1207386.1599999999</v>
          </cell>
          <cell r="AA376" t="str">
            <v>Construcción de líneas de drenaje y agua potable en la colonia Miramar, municipio de Zapopan, Jalisco.</v>
          </cell>
          <cell r="AD376">
            <v>43192</v>
          </cell>
          <cell r="AE376">
            <v>43251</v>
          </cell>
        </row>
        <row r="377">
          <cell r="C377" t="str">
            <v>DOPI-MUN-RM-APDS-AD-131-2018</v>
          </cell>
          <cell r="M377" t="str">
            <v>FRANCISCO JAVIER</v>
          </cell>
          <cell r="N377" t="str">
            <v>AYALA</v>
          </cell>
          <cell r="O377" t="str">
            <v>LEAL</v>
          </cell>
          <cell r="P377" t="str">
            <v>OBRAS Y PROYECTOS ACUARIO, S.A. DE C.V.</v>
          </cell>
          <cell r="Q377" t="str">
            <v>OPA140403K72</v>
          </cell>
          <cell r="V377">
            <v>43220</v>
          </cell>
          <cell r="Y377">
            <v>538548.63</v>
          </cell>
          <cell r="AA377" t="str">
            <v>Construcción de red de drenaje y agua potable en la Privada Diaz, colonia California; Seccionamiento de red distribución en el crucero ubicado sobre la Av. Aviación en su cruce con Paseo San Arturo, en la localidad de San Juan de Ocotán, municipio de Zapopan, Jalisco.</v>
          </cell>
          <cell r="AD377">
            <v>43222</v>
          </cell>
          <cell r="AE377">
            <v>43266</v>
          </cell>
        </row>
        <row r="378">
          <cell r="C378" t="str">
            <v>DOPI-MUN-RM-PAV-AD-132-2018</v>
          </cell>
          <cell r="M378" t="str">
            <v>JOSÉ OMAR</v>
          </cell>
          <cell r="N378" t="str">
            <v>FERNÁNDEZ</v>
          </cell>
          <cell r="O378" t="str">
            <v>VÁZQUEZ</v>
          </cell>
          <cell r="P378" t="str">
            <v>JOSÉ OMAR FERNÁNDEZ VÁZQUEZ</v>
          </cell>
          <cell r="Q378" t="str">
            <v>FEVO740619686</v>
          </cell>
          <cell r="V378">
            <v>43182</v>
          </cell>
          <cell r="Y378">
            <v>1715654.36</v>
          </cell>
          <cell r="AA378" t="str">
            <v>Construcción de pavimento de empedrado tradicional, incluye: línea de agua potable, descargas sanitarias, guarniciones, banquetas, accesibilidad y servicios complementarios en la calle Hidalgo de las vías a Ejido y de la calle Ejido de Hidalgo a Manuel García, en la localidad La Venta del Astillero, municipio de Zapopan, Jalisco.</v>
          </cell>
          <cell r="AD378">
            <v>43185</v>
          </cell>
          <cell r="AE378">
            <v>43281</v>
          </cell>
        </row>
        <row r="379">
          <cell r="C379" t="str">
            <v>DOPI-MUN-RM-APDS-AD-133-2018</v>
          </cell>
          <cell r="M379" t="str">
            <v>MELESIO</v>
          </cell>
          <cell r="N379" t="str">
            <v>HERNÁNDEZ</v>
          </cell>
          <cell r="O379" t="str">
            <v>MARTÍNEZ</v>
          </cell>
          <cell r="P379" t="str">
            <v>CONSTRUCTORA VICO, S.A. DE C.V.</v>
          </cell>
          <cell r="Q379" t="str">
            <v>CVI980213UM6</v>
          </cell>
          <cell r="V379">
            <v>43187</v>
          </cell>
          <cell r="Y379">
            <v>817165.77</v>
          </cell>
          <cell r="AA379" t="str">
            <v>Sustitución de línea de agua potable y obra complementaria de la red de drenaje sanitario en las calles Quirino Rivera y Daniel Macías, colonia Villa de Guadalupe, municipio de Zapopan, Jalisco.</v>
          </cell>
          <cell r="AD379">
            <v>43192</v>
          </cell>
          <cell r="AE379">
            <v>43235</v>
          </cell>
        </row>
        <row r="380">
          <cell r="C380" t="str">
            <v>DOPI-MUN-RM-ELE-AD-134-2018</v>
          </cell>
          <cell r="M380" t="str">
            <v>ARMANDO</v>
          </cell>
          <cell r="N380" t="str">
            <v>ARROYO</v>
          </cell>
          <cell r="O380" t="str">
            <v>ZEPEDA</v>
          </cell>
          <cell r="P380" t="str">
            <v>CONSTRUCCIÓNES Y EXTRUCTURAS ITZ, S.A. DE C.V.</v>
          </cell>
          <cell r="Q380" t="str">
            <v>CEI000807E95</v>
          </cell>
          <cell r="V380">
            <v>43203</v>
          </cell>
          <cell r="Y380">
            <v>719246.56</v>
          </cell>
          <cell r="AA380" t="str">
            <v>Red de electrificación de media tensión para el cárcamo de bombeo de aguas residuales ubicado en la colonia Lomas del Centinela, municipio de Zapopan, Jalisco.</v>
          </cell>
          <cell r="AD380">
            <v>43206</v>
          </cell>
          <cell r="AE380">
            <v>43235</v>
          </cell>
        </row>
        <row r="381">
          <cell r="C381" t="str">
            <v>DOPI-MUN-RM-APDS-AD-135-2018</v>
          </cell>
          <cell r="M381" t="str">
            <v>J. GERARDO</v>
          </cell>
          <cell r="N381" t="str">
            <v>NICANOR</v>
          </cell>
          <cell r="O381" t="str">
            <v>MEJIA MARISCAL</v>
          </cell>
          <cell r="P381" t="str">
            <v>INECO CONSTRUYE, S.A. DE C.V.</v>
          </cell>
          <cell r="Q381" t="str">
            <v>ICO980722MQ4</v>
          </cell>
          <cell r="V381">
            <v>43175</v>
          </cell>
          <cell r="Y381">
            <v>1793654.36</v>
          </cell>
          <cell r="AA381" t="str">
            <v>Construcción de línea de agua potable, drenaje sanitario y subestructura de pavimento en la Av. Palmira de Jazmin a Agua Azul, colonia La Palmira, municipio de Zapopan, Jalisco</v>
          </cell>
          <cell r="AD381">
            <v>43178</v>
          </cell>
          <cell r="AE381">
            <v>43251</v>
          </cell>
        </row>
        <row r="382">
          <cell r="C382" t="str">
            <v>DOPI-MUN-RM-SERV-BACHEO-AD-136-2018</v>
          </cell>
          <cell r="M382" t="str">
            <v>OMAR ALFREDO</v>
          </cell>
          <cell r="N382" t="str">
            <v>MARTÍNEZ</v>
          </cell>
          <cell r="O382" t="str">
            <v>GÓMEZ</v>
          </cell>
          <cell r="P382" t="str">
            <v>INGENIERIA EN MECANICA DE SUELOS Y CONTROL DE OCCIDENTE, S.A. DE C.V.</v>
          </cell>
          <cell r="Q382" t="str">
            <v>IMS060720JX9</v>
          </cell>
          <cell r="V382">
            <v>43187</v>
          </cell>
          <cell r="Y382">
            <v>562104.06000000006</v>
          </cell>
          <cell r="AA382" t="str">
            <v>Control de calidad y muesteo de mezclas asfalticas en pavimentos para los trabajos de bacheo y calafateo 2018, municipio de Zapopan, Jalisco.</v>
          </cell>
          <cell r="AD382">
            <v>43192</v>
          </cell>
          <cell r="AE382">
            <v>43281</v>
          </cell>
        </row>
        <row r="383">
          <cell r="C383" t="str">
            <v>DOPI-MUN-RM-DS-AD-137-2018</v>
          </cell>
          <cell r="M383" t="str">
            <v>RAFAEL AUGUSTO</v>
          </cell>
          <cell r="N383" t="str">
            <v>CABALLERO</v>
          </cell>
          <cell r="O383" t="str">
            <v>QUIRARTE</v>
          </cell>
          <cell r="P383" t="str">
            <v>PROYECTOS ARQUITECTONICOS TRIANGULO, S.A. DE C.V.</v>
          </cell>
          <cell r="Q383" t="str">
            <v>PAT110331HH0</v>
          </cell>
          <cell r="V383">
            <v>43203</v>
          </cell>
          <cell r="Y383">
            <v>178291.17</v>
          </cell>
          <cell r="AA383" t="str">
            <v>Obra complementaria para la terminación de red de drenaje sanitario en la calle Vista al Mirador de Puesta del Sol a Vista la Campiña, en la colonia Vista Hermosa, municipio de Zapopan, Jalisco.</v>
          </cell>
          <cell r="AD383">
            <v>43206</v>
          </cell>
          <cell r="AE383">
            <v>43235</v>
          </cell>
        </row>
        <row r="384">
          <cell r="C384" t="str">
            <v>DOPI-MUN-RM-IH-AD-138-2018</v>
          </cell>
          <cell r="M384" t="str">
            <v>JOSÉ DE JESÚS</v>
          </cell>
          <cell r="N384" t="str">
            <v>CÁRDENAS</v>
          </cell>
          <cell r="O384" t="str">
            <v xml:space="preserve">SOLÍS </v>
          </cell>
          <cell r="P384" t="str">
            <v>CEIESE CONSTRUCCIÓN Y EDIFICACION, S.A. DE C.V.</v>
          </cell>
          <cell r="Q384" t="str">
            <v>CCE170517HW2</v>
          </cell>
          <cell r="V384">
            <v>43220</v>
          </cell>
          <cell r="Y384">
            <v>1728279.55</v>
          </cell>
          <cell r="AA384" t="str">
            <v>Construcción de bocas de tormenta, empedrado zampeado para protección de taludes de puentes peatonales, instalación de puente peatonal y obras complementarias en la calle Pinos entre Periodistas y Jacarandas, colonia El Centinela, municipio de Zapopan, Jalisco.</v>
          </cell>
          <cell r="AD384">
            <v>43222</v>
          </cell>
          <cell r="AE384">
            <v>43266</v>
          </cell>
        </row>
        <row r="385">
          <cell r="C385" t="str">
            <v>DOPI-MUN-RM-IH-AD-139-2018</v>
          </cell>
          <cell r="M385" t="str">
            <v>JUAN RAMÓN</v>
          </cell>
          <cell r="N385" t="str">
            <v>RAMÍREZ</v>
          </cell>
          <cell r="O385" t="str">
            <v>ALATORRE</v>
          </cell>
          <cell r="P385" t="str">
            <v>QUERCUS GEOSOLUCIONES, S.A. DE C.V.</v>
          </cell>
          <cell r="Q385" t="str">
            <v>QGE080213988</v>
          </cell>
          <cell r="V385">
            <v>43220</v>
          </cell>
          <cell r="Y385">
            <v>922157.96</v>
          </cell>
          <cell r="AA385" t="str">
            <v>Construcción de colector pluvial y boca de tormenta en Av. Pirul, Privada Pirul, Calle Naranjos y Misión del Bajío, colonia Rancho El Centinela, municipio de Zapopan, Jalisco.</v>
          </cell>
          <cell r="AD385">
            <v>43222</v>
          </cell>
          <cell r="AE385">
            <v>43257</v>
          </cell>
        </row>
        <row r="386">
          <cell r="C386" t="str">
            <v>DOPI-MUN-RM-IH-AD-140-2018</v>
          </cell>
          <cell r="M386" t="str">
            <v xml:space="preserve">RODOLFO </v>
          </cell>
          <cell r="N386" t="str">
            <v xml:space="preserve">VELAZQUEZ </v>
          </cell>
          <cell r="O386" t="str">
            <v>ORDOÑEZ</v>
          </cell>
          <cell r="P386" t="str">
            <v>VELAZQUEZ INGENIERIA ECOLOGICA, S.A. DE C.V.</v>
          </cell>
          <cell r="Q386" t="str">
            <v>VIE110125RL4</v>
          </cell>
          <cell r="V386">
            <v>43220</v>
          </cell>
          <cell r="Y386">
            <v>1795527.94</v>
          </cell>
          <cell r="AA386" t="str">
            <v>Rehabilitación de drenaje y agua potable en la calle Santa Mercedes, de San Carlos a San Felipe, en la colonia Tuzania Ejidal, municipio de Zapopan, Jalisco.</v>
          </cell>
          <cell r="AD386">
            <v>43222</v>
          </cell>
          <cell r="AE386">
            <v>43281</v>
          </cell>
        </row>
        <row r="387">
          <cell r="C387" t="str">
            <v>DOPI-MUN-R33-IH-AD-141-2018</v>
          </cell>
          <cell r="M387" t="str">
            <v>FREDDY ISAAC</v>
          </cell>
          <cell r="N387" t="str">
            <v>MIRANDA</v>
          </cell>
          <cell r="O387" t="str">
            <v>HERNÁNDEZ</v>
          </cell>
          <cell r="P387" t="str">
            <v>2MH CONSTRUCTORES, S.A. DE C.V.</v>
          </cell>
          <cell r="Q387" t="str">
            <v>MCO17080484A</v>
          </cell>
          <cell r="V387">
            <v>43231</v>
          </cell>
          <cell r="Y387">
            <v>1472822.54</v>
          </cell>
          <cell r="AA387" t="str">
            <v>Rehabilitación de líneas de agua potable y drenaje en la colonia Indígena de Mezquitan 1° Sección, municipio de Zapopan, Jalisco.</v>
          </cell>
          <cell r="AD387">
            <v>43234</v>
          </cell>
          <cell r="AE387">
            <v>43312</v>
          </cell>
        </row>
        <row r="388">
          <cell r="C388" t="str">
            <v>DOPI-MUN-RM-IH-AD-151-2018</v>
          </cell>
          <cell r="M388" t="str">
            <v>SERGIO CESAR</v>
          </cell>
          <cell r="N388" t="str">
            <v>DÍAZ</v>
          </cell>
          <cell r="O388" t="str">
            <v>QUIROZ</v>
          </cell>
          <cell r="P388" t="str">
            <v>GRUPO UNICRETO S.A. DE C.V.</v>
          </cell>
          <cell r="Q388" t="str">
            <v>GUN880613NY1</v>
          </cell>
          <cell r="V388">
            <v>43231</v>
          </cell>
          <cell r="Y388">
            <v>1811019.82</v>
          </cell>
          <cell r="AA388" t="str">
            <v>Construcción de drenaje sanitario y red de agua potable en la Av. General Ramón Corona, en la zona de La Mojonera, municipio de Zapopan, Jalisco.</v>
          </cell>
          <cell r="AD388">
            <v>43234</v>
          </cell>
          <cell r="AE388">
            <v>43266</v>
          </cell>
        </row>
        <row r="389">
          <cell r="C389" t="str">
            <v>DOPI-MUN-RM-PAV-AD-152-2018</v>
          </cell>
          <cell r="M389" t="str">
            <v>LAURA LILIA</v>
          </cell>
          <cell r="N389" t="str">
            <v>ARELLANO</v>
          </cell>
          <cell r="O389" t="str">
            <v>CERNA</v>
          </cell>
          <cell r="P389" t="str">
            <v>CONSTRUCCIÓNES E INGENIERIA EL CIPRES, S.A. DE C.V.</v>
          </cell>
          <cell r="Q389" t="str">
            <v>CEI120724PR2</v>
          </cell>
          <cell r="V389">
            <v>43231</v>
          </cell>
          <cell r="Y389">
            <v>1713723.02</v>
          </cell>
          <cell r="AA389" t="str">
            <v>Pavimentación con concreto hidráulico, incluye: banquetas, peatonalización, red de drenaje sanitario, señalamiento y obras complementarias en la calle Santa Mercedez de la Av. Jesús a San Felipe, colonia Tuzania Ejidal, en el municipio de Zapopan, Jalisco, frente 2.</v>
          </cell>
          <cell r="AD389">
            <v>43235</v>
          </cell>
          <cell r="AE389">
            <v>43296</v>
          </cell>
        </row>
        <row r="390">
          <cell r="C390" t="str">
            <v>DOPI-MUN-RM-BAN-AD-153-2018</v>
          </cell>
          <cell r="M390" t="str">
            <v>JOSÉ ANTONIO</v>
          </cell>
          <cell r="N390" t="str">
            <v>CISNEROS</v>
          </cell>
          <cell r="O390" t="str">
            <v>CASTILLO</v>
          </cell>
          <cell r="P390" t="str">
            <v>AXIOMA PROYECTOS E INGENIERIA, S.A. DE C.V.</v>
          </cell>
          <cell r="Q390" t="str">
            <v>APE111122MI0</v>
          </cell>
          <cell r="V390">
            <v>43224</v>
          </cell>
          <cell r="Y390">
            <v>1752110.87</v>
          </cell>
          <cell r="AA390" t="str">
            <v xml:space="preserve">Peatonalización, construcción de banquetas, bolardos, jardinería, señalética y servicios complementarios en la calle Ocampo de Av. Aviación a calle Independencia, en la localidad de San Juan de Ocotan, municipio de Zapopan, Jalisco.  </v>
          </cell>
          <cell r="AD390">
            <v>43227</v>
          </cell>
          <cell r="AE390">
            <v>43266</v>
          </cell>
        </row>
        <row r="391">
          <cell r="C391" t="str">
            <v>DOPI-MUN-RM-CALAFATEO-AD-154-2018</v>
          </cell>
          <cell r="M391" t="str">
            <v>LUIS MIGUEL</v>
          </cell>
          <cell r="N391" t="str">
            <v>TORRES</v>
          </cell>
          <cell r="O391" t="str">
            <v>DÍAZ BARRIGA</v>
          </cell>
          <cell r="P391" t="str">
            <v>ARQUITECTURA Y DISEÑO EN ARMONIA, S.A. DE C.V.</v>
          </cell>
          <cell r="Q391" t="str">
            <v>ADA040607DY7</v>
          </cell>
          <cell r="V391">
            <v>43231</v>
          </cell>
          <cell r="Y391">
            <v>829426.31</v>
          </cell>
          <cell r="AA391" t="str">
            <v>Calafateo en juntas de pavimentos hidráulicos con sellador asfaltico en vialidades, en la Av. General Ramón Corona, municipio de Zapopan, Jalisco.</v>
          </cell>
          <cell r="AD391">
            <v>43235</v>
          </cell>
          <cell r="AE391">
            <v>43266</v>
          </cell>
        </row>
        <row r="392">
          <cell r="C392" t="str">
            <v>DOPI-MUN-RM-PAV-AD-155-2018</v>
          </cell>
          <cell r="M392" t="str">
            <v>CARLOS ALBERTO</v>
          </cell>
          <cell r="N392" t="str">
            <v>VALENCIA</v>
          </cell>
          <cell r="O392" t="str">
            <v>MENCHACA</v>
          </cell>
          <cell r="P392" t="str">
            <v>CONSTRUCTORA AUTLENSE, S.A. DE C.V.</v>
          </cell>
          <cell r="Q392" t="str">
            <v>CAU980304DC0</v>
          </cell>
          <cell r="V392">
            <v>43231</v>
          </cell>
          <cell r="Y392">
            <v>1398863.95</v>
          </cell>
          <cell r="AA392" t="str">
            <v>Obra complementaria para la terminación de la construcción de la calle Deli con concreto hidráulico de calle Ozomatli a calle Acatl, en la colonia Mesa Colorada, municipio de Zapopan, Jalisco.</v>
          </cell>
          <cell r="AD392">
            <v>43234</v>
          </cell>
          <cell r="AE392">
            <v>43281</v>
          </cell>
        </row>
        <row r="393">
          <cell r="C393" t="str">
            <v>DOPI-MUN-R33-ELE-AD-156-2018</v>
          </cell>
          <cell r="M393" t="str">
            <v>ARMANDO</v>
          </cell>
          <cell r="N393" t="str">
            <v>ARROYO</v>
          </cell>
          <cell r="O393" t="str">
            <v>ZEPEDA</v>
          </cell>
          <cell r="P393" t="str">
            <v>CONSTRUCTORA Y URBANIZADORA PORTOKALI, S.A. DE C.V.</v>
          </cell>
          <cell r="Q393" t="str">
            <v>CUP160122E20</v>
          </cell>
          <cell r="V393">
            <v>43241</v>
          </cell>
          <cell r="Y393">
            <v>591586.15</v>
          </cell>
          <cell r="AA393" t="str">
            <v>Red de electrificación en la colonia Jardines de Santa Ana, municipio de Zapopan, Jalisco.</v>
          </cell>
          <cell r="AD393">
            <v>43242</v>
          </cell>
          <cell r="AE393">
            <v>43296</v>
          </cell>
        </row>
        <row r="394">
          <cell r="C394" t="str">
            <v>DOPI-MUN-RM-IM-AD-158-2018</v>
          </cell>
          <cell r="M394" t="str">
            <v xml:space="preserve">EDUARDO </v>
          </cell>
          <cell r="N394" t="str">
            <v>ROMERO</v>
          </cell>
          <cell r="O394" t="str">
            <v>LUGO</v>
          </cell>
          <cell r="P394" t="str">
            <v>RS OBRAS Y SERVICIOS S.A. DE C.V.</v>
          </cell>
          <cell r="Q394" t="str">
            <v>ROS120904PV9</v>
          </cell>
          <cell r="V394">
            <v>43234</v>
          </cell>
          <cell r="Y394">
            <v>490385.66</v>
          </cell>
          <cell r="AA394" t="str">
            <v>Construcción de cimentación, apoyos y rampas de acceso para la reubicación de puente peatonal, ubicado sobre carretera Guadalajara - Nogales, colonia Rancho Contento, municipio de Zapopan, Jalisco.</v>
          </cell>
          <cell r="AD394">
            <v>43234</v>
          </cell>
          <cell r="AE394">
            <v>43281</v>
          </cell>
        </row>
        <row r="395">
          <cell r="C395" t="str">
            <v>DOPI-MUN-RM-ELE-AD-159-2018</v>
          </cell>
          <cell r="M395" t="str">
            <v>ARMANDO</v>
          </cell>
          <cell r="N395" t="str">
            <v>ARROYO</v>
          </cell>
          <cell r="O395" t="str">
            <v>ZEPEDA</v>
          </cell>
          <cell r="P395" t="str">
            <v>CONSTRUCCIÓNES Y EXTRUCTURAS ITZ, S.A. DE C.V.</v>
          </cell>
          <cell r="Q395" t="str">
            <v>CEI000807E95</v>
          </cell>
          <cell r="V395">
            <v>43241</v>
          </cell>
          <cell r="Y395">
            <v>1396209.13</v>
          </cell>
          <cell r="AA395" t="str">
            <v>Red de electrificación y alumbrado público en la colonia Jardines de los Alamos, municipio de Zapopan, Jalisco.</v>
          </cell>
          <cell r="AD395">
            <v>43242</v>
          </cell>
          <cell r="AE395">
            <v>43296</v>
          </cell>
        </row>
        <row r="396">
          <cell r="C396" t="str">
            <v>DOPI-MUN-RM-IM-AD-160-2018</v>
          </cell>
          <cell r="M396" t="str">
            <v>CLAUDIO FELIPE</v>
          </cell>
          <cell r="N396" t="str">
            <v>TRUJILLO</v>
          </cell>
          <cell r="O396" t="str">
            <v>GRACIAN</v>
          </cell>
          <cell r="P396" t="str">
            <v>DESARROLLADORA LUMADI, S.A. DE C.V.</v>
          </cell>
          <cell r="Q396" t="str">
            <v>DLU100818F46</v>
          </cell>
          <cell r="V396">
            <v>43248</v>
          </cell>
          <cell r="Y396">
            <v>1660259.98</v>
          </cell>
          <cell r="AA396" t="str">
            <v>Reforzamiento y ampliación de estructura de puente peatonal, ubicado sobre carretera Guadalajara - Nogales, colonia Rancho Contento, municipio de Zapopan, Jalisco.</v>
          </cell>
          <cell r="AD396">
            <v>43248</v>
          </cell>
          <cell r="AE396">
            <v>43296</v>
          </cell>
        </row>
        <row r="397">
          <cell r="C397" t="str">
            <v>DOPI-MUN-RM-AP-AD-161-2018</v>
          </cell>
          <cell r="M397" t="str">
            <v>JORGE ALFREDO</v>
          </cell>
          <cell r="N397" t="str">
            <v>OCHOA</v>
          </cell>
          <cell r="O397" t="str">
            <v>GONZÁLEZ</v>
          </cell>
          <cell r="P397" t="str">
            <v>AEDIFICANT, S.A. DE C.V.</v>
          </cell>
          <cell r="Q397" t="str">
            <v>AED890925181</v>
          </cell>
          <cell r="V397">
            <v>43234</v>
          </cell>
          <cell r="Y397">
            <v>1799142.18</v>
          </cell>
          <cell r="AA397" t="str">
            <v>Construcción de bocas de tormenta y pozos de absorción en la Av. General Ramón Corona, en la zona de La Mojonera, municipio de Zapopan, Jalisco, frente 2.</v>
          </cell>
          <cell r="AD397">
            <v>43234</v>
          </cell>
          <cell r="AE397">
            <v>43281</v>
          </cell>
        </row>
        <row r="398">
          <cell r="C398" t="str">
            <v>DOPI-MUN-RM-MOV-AD-163-2018</v>
          </cell>
          <cell r="M398" t="str">
            <v>JOSÉ ANTONIO</v>
          </cell>
          <cell r="N398" t="str">
            <v>CUEVAS</v>
          </cell>
          <cell r="O398" t="str">
            <v>BRISEÑO</v>
          </cell>
          <cell r="P398" t="str">
            <v>JOSÉ ANTONIO CUEVAS BRISEÑO</v>
          </cell>
          <cell r="Q398" t="str">
            <v>CUBA5705179V8</v>
          </cell>
          <cell r="V398">
            <v>43248</v>
          </cell>
          <cell r="Y398">
            <v>1798376</v>
          </cell>
          <cell r="AA398" t="str">
            <v>Construcción de ciclovía y señalamiento sobre el carril sur de la Av. General Ramón Corona, municipio de Zapopan, Jalisco.</v>
          </cell>
          <cell r="AD398">
            <v>43248</v>
          </cell>
          <cell r="AE398">
            <v>43296</v>
          </cell>
        </row>
        <row r="399">
          <cell r="C399" t="str">
            <v>DOPI-MUN-RM-MOV-AD-164-2018</v>
          </cell>
          <cell r="M399" t="str">
            <v>ÁNGEL SALOMÓN</v>
          </cell>
          <cell r="N399" t="str">
            <v>RINCÓN</v>
          </cell>
          <cell r="O399" t="str">
            <v>DE LA ROSA</v>
          </cell>
          <cell r="P399" t="str">
            <v>ARO ASFALTOS Y RIEGOS DE OCCIDENTE, S.A. DE C.V.</v>
          </cell>
          <cell r="Q399" t="str">
            <v>AAR120507VA9</v>
          </cell>
          <cell r="V399">
            <v>43248</v>
          </cell>
          <cell r="Y399">
            <v>319866.61</v>
          </cell>
          <cell r="AA399" t="str">
            <v>Señalamiento horizontal y vertical en la calle Independencia, colonia Santa María del Pueblito, municipio de Zapopan, Jalisco.</v>
          </cell>
          <cell r="AD399">
            <v>43248</v>
          </cell>
          <cell r="AE399">
            <v>43266</v>
          </cell>
        </row>
        <row r="400">
          <cell r="C400" t="str">
            <v>DOPI-MUN-RM-BAN-AD-165-2018</v>
          </cell>
          <cell r="M400" t="str">
            <v>OMAR</v>
          </cell>
          <cell r="N400" t="str">
            <v>MORA</v>
          </cell>
          <cell r="O400" t="str">
            <v>MONTES DE OCA</v>
          </cell>
          <cell r="P400" t="str">
            <v>DOMMONT CONSTRUCCIÓNES, S.A. DE C.V.</v>
          </cell>
          <cell r="Q400" t="str">
            <v>DCO130215C16</v>
          </cell>
          <cell r="V400">
            <v>43241</v>
          </cell>
          <cell r="Y400">
            <v>672457.74</v>
          </cell>
          <cell r="AA400" t="str">
            <v xml:space="preserve">Peatonalización, construcción de banquetas, bolardos, jardinería y guarniciones en los cruces de la Av. Arco del Triunfo con las calles Arco Pertinax y Arco Valente en la colonia Arcos de Zapopan, municipio de Zapopan, Jalisco.  </v>
          </cell>
          <cell r="AD400">
            <v>43241</v>
          </cell>
          <cell r="AE400">
            <v>43281</v>
          </cell>
        </row>
        <row r="401">
          <cell r="C401" t="str">
            <v>DOPI-MUN-RM-EST-AD-166-2018</v>
          </cell>
          <cell r="M401" t="str">
            <v>SERGIO ALEJANDRO</v>
          </cell>
          <cell r="N401" t="str">
            <v>LARIOS</v>
          </cell>
          <cell r="O401" t="str">
            <v>VIRGEN</v>
          </cell>
          <cell r="P401" t="str">
            <v xml:space="preserve">ESTUDIOS, PROYECTOS Y SEÑALIZACION VIAL, S.A. DE C.V. </v>
          </cell>
          <cell r="Q401" t="str">
            <v>EPS040708MA2</v>
          </cell>
          <cell r="V401">
            <v>43241</v>
          </cell>
          <cell r="Y401">
            <v>400896</v>
          </cell>
          <cell r="AA401" t="str">
            <v>Elaboración de estudio de ingeniería de tránsito en vialidades que comprenden el polígono entre las Av. Servidor Público, Paseo Valle Real, Av. Santa Margarita y Periférico Manuel Gómez Morín, municipio de Zapopan, Jalisco.</v>
          </cell>
          <cell r="AD401">
            <v>43242</v>
          </cell>
          <cell r="AE401">
            <v>43312</v>
          </cell>
        </row>
        <row r="402">
          <cell r="C402" t="str">
            <v>DOPI-MUN-RM-MOV-AD-167-2018</v>
          </cell>
          <cell r="M402" t="str">
            <v>J. JESÚS</v>
          </cell>
          <cell r="N402" t="str">
            <v>CONTRERAS</v>
          </cell>
          <cell r="O402" t="str">
            <v>VILLANUEVA</v>
          </cell>
          <cell r="P402" t="str">
            <v>CONSTRUCCIÓNES COVIMEX, S.A. DE C.V.</v>
          </cell>
          <cell r="Q402" t="str">
            <v>CCO0404226D8</v>
          </cell>
          <cell r="V402">
            <v>43241</v>
          </cell>
          <cell r="Y402">
            <v>1618909.35</v>
          </cell>
          <cell r="AA402" t="str">
            <v>Construcción de reductores de velocidad, señalamiento y peatonalización en la calle 2 y calle 5, en la colonia Seattle, municipio de Zapopan, Jalisco.</v>
          </cell>
          <cell r="AD402">
            <v>43241</v>
          </cell>
          <cell r="AE402">
            <v>43281</v>
          </cell>
        </row>
      </sheetData>
      <sheetData sheetId="2" refreshError="1">
        <row r="23">
          <cell r="AG23">
            <v>4256046.82</v>
          </cell>
          <cell r="AL23" t="str">
            <v>Construcción de muro mecánicamente estabilizado (obra complementaria) para conexión al retorno vial a Periférico Norte y Av Juan Palomar y Arias, municipio de Zapopan, Jalisco.</v>
          </cell>
          <cell r="AS23" t="str">
            <v>Col. Parque Industrial Belenes</v>
          </cell>
        </row>
        <row r="24">
          <cell r="AG24">
            <v>4886861.9000000004</v>
          </cell>
          <cell r="AL24" t="str">
            <v>Construcción de pavimento de concreto hidráulico, sustitución de líneas de agua potable y de drenaje sanitario, construcción de banquetas, guarniciones y alumbrado público, en el carril norte de la calle Puente el Palomar de la calle Campanario a calle Nardo, municipio de Zapopan, Jalisco.</v>
          </cell>
          <cell r="AS24" t="str">
            <v>Col. El Campanario</v>
          </cell>
        </row>
        <row r="25">
          <cell r="AG25">
            <v>3920653.99</v>
          </cell>
          <cell r="AL25" t="str">
            <v>Construcción de pavimento de concreto hidráulico, sustitución de líneas de agua potable, drenaje sanitario, construcción de banquetas, guarniciones y alumbrado público, en la calle Niños Héroes de Emiliano Zapata a Hidalgo y de Hidalgo de Niños Héroes a Ignacio Allende, en la localidad de Santa Lucia, municipio de Zapopan, Jalisco.</v>
          </cell>
          <cell r="AS25" t="str">
            <v>Localidad Santa Lucía</v>
          </cell>
        </row>
        <row r="26">
          <cell r="AG26">
            <v>5701133.4699999997</v>
          </cell>
          <cell r="AL26" t="str">
            <v>Construcción de la red de agua potable y de drenaje sanitario en la carretera La Venta del Astillero - Santa Lucia, en la colonia La Soledad, localidad de Nextipac, municipio de Zapopan, Jalisco</v>
          </cell>
          <cell r="AS26" t="str">
            <v>Localidad de Nextipac</v>
          </cell>
        </row>
        <row r="27">
          <cell r="AG27">
            <v>2157478.2999999998</v>
          </cell>
          <cell r="AL27" t="str">
            <v>Construcción de líneas de drenaje sanitario y de agua potable, subrasante y base hidráulica en la calle Cesario Rivera desde la carreta a Saltillo a la calle Jacinto González Peña, en la colonia Villas de Guadalupe, municipio de Zapopan, Jalisco.</v>
          </cell>
          <cell r="AS27" t="str">
            <v>Col. Villas de Guadalupe</v>
          </cell>
        </row>
        <row r="28">
          <cell r="AG28">
            <v>3164998.73</v>
          </cell>
          <cell r="AL28" t="str">
            <v>Construcción de líneas de drenaje sanitario y de agua potable, subrasante y base hidráulica en la calle Idolina Gaona entre Decima Oriente y Cuarta Oriente  en la colonia Jardines de Nuevo México, municipio de Zapopan, Jalisco.</v>
          </cell>
          <cell r="AS28" t="str">
            <v>Col. Jardines de Nuevo México</v>
          </cell>
        </row>
        <row r="29">
          <cell r="D29" t="str">
            <v>DOPI-MUN-PP-PAV-LP-050-2016</v>
          </cell>
          <cell r="T29" t="str">
            <v>Julio Eduardo</v>
          </cell>
          <cell r="U29" t="str">
            <v>Lopez</v>
          </cell>
          <cell r="V29" t="str">
            <v>Perez</v>
          </cell>
          <cell r="W29" t="str">
            <v>Proyectos e Insumos Industriales Jelp, S.A. de C.V.</v>
          </cell>
          <cell r="X29" t="str">
            <v>PEI020208RW0</v>
          </cell>
          <cell r="AD29">
            <v>42593</v>
          </cell>
          <cell r="AG29">
            <v>4426493.25</v>
          </cell>
          <cell r="AL29" t="str">
            <v>Construcción de pavimento de concreto hidráulico MR-45, sustitución de líneas de agua potable y de alcantarillado, alumbrado público, construcción de guarniciones y banquetas, en la calle Jalisco de la calle Aldama a la calle San Francisco, en la localidad de Tesistán, municipio de Zapopan, Jalisco.</v>
          </cell>
          <cell r="AM29">
            <v>42614</v>
          </cell>
          <cell r="AN29">
            <v>42735</v>
          </cell>
          <cell r="AS29" t="str">
            <v>Tesitán</v>
          </cell>
        </row>
        <row r="30">
          <cell r="D30" t="str">
            <v>DOPI-MUN-PP-PAV-LP-051-2016</v>
          </cell>
          <cell r="T30" t="str">
            <v xml:space="preserve">Cesar Agustin </v>
          </cell>
          <cell r="U30" t="str">
            <v>Salgado</v>
          </cell>
          <cell r="V30" t="str">
            <v>Santiago</v>
          </cell>
          <cell r="W30" t="str">
            <v>Ecopav de México, S.A. de C.V.</v>
          </cell>
          <cell r="X30" t="str">
            <v>FRA070416K99</v>
          </cell>
          <cell r="AD30">
            <v>42600</v>
          </cell>
          <cell r="AG30">
            <v>8579575.5199999996</v>
          </cell>
          <cell r="AL30" t="str">
            <v>Construcción de pavimento de concreto hidráulico MR-45, sustitución de líneas de agua potable y de alcantarillado, alumbrado público, construcción de guarniciones y banquetas, en la calle Hidalgo de la calle Jalisco a la calle Lucio Blanco, en la localidad de Tesistán, municipio de Zapopan, Jalisco.</v>
          </cell>
          <cell r="AM30">
            <v>42614</v>
          </cell>
          <cell r="AN30">
            <v>42735</v>
          </cell>
          <cell r="AS30" t="str">
            <v>Tesitán</v>
          </cell>
        </row>
        <row r="31">
          <cell r="D31" t="str">
            <v>DOPI-MUN-PP-PAV-LP-052-2016</v>
          </cell>
          <cell r="T31" t="str">
            <v>Jose Antonio</v>
          </cell>
          <cell r="U31" t="str">
            <v>Alvarez</v>
          </cell>
          <cell r="V31" t="str">
            <v>Zuloaga</v>
          </cell>
          <cell r="W31" t="str">
            <v>Grupo Desarrollador Alzu, S.A. de C.V.</v>
          </cell>
          <cell r="X31" t="str">
            <v>GDA150928286</v>
          </cell>
          <cell r="AD31">
            <v>42601</v>
          </cell>
          <cell r="AG31">
            <v>4875141.67</v>
          </cell>
          <cell r="AL31" t="str">
            <v>Construcción de pavimento de concreto hidráulico MR-45, sustitución de líneas de agua potable y de alcantarillado, alumbrado público, construcción de guarniciones y banquetas, en la calle San Francisco de la calle Jalisco a la calle Independencia, en la localidad de Tesistán, municipio de Zapopan, Jalisco.</v>
          </cell>
          <cell r="AM31">
            <v>42614</v>
          </cell>
          <cell r="AN31">
            <v>42735</v>
          </cell>
          <cell r="AS31" t="str">
            <v>Tesitán</v>
          </cell>
        </row>
        <row r="32">
          <cell r="D32" t="str">
            <v>DOPI-MUN-PP-PAV-LP-053-2016</v>
          </cell>
          <cell r="T32" t="str">
            <v>Guadalupe Alejandrina</v>
          </cell>
          <cell r="U32" t="str">
            <v>Maldonado</v>
          </cell>
          <cell r="V32" t="str">
            <v>Lara</v>
          </cell>
          <cell r="W32" t="str">
            <v>L&amp;A Ejecución, Construcción y Proyectos Corporativo JM, S.A. de C.V.</v>
          </cell>
          <cell r="X32" t="str">
            <v>LAE1306263B5</v>
          </cell>
          <cell r="AD32">
            <v>42604</v>
          </cell>
          <cell r="AG32">
            <v>999852.22</v>
          </cell>
          <cell r="AL32" t="str">
            <v>Construcción de pavimento de concreto hidráulico MR-45, sustitución de líneas de agua potable y de alcantarillado, alumbrado público, construcción de guarniciones y banquetas, en la calle J. García Praga de la calle Jalisco a la calle Ramón Corona, en la localidad de Tesistán, municipio de Zapopan, Jalisco.</v>
          </cell>
          <cell r="AM32">
            <v>42614</v>
          </cell>
          <cell r="AN32">
            <v>42705</v>
          </cell>
          <cell r="AS32" t="str">
            <v>Tesitán</v>
          </cell>
        </row>
        <row r="33">
          <cell r="D33" t="str">
            <v>DOPI-MUN-PP-PAV-LP-054-2016</v>
          </cell>
          <cell r="T33" t="str">
            <v>Clarissa Gabriela</v>
          </cell>
          <cell r="U33" t="str">
            <v>Valdez</v>
          </cell>
          <cell r="V33" t="str">
            <v>Manjarrez</v>
          </cell>
          <cell r="W33" t="str">
            <v>Tekton Grupo Empresarial, S.A. de C.V.</v>
          </cell>
          <cell r="X33" t="str">
            <v>TGE101215JI6</v>
          </cell>
          <cell r="AD33">
            <v>42605</v>
          </cell>
          <cell r="AG33">
            <v>1223679.9099999999</v>
          </cell>
          <cell r="AL33" t="str">
            <v>Construcción de pavimento de concreto hidráulico MR-45, sustitución de líneas de agua potable y de alcantarillado, alumbrado público, construcción de guarniciones y banquetas, en la calle Ramón Corona de la calle Hidalgo a la calle Puebla - 5 de Mayo, en la localidad de Tesistán, municipio de Zapopan, Jalisco.</v>
          </cell>
          <cell r="AM33">
            <v>42614</v>
          </cell>
          <cell r="AN33">
            <v>42705</v>
          </cell>
          <cell r="AS33" t="str">
            <v>Tesitán</v>
          </cell>
        </row>
        <row r="34">
          <cell r="D34" t="str">
            <v>DOPI-MUN-PP-PAV-LP-055-2016</v>
          </cell>
          <cell r="T34" t="str">
            <v>Raul</v>
          </cell>
          <cell r="U34" t="str">
            <v xml:space="preserve">Ortega </v>
          </cell>
          <cell r="V34" t="str">
            <v>Jara</v>
          </cell>
          <cell r="W34" t="str">
            <v>Construcciones Anayari, S.A. de C.V.</v>
          </cell>
          <cell r="X34" t="str">
            <v>CAN030528ME0</v>
          </cell>
          <cell r="AD34">
            <v>42605</v>
          </cell>
          <cell r="AG34">
            <v>1229696.57</v>
          </cell>
          <cell r="AL34" t="str">
            <v>Construcción de pavimento de concreto hidráulico MR-45, sustitución de líneas de agua potable y de alcantarillado, alumbrado público, construcción de guarniciones y banquetas, en la calle 5 Mayo - Puebla de la calle Ramón Corona a la calle Jalisco, en la localidad de Tesistán, municipio de Zapopan, Jalisco.</v>
          </cell>
          <cell r="AM34">
            <v>42614</v>
          </cell>
          <cell r="AN34">
            <v>42705</v>
          </cell>
          <cell r="AS34" t="str">
            <v>Tesitán</v>
          </cell>
        </row>
        <row r="35">
          <cell r="D35" t="str">
            <v>DOPI-MUN-PP-PAV-LP-056-2016</v>
          </cell>
          <cell r="T35" t="str">
            <v>Carlos Ignacio</v>
          </cell>
          <cell r="U35" t="str">
            <v>Curiel</v>
          </cell>
          <cell r="V35" t="str">
            <v>Dueñas</v>
          </cell>
          <cell r="W35" t="str">
            <v>Constructora Cecuchi, S.A. de C.V.</v>
          </cell>
          <cell r="X35" t="str">
            <v>CCE130723IR7</v>
          </cell>
          <cell r="AD35">
            <v>42591</v>
          </cell>
          <cell r="AG35">
            <v>5518122.6399999997</v>
          </cell>
          <cell r="AL35" t="str">
            <v>Construcción de pavimento de concreto hidráulico MR-45, sustitución de líneas de agua potable y de alcantarillado, alumbrado público, construcción de guarniciones y banquetas, en la calle Mercurio de la Prolongación Guadalupe a la calle Pirita, en la colonia Arenales Tapatios, municipio de Zapopan, Jalisco.</v>
          </cell>
          <cell r="AM35">
            <v>42592</v>
          </cell>
          <cell r="AN35">
            <v>42713</v>
          </cell>
          <cell r="AS35" t="str">
            <v>Colonia Arenales Tapatios</v>
          </cell>
        </row>
        <row r="36">
          <cell r="D36" t="str">
            <v>DOPI-MUN-PP-PAV-LP-057-2016</v>
          </cell>
          <cell r="T36" t="str">
            <v>Sergio Cesar</v>
          </cell>
          <cell r="U36" t="str">
            <v>Diaz</v>
          </cell>
          <cell r="V36" t="str">
            <v>Quiroz</v>
          </cell>
          <cell r="W36" t="str">
            <v>Transcreto S.A. de C.V.</v>
          </cell>
          <cell r="X36" t="str">
            <v>TRA750528286</v>
          </cell>
          <cell r="AD36">
            <v>42591</v>
          </cell>
          <cell r="AG36">
            <v>5312056.17</v>
          </cell>
          <cell r="AL36" t="str">
            <v>Construcción de pavimento de concreto hidráulico MR-45, sustitución de líneas de agua potable y de alcantarillado, alumbrado público, construcción de guarniciones y banquetas, en la calle Mercurio de la calle Pirita a la calle Hierro, en la colonia Arenales Tapatios, municipio de Zapopan, Jalisco.</v>
          </cell>
          <cell r="AM36">
            <v>42592</v>
          </cell>
          <cell r="AN36">
            <v>42713</v>
          </cell>
          <cell r="AS36" t="str">
            <v>Colonia Arenales Tapatios</v>
          </cell>
        </row>
        <row r="37">
          <cell r="D37" t="str">
            <v>DOPI-MUN-PP-PAV-LP-058-2016</v>
          </cell>
          <cell r="T37" t="str">
            <v>Enrique Christian</v>
          </cell>
          <cell r="U37" t="str">
            <v>Anshiro Minakata</v>
          </cell>
          <cell r="V37" t="str">
            <v>Morentin</v>
          </cell>
          <cell r="W37" t="str">
            <v>Construcciones Mirot, S.A. de C.V.</v>
          </cell>
          <cell r="X37" t="str">
            <v>CMI110222AA0</v>
          </cell>
          <cell r="AD37">
            <v>42591</v>
          </cell>
          <cell r="AG37">
            <v>7853005.75</v>
          </cell>
          <cell r="AL37" t="str">
            <v>Reencarpetamiento de la vialidad, desbastado de la carpeta existente, nivelación de pozos de visita, cajas de válvulas, rejillas pluviales, bocas de tormenta y elementos estructurales que sobresalen de la rasante de la vialidad, calafateos, señaletica horizontal, construcción de banquetas, guarniciones, alumbrado público, en Calzada Federalistas - Del Valle de la Avenida Federalistas a camino viejo a Tesistán, municipio de Zapopan, Jalisco.</v>
          </cell>
          <cell r="AM37">
            <v>42592</v>
          </cell>
          <cell r="AN37">
            <v>42683</v>
          </cell>
          <cell r="AS37" t="str">
            <v>Tesitán</v>
          </cell>
        </row>
        <row r="38">
          <cell r="D38" t="str">
            <v>DOPI-MUN-PP-PAV-LP-059-2016</v>
          </cell>
          <cell r="T38" t="str">
            <v>Rodrigo</v>
          </cell>
          <cell r="U38" t="str">
            <v>Ramos</v>
          </cell>
          <cell r="V38" t="str">
            <v>Garibi</v>
          </cell>
          <cell r="W38" t="str">
            <v>Metro Asfaltos, S.A. de C.V.</v>
          </cell>
          <cell r="X38" t="str">
            <v>CMA070307RU6</v>
          </cell>
          <cell r="AD38">
            <v>42591</v>
          </cell>
          <cell r="AG38">
            <v>6564336.8600000003</v>
          </cell>
          <cell r="AL38" t="str">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Valle de Atemajac de la Avenida Central (Federalistas) a Prolongación Acueducto, municipio de Zapopan, Jalisco.</v>
          </cell>
          <cell r="AM38">
            <v>42592</v>
          </cell>
          <cell r="AN38">
            <v>42713</v>
          </cell>
          <cell r="AS38" t="str">
            <v>Colonia Valle de Atemajac</v>
          </cell>
        </row>
        <row r="39">
          <cell r="D39" t="str">
            <v>DOPI-MUN-PP-PAV-LP-060-2016</v>
          </cell>
          <cell r="T39" t="str">
            <v>Ignacio Javier</v>
          </cell>
          <cell r="U39" t="str">
            <v>Curiel</v>
          </cell>
          <cell r="V39" t="str">
            <v>Dueñas</v>
          </cell>
          <cell r="W39" t="str">
            <v>Tc Construcción Y Mantenimiento, S.A. de C.V.</v>
          </cell>
          <cell r="X39" t="str">
            <v>TCM100915HA1</v>
          </cell>
          <cell r="AD39">
            <v>42591</v>
          </cell>
          <cell r="AG39">
            <v>7287576.9199999999</v>
          </cell>
          <cell r="AL39" t="str">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Av. Del Valle a calle Jesús, municipio de Zapopan, Jalisco</v>
          </cell>
          <cell r="AM39">
            <v>42592</v>
          </cell>
          <cell r="AN39">
            <v>42683</v>
          </cell>
          <cell r="AS39" t="str">
            <v>Colonia Girasoles Acueducto</v>
          </cell>
        </row>
        <row r="40">
          <cell r="D40" t="str">
            <v>DOPI-MUN-PP-PAV-LP-061-2016</v>
          </cell>
          <cell r="T40" t="str">
            <v>Ignacio Javier</v>
          </cell>
          <cell r="U40" t="str">
            <v>Curiel</v>
          </cell>
          <cell r="V40" t="str">
            <v>Dueñas</v>
          </cell>
          <cell r="W40" t="str">
            <v>Tc Construcción Y Mantenimiento, S.A. de C.V.</v>
          </cell>
          <cell r="X40" t="str">
            <v>TCM100915HA1</v>
          </cell>
          <cell r="AD40">
            <v>42591</v>
          </cell>
          <cell r="AG40">
            <v>6426888.9699999997</v>
          </cell>
          <cell r="AL40" t="str">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calle Jesús a calle Santa Margarita, municipio de Zapopan, Jalisco</v>
          </cell>
          <cell r="AM40">
            <v>42592</v>
          </cell>
          <cell r="AN40">
            <v>42683</v>
          </cell>
          <cell r="AS40" t="str">
            <v>Colonia Las Bóvedas</v>
          </cell>
        </row>
        <row r="41">
          <cell r="D41" t="str">
            <v>DOPI-MUN-MA-PAV-LP-062-2016</v>
          </cell>
          <cell r="T41" t="str">
            <v>José Manuel</v>
          </cell>
          <cell r="U41" t="str">
            <v>Gómez</v>
          </cell>
          <cell r="V41" t="str">
            <v>Castellanos</v>
          </cell>
          <cell r="W41" t="str">
            <v>GVA Desarrollos Integrales, S.A. de C.V.</v>
          </cell>
          <cell r="X41" t="str">
            <v>GDI020122D2A</v>
          </cell>
          <cell r="AD41">
            <v>42632</v>
          </cell>
          <cell r="AJ41">
            <v>79605111.310000002</v>
          </cell>
          <cell r="AL41" t="str">
            <v>Rehabilitación de la pavimentación de la Av. López Mateos Sur de Periférico Sur a Av. Copérnico (carriles centrales se sustituyen con concreto hidráulico).</v>
          </cell>
          <cell r="AM41">
            <v>42632</v>
          </cell>
          <cell r="AN41">
            <v>42768</v>
          </cell>
        </row>
        <row r="42">
          <cell r="D42" t="str">
            <v>DOPI-MUN-MA-PAV-LP-063-2016</v>
          </cell>
          <cell r="T42" t="str">
            <v>Diego</v>
          </cell>
          <cell r="U42" t="str">
            <v>Valenzuela</v>
          </cell>
          <cell r="V42" t="str">
            <v>Cadena</v>
          </cell>
          <cell r="W42" t="str">
            <v>Fuerza de Apoyo Constructiva de Occidente, S.A. de C.V.</v>
          </cell>
          <cell r="X42" t="str">
            <v>FAC010607TI0</v>
          </cell>
          <cell r="AD42">
            <v>42632</v>
          </cell>
          <cell r="AJ42">
            <v>79764410.700000003</v>
          </cell>
          <cell r="AL42" t="str">
            <v>Rehabilitación y mantenimiento de pavimentos de vialidades (reencarpetamiento, sellado, sustitución de lozas dañadas, calafateo y señalamiento horizontal) en diferentes colonias del municipio.</v>
          </cell>
          <cell r="AM42">
            <v>42632</v>
          </cell>
          <cell r="AN42">
            <v>42768</v>
          </cell>
        </row>
        <row r="43">
          <cell r="D43" t="str">
            <v>DOPI-MUN-AMP-PAV-LP-064-2016</v>
          </cell>
          <cell r="T43" t="str">
            <v>Rodrigo</v>
          </cell>
          <cell r="U43" t="str">
            <v>Ramos</v>
          </cell>
          <cell r="V43" t="str">
            <v>Garibi</v>
          </cell>
          <cell r="W43" t="str">
            <v>Metro Asfaltos, S.A. de C.V.</v>
          </cell>
          <cell r="X43" t="str">
            <v>CMA070307RU6</v>
          </cell>
          <cell r="AD43">
            <v>42591</v>
          </cell>
          <cell r="AG43">
            <v>12009584.140000001</v>
          </cell>
          <cell r="AL43" t="str">
            <v>Reencarpetamiento de la vialidad, desbastado de la carpeta existente, nivelación de pozos de visita, cajas de válvulas, rejillas pluviales, bocas de tormenta y elementos estructurales que sobresalen de la rasante de la vialidad, calafateos, señalética horizontal en la Av. Juan Gil Preciado (carriles centrales), de carretera a Colotlán a Tesistán, municipio de Zapopan, Jalisco.</v>
          </cell>
          <cell r="AM43">
            <v>42592</v>
          </cell>
          <cell r="AN43">
            <v>42666</v>
          </cell>
          <cell r="AS43" t="str">
            <v>Colonia Nuevo México</v>
          </cell>
        </row>
        <row r="44">
          <cell r="D44" t="str">
            <v>DOPI-MUN-AMP-PAV-LP-065-2016</v>
          </cell>
          <cell r="T44" t="str">
            <v>Jose Luis</v>
          </cell>
          <cell r="U44" t="str">
            <v>Brenez</v>
          </cell>
          <cell r="V44" t="str">
            <v>Moreno</v>
          </cell>
          <cell r="W44" t="str">
            <v>Breysa Constructora, S.A. de C.V.</v>
          </cell>
          <cell r="X44" t="str">
            <v>BCO900423GC5</v>
          </cell>
          <cell r="AD44">
            <v>42592</v>
          </cell>
          <cell r="AG44">
            <v>10115493.029999999</v>
          </cell>
          <cell r="AL44" t="str">
            <v>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laterales), de carretera a Colotlán a Tesistán, municipio de Zapopan, Jalisco.</v>
          </cell>
          <cell r="AM44">
            <v>42592</v>
          </cell>
          <cell r="AN44">
            <v>42683</v>
          </cell>
          <cell r="AS44" t="str">
            <v>Colonia Nuevo México</v>
          </cell>
        </row>
        <row r="45">
          <cell r="D45" t="str">
            <v>DOPI-MUN-AMP-PAV-LP-066-2016</v>
          </cell>
          <cell r="T45" t="str">
            <v>Sergio Cesar</v>
          </cell>
          <cell r="U45" t="str">
            <v>Diaz</v>
          </cell>
          <cell r="V45" t="str">
            <v>Quiroz</v>
          </cell>
          <cell r="W45" t="str">
            <v>Grupo Unicreto S.A. de C.V.</v>
          </cell>
          <cell r="X45" t="str">
            <v>GUN880613NY1</v>
          </cell>
          <cell r="AD45">
            <v>42592</v>
          </cell>
          <cell r="AG45">
            <v>9475895.3699999992</v>
          </cell>
          <cell r="AL45" t="str">
            <v>Construcción de la primera etapa de pavimento de concreto hidráulico MR-45, de línea de agua potable, drenaje sanitario, alumbrado público, guarniciones, banquetas, ciclovía, señalética y arbolado en la Avenida Ramón Corona carril sur primera etapa, en la colonia Base Áerea Militar , municipio de Zapopan, Jalisco.</v>
          </cell>
          <cell r="AM45">
            <v>42592</v>
          </cell>
          <cell r="AN45">
            <v>42713</v>
          </cell>
          <cell r="AS45" t="str">
            <v>Colonia Base Aerea Militar</v>
          </cell>
        </row>
        <row r="46">
          <cell r="D46" t="str">
            <v>DOPI-FED-R23-PAV-LP-084-2016</v>
          </cell>
          <cell r="I46" t="str">
            <v>Reencarpetamiento de la Av. Obreros de Cananea, municipio de Zapopan, Jalisco.</v>
          </cell>
          <cell r="T46" t="str">
            <v>Salvador</v>
          </cell>
          <cell r="U46" t="str">
            <v>Meza</v>
          </cell>
          <cell r="V46" t="str">
            <v>López</v>
          </cell>
          <cell r="W46" t="str">
            <v>Constructores en Corporación, S.A. de C.V.</v>
          </cell>
          <cell r="X46" t="str">
            <v>CCO780607JD6</v>
          </cell>
          <cell r="AD46">
            <v>42656</v>
          </cell>
          <cell r="AG46">
            <v>8740845.9000000004</v>
          </cell>
          <cell r="AM46">
            <v>42656</v>
          </cell>
          <cell r="AN46">
            <v>42722</v>
          </cell>
          <cell r="AS46" t="str">
            <v>Colonia El Paraiso</v>
          </cell>
        </row>
        <row r="47">
          <cell r="D47" t="str">
            <v>DOPI-FED-R23-PAV-LP-085-2016</v>
          </cell>
          <cell r="I47" t="str">
            <v>Reencarpetamiento de la Calle Industria, municipio de Zapopan, Jalisco.</v>
          </cell>
          <cell r="T47" t="str">
            <v>Ernesto</v>
          </cell>
          <cell r="U47" t="str">
            <v>Zamora</v>
          </cell>
          <cell r="V47" t="str">
            <v>Corona</v>
          </cell>
          <cell r="W47" t="str">
            <v>Keops Ingenieria y Construccion, S.A. de C.V.</v>
          </cell>
          <cell r="X47" t="str">
            <v>KIC040617JIA</v>
          </cell>
          <cell r="AD47">
            <v>42656</v>
          </cell>
          <cell r="AG47">
            <v>3747446.55</v>
          </cell>
          <cell r="AM47">
            <v>42656</v>
          </cell>
          <cell r="AN47">
            <v>42722</v>
          </cell>
          <cell r="AS47" t="str">
            <v>Colonia El Paraiso</v>
          </cell>
        </row>
        <row r="48">
          <cell r="D48" t="str">
            <v>DOPI-FED-R23-PAV-LP-086-2016</v>
          </cell>
          <cell r="I48" t="str">
            <v>Reencarpetamiento de la Calle Epigmenio Preciado, municipio de Zapopan, Jalisco.</v>
          </cell>
          <cell r="T48" t="str">
            <v>Ignacio Javier</v>
          </cell>
          <cell r="U48" t="str">
            <v>Curiel</v>
          </cell>
          <cell r="V48" t="str">
            <v>Dueñas</v>
          </cell>
          <cell r="W48" t="str">
            <v>TC Construcción y Mantenimiento, S.A. de C.V.</v>
          </cell>
          <cell r="X48" t="str">
            <v>TCM100915HA1</v>
          </cell>
          <cell r="AD48">
            <v>42656</v>
          </cell>
          <cell r="AG48">
            <v>3579474.78</v>
          </cell>
          <cell r="AM48">
            <v>42656</v>
          </cell>
          <cell r="AN48">
            <v>42722</v>
          </cell>
          <cell r="AS48" t="str">
            <v>Colonia El Paraiso</v>
          </cell>
        </row>
        <row r="49">
          <cell r="D49" t="str">
            <v>DOPI-FED-R23-PAV-LP-087-2016</v>
          </cell>
          <cell r="I49" t="str">
            <v>Reencarpetamiento de la Av. Constituyentes, municipio de Zapopan, Jalisco.</v>
          </cell>
          <cell r="T49" t="str">
            <v>Ignacio Javier</v>
          </cell>
          <cell r="U49" t="str">
            <v>Curiel</v>
          </cell>
          <cell r="V49" t="str">
            <v>Dueñas</v>
          </cell>
          <cell r="W49" t="str">
            <v>TC Construcción y Mantenimiento, S.A. de C.V.</v>
          </cell>
          <cell r="X49" t="str">
            <v>TCM100915HA1</v>
          </cell>
          <cell r="AD49">
            <v>42656</v>
          </cell>
          <cell r="AG49">
            <v>2527207.35</v>
          </cell>
          <cell r="AM49">
            <v>42656</v>
          </cell>
          <cell r="AN49">
            <v>42722</v>
          </cell>
          <cell r="AS49" t="str">
            <v>Colonia Constitución</v>
          </cell>
        </row>
        <row r="50">
          <cell r="D50" t="str">
            <v>DOPI-FED-PR-PAV-LP-088-2016</v>
          </cell>
          <cell r="I50" t="str">
            <v>Construcción de vialidad con concreto hidráulico calle Elote entre calle Indígena y calle Alberto Mora López, incluye: guarniciones, banquetas, red de agua potable, alcantarillado y alumbrado público, zona las Mesas, en el Municipio de Zapopan, Jalisco.</v>
          </cell>
          <cell r="T50" t="str">
            <v>Carlos Ignacio</v>
          </cell>
          <cell r="U50" t="str">
            <v>Curiel</v>
          </cell>
          <cell r="V50" t="str">
            <v>Dueñas</v>
          </cell>
          <cell r="W50" t="str">
            <v>Constructora Cecuchi, S.A. de C.V.</v>
          </cell>
          <cell r="X50" t="str">
            <v>CCE130723IR7</v>
          </cell>
          <cell r="AD50">
            <v>42656</v>
          </cell>
          <cell r="AG50">
            <v>1331847.2</v>
          </cell>
          <cell r="AM50">
            <v>42656</v>
          </cell>
          <cell r="AN50">
            <v>42722</v>
          </cell>
          <cell r="AS50" t="str">
            <v>Zona de Las Mesas</v>
          </cell>
        </row>
        <row r="51">
          <cell r="D51" t="str">
            <v>DOPI-FED-PR-PAV-LP-089-2016</v>
          </cell>
          <cell r="I51" t="str">
            <v>Construcción de vialidad con concreto hidráulico calle Michí desde la calle Cuatlicue a la calle Comitl, incluye: guarniciones, banquetas, red de agua potable, alcantarillado y alumbrado público, zona las Mesas, Municipio de Zapopan, Jalisco.</v>
          </cell>
          <cell r="T51" t="str">
            <v>Carlos Ignacio</v>
          </cell>
          <cell r="U51" t="str">
            <v>Curiel</v>
          </cell>
          <cell r="V51" t="str">
            <v>Dueñas</v>
          </cell>
          <cell r="W51" t="str">
            <v>Constructora Cecuchi, S.A. de C.V.</v>
          </cell>
          <cell r="X51" t="str">
            <v>CCE130723IR7</v>
          </cell>
          <cell r="AD51">
            <v>42656</v>
          </cell>
          <cell r="AG51">
            <v>1301540.1000000001</v>
          </cell>
          <cell r="AM51">
            <v>42657</v>
          </cell>
          <cell r="AN51">
            <v>42723</v>
          </cell>
          <cell r="AS51" t="str">
            <v>Zona de Las Mesas</v>
          </cell>
        </row>
        <row r="52">
          <cell r="D52" t="str">
            <v>DOPI-FED-PR-PAV-LP-090-2016</v>
          </cell>
          <cell r="I52" t="str">
            <v>Construcción de vialidad con concreto hidráulico calle Cuatlicue desde la calle Ozomatlí a la calle Michí, incluye: guarniciones, banquetas, red de agua potable, alcantarillado y alumbrado público, zona las Mesas, Municipio de Zapopan, Jalisco.</v>
          </cell>
          <cell r="T52" t="str">
            <v>José Omar</v>
          </cell>
          <cell r="U52" t="str">
            <v>Fernández</v>
          </cell>
          <cell r="V52" t="str">
            <v>Vázquez</v>
          </cell>
          <cell r="W52" t="str">
            <v>Extra Construcciones, S.A. de C.V.</v>
          </cell>
          <cell r="X52" t="str">
            <v>ECO0908115Z7</v>
          </cell>
          <cell r="AD52">
            <v>42656</v>
          </cell>
          <cell r="AG52">
            <v>1504875.62</v>
          </cell>
          <cell r="AM52">
            <v>42656</v>
          </cell>
          <cell r="AN52">
            <v>42722</v>
          </cell>
          <cell r="AS52" t="str">
            <v>Zona de Las Mesas</v>
          </cell>
        </row>
        <row r="53">
          <cell r="D53" t="str">
            <v>DOPI-FED-PR-PAV-LP-091-2016</v>
          </cell>
          <cell r="I53" t="str">
            <v>Construcción de vialidad con concreto hidráulico calle Comitl desde la calle Dellí a la calle Michí, incluye: guarniciones, banquetas, red de agua potable, alcantarillado y alumbrado público, zona las Mesas, Municipio de Zapopan, Jalisco.</v>
          </cell>
          <cell r="T53" t="str">
            <v>Sergio Alberto</v>
          </cell>
          <cell r="U53" t="str">
            <v>Baylon</v>
          </cell>
          <cell r="V53" t="str">
            <v>Moreno</v>
          </cell>
          <cell r="W53" t="str">
            <v>Edificaciones Estructurales Cobay, S. A. de C. V.</v>
          </cell>
          <cell r="X53" t="str">
            <v>EEC9909173A7</v>
          </cell>
          <cell r="AD53">
            <v>42656</v>
          </cell>
          <cell r="AG53">
            <v>6611635.3700000001</v>
          </cell>
          <cell r="AM53">
            <v>42657</v>
          </cell>
          <cell r="AN53">
            <v>42723</v>
          </cell>
          <cell r="AS53" t="str">
            <v>Zona de Las Mesas</v>
          </cell>
        </row>
        <row r="54">
          <cell r="D54" t="str">
            <v>DOPI-FED-PR-PAV-LP-092-2016</v>
          </cell>
          <cell r="I54" t="str">
            <v>Construcción de vialidad con concreto hidráulico calle Eligio Delgado entre calle Tepatl a calle Indígena, incluye: guarniciones, banquetas, red de agua potable, alcantarillado y alumbrado público, zona las Mesas, Municipio de Zapopan, Jalisco.</v>
          </cell>
          <cell r="T54" t="str">
            <v>Bernardo</v>
          </cell>
          <cell r="U54" t="str">
            <v>Saenz</v>
          </cell>
          <cell r="V54" t="str">
            <v>Barba</v>
          </cell>
          <cell r="W54" t="str">
            <v>Grupo Edificador Mayab, S.A. de C.V.</v>
          </cell>
          <cell r="X54" t="str">
            <v>GEM070112PX8</v>
          </cell>
          <cell r="AD54">
            <v>42656</v>
          </cell>
          <cell r="AG54">
            <v>3070604.74</v>
          </cell>
          <cell r="AM54">
            <v>42657</v>
          </cell>
          <cell r="AN54">
            <v>42723</v>
          </cell>
          <cell r="AS54" t="str">
            <v>Zona de Las Mesas</v>
          </cell>
        </row>
        <row r="55">
          <cell r="D55" t="str">
            <v>DOPI-FED-PR-PAV-LP-093-2016</v>
          </cell>
          <cell r="I55" t="str">
            <v>Construcción de vialidad con concreto hidráulico calle Ozomatlí desde la calle Cholollan a la calle Lenteja, incluye: guarniciones, banquetas, red de agua potable, alcantarillado y alumbrado público, zona las Mesas, Municipio de Zapopan, Jalisco.</v>
          </cell>
          <cell r="T55" t="str">
            <v>Ignacio Javier</v>
          </cell>
          <cell r="U55" t="str">
            <v>Curiel</v>
          </cell>
          <cell r="V55" t="str">
            <v>Dueñas</v>
          </cell>
          <cell r="W55" t="str">
            <v>TC Construcción y Mantenimiento, S.A. de C.V.</v>
          </cell>
          <cell r="X55" t="str">
            <v>TCM100915HA1</v>
          </cell>
          <cell r="AD55">
            <v>42656</v>
          </cell>
          <cell r="AG55">
            <v>5663734.8300000001</v>
          </cell>
          <cell r="AM55">
            <v>42657</v>
          </cell>
          <cell r="AN55">
            <v>42723</v>
          </cell>
          <cell r="AS55" t="str">
            <v>Zona de Las Mesas</v>
          </cell>
        </row>
        <row r="56">
          <cell r="D56" t="str">
            <v>DOPI-FED-PR-PAV-LP-094-2016</v>
          </cell>
          <cell r="I56" t="str">
            <v>Construcción de vialidades con concreto hidráulico de las calles Cholollan y Paseo de los Membrillos entre las calles Chichenitza y Paseo de los Cerezos, incluye: puente vehicular de aproximadamente 30 metros de longitud para cruzar arroyo, guarniciones, banquetas, red de agua potable, alcantarillado y alumbrado publico.</v>
          </cell>
          <cell r="T56" t="str">
            <v>J. Gerardo</v>
          </cell>
          <cell r="U56" t="str">
            <v>Nicanor</v>
          </cell>
          <cell r="V56" t="str">
            <v>Mejia Mariscal</v>
          </cell>
          <cell r="W56" t="str">
            <v>Ineco Construye, S.A. de C.V.</v>
          </cell>
          <cell r="X56" t="str">
            <v>ICO980722M04</v>
          </cell>
          <cell r="AD56">
            <v>42656</v>
          </cell>
          <cell r="AG56">
            <v>9145513.7300000004</v>
          </cell>
          <cell r="AM56">
            <v>42657</v>
          </cell>
          <cell r="AN56">
            <v>42723</v>
          </cell>
          <cell r="AS56" t="str">
            <v>Mesa Colorada</v>
          </cell>
        </row>
        <row r="57">
          <cell r="D57" t="str">
            <v>DOPI-FED-PR-PAV-LP-095-2016</v>
          </cell>
          <cell r="I57" t="str">
            <v>Reencarpetamiento de la Av. Santa Margarita, en la colonia Santa Margarita, incluye: guarniciones, banquetas, renivelación de pozos y cajas, señalamiento vertical y horizontal, Municipio de Zapopan, Jalisco, frente 1.</v>
          </cell>
          <cell r="T57" t="str">
            <v>Víctor Manuel</v>
          </cell>
          <cell r="U57" t="str">
            <v>Jauregui</v>
          </cell>
          <cell r="V57" t="str">
            <v>Torres</v>
          </cell>
          <cell r="W57" t="str">
            <v>Constructora Erlort y Asociados, S.A. de C.V.</v>
          </cell>
          <cell r="X57" t="str">
            <v>CEA070208SB1</v>
          </cell>
          <cell r="AD57">
            <v>42656</v>
          </cell>
          <cell r="AG57">
            <v>6756554.5</v>
          </cell>
          <cell r="AM57">
            <v>42657</v>
          </cell>
          <cell r="AN57">
            <v>42732</v>
          </cell>
          <cell r="AS57" t="str">
            <v>Colonia Santa Margarita</v>
          </cell>
        </row>
        <row r="58">
          <cell r="D58" t="str">
            <v>DOPI-FED-PR-PAV-LP-096-2016</v>
          </cell>
          <cell r="I58" t="str">
            <v>Reencarpetamiento de la Av. Santa Margarita, en la colonia Santa Margarita, incluye: guarniciones, banquetas, renivelación de pozos y cajas, señalamiento vertical y horizontal, Municipio de Zapopan, Jalisco, frente 2.</v>
          </cell>
          <cell r="T58" t="str">
            <v>Víctor Manuel</v>
          </cell>
          <cell r="U58" t="str">
            <v>Jauregui</v>
          </cell>
          <cell r="V58" t="str">
            <v>Torres</v>
          </cell>
          <cell r="W58" t="str">
            <v>Constructora Erlort y Asociados, S.A. de C.V.</v>
          </cell>
          <cell r="X58" t="str">
            <v>CEA070208SB1</v>
          </cell>
          <cell r="AD58">
            <v>42656</v>
          </cell>
          <cell r="AG58">
            <v>8604721.4600000009</v>
          </cell>
          <cell r="AM58">
            <v>42657</v>
          </cell>
          <cell r="AN58">
            <v>42732</v>
          </cell>
          <cell r="AS58" t="str">
            <v>Colonia Santa Margarita</v>
          </cell>
        </row>
        <row r="59">
          <cell r="D59" t="str">
            <v>DOPI-FED-PR-PAV-LP-097-2016</v>
          </cell>
          <cell r="I59" t="str">
            <v>Reencarpetamiento de la Av. Santa Margarita, en la colonia Santa Margarita, incluye: guarniciones, banquetas, renivelación de pozos y cajas, señalamiento vertical y horizontal, Municipio de Zapopan, Jalisco, frente 3.</v>
          </cell>
          <cell r="T59" t="str">
            <v>Víctor Manuel</v>
          </cell>
          <cell r="U59" t="str">
            <v>Jauregui</v>
          </cell>
          <cell r="V59" t="str">
            <v>Torres</v>
          </cell>
          <cell r="W59" t="str">
            <v>Constructora Erlort y Asociados, S.A. de C.V.</v>
          </cell>
          <cell r="X59" t="str">
            <v>CEA070208SB1</v>
          </cell>
          <cell r="AD59">
            <v>42656</v>
          </cell>
          <cell r="AG59">
            <v>7620310.1200000001</v>
          </cell>
          <cell r="AM59">
            <v>42657</v>
          </cell>
          <cell r="AN59">
            <v>42732</v>
          </cell>
          <cell r="AS59" t="str">
            <v>Colonia Santa Margarita</v>
          </cell>
        </row>
        <row r="60">
          <cell r="D60" t="str">
            <v>DOPI-FED-PR-PAV-LP-098-2016</v>
          </cell>
          <cell r="I60" t="str">
            <v>Construcción de la vialidad con concreto hidráulico de la Av. Ramón Corona, incluye: guarniciones, banquetas, red de agua potable, alcantarillado, alumbrado público y forestación, Municipio de Zapopan, Jalisco, frente 1.</v>
          </cell>
          <cell r="T60" t="str">
            <v>J. Gerardo</v>
          </cell>
          <cell r="U60" t="str">
            <v>Nicanor</v>
          </cell>
          <cell r="V60" t="str">
            <v>Mejia Mariscal</v>
          </cell>
          <cell r="W60" t="str">
            <v>Ineco Construye, S.A. de C.V.</v>
          </cell>
          <cell r="X60" t="str">
            <v>ICO980722M04</v>
          </cell>
          <cell r="AD60">
            <v>42685</v>
          </cell>
          <cell r="AG60">
            <v>11081287.630000001</v>
          </cell>
          <cell r="AM60">
            <v>42688</v>
          </cell>
          <cell r="AN60">
            <v>42763</v>
          </cell>
          <cell r="AS60" t="str">
            <v>Colonia La Mojonera</v>
          </cell>
        </row>
        <row r="61">
          <cell r="D61" t="str">
            <v>DOPI-FED-PR-PAV-LP-099-2016</v>
          </cell>
          <cell r="I61" t="str">
            <v>Construcción de la vialidad con concreto hidráulico de la Av. Ramón Corona, incluye: guarniciones, banquetas, red de agua potable, alcantarillado, alumbrado público y forestación, Municipio de Zapopan, Jalisco, frente 2.</v>
          </cell>
          <cell r="T61" t="str">
            <v>Sergio Cesar</v>
          </cell>
          <cell r="U61" t="str">
            <v>Diaz</v>
          </cell>
          <cell r="V61" t="str">
            <v>Quiroz</v>
          </cell>
          <cell r="W61" t="str">
            <v>Grupo Unicreto S.A. de C.V.</v>
          </cell>
          <cell r="X61" t="str">
            <v>GUN880613NY1</v>
          </cell>
          <cell r="AD61">
            <v>42685</v>
          </cell>
          <cell r="AG61">
            <v>9389185.8900000006</v>
          </cell>
          <cell r="AM61">
            <v>42688</v>
          </cell>
          <cell r="AN61">
            <v>42763</v>
          </cell>
          <cell r="AS61" t="str">
            <v>Colonia La Mojonera</v>
          </cell>
        </row>
        <row r="62">
          <cell r="D62" t="str">
            <v>DOPI-FED-PR-PAV-LP-100-2016</v>
          </cell>
          <cell r="I62" t="str">
            <v>Construcción de la vialidad con concreto hidráulico de la Av. Ramón Corona, incluye: guarniciones, banquetas, red de agua potable, alcantarillado, alumbrado público y forestación, Municipio de Zapopan, Jalisco, frente 3.</v>
          </cell>
          <cell r="T62" t="str">
            <v>Sergio Cesar</v>
          </cell>
          <cell r="U62" t="str">
            <v>Diaz</v>
          </cell>
          <cell r="V62" t="str">
            <v>Quiroz</v>
          </cell>
          <cell r="W62" t="str">
            <v>Grupo Unicreto S.A. de C.V.</v>
          </cell>
          <cell r="X62" t="str">
            <v>GUN880613NY1</v>
          </cell>
          <cell r="AD62">
            <v>42685</v>
          </cell>
          <cell r="AG62">
            <v>6602792.5999999996</v>
          </cell>
          <cell r="AM62">
            <v>42688</v>
          </cell>
          <cell r="AN62">
            <v>42763</v>
          </cell>
          <cell r="AS62" t="str">
            <v>Colonia La Mojonera</v>
          </cell>
        </row>
        <row r="63">
          <cell r="D63" t="str">
            <v>DOPI-FED-PR-PAV-LP-101-2016</v>
          </cell>
          <cell r="I63" t="str">
            <v>Construcción de Centro de Desarrollo Infantil La Loma, Municipio de Zapopan, Jalisco.</v>
          </cell>
          <cell r="T63" t="str">
            <v>Jesús</v>
          </cell>
          <cell r="U63" t="str">
            <v>Arenas</v>
          </cell>
          <cell r="V63" t="str">
            <v>Bravo</v>
          </cell>
          <cell r="W63" t="str">
            <v>Sicosa, S.A. de C.V.</v>
          </cell>
          <cell r="X63" t="str">
            <v>SIC940317FH7</v>
          </cell>
          <cell r="AD63">
            <v>42685</v>
          </cell>
          <cell r="AG63">
            <v>17394240.84</v>
          </cell>
          <cell r="AM63">
            <v>42688</v>
          </cell>
          <cell r="AN63">
            <v>42763</v>
          </cell>
          <cell r="AS63" t="str">
            <v>Colonia La Loma</v>
          </cell>
        </row>
        <row r="64">
          <cell r="D64" t="str">
            <v>DOPI-EST-CR-PAV-LP-102-2016</v>
          </cell>
          <cell r="I64" t="str">
            <v>Construcción de la primera etapa de la calle Paseo de los Ciruelos de Paseo de los Membrillos a Paseo de los Encinos con concreto hidráulico en la zona Mesa Colorada, incluye: guarniciones, banquetas, red de agua potable, alcantarillado y alumbrado público, Municipio de Zapopan, Jalisco.</v>
          </cell>
          <cell r="T64" t="str">
            <v>José Omar</v>
          </cell>
          <cell r="U64" t="str">
            <v>Fernández</v>
          </cell>
          <cell r="V64" t="str">
            <v>Vázquez</v>
          </cell>
          <cell r="W64" t="str">
            <v>Extra Construcciones, S.A. de C.V.</v>
          </cell>
          <cell r="X64" t="str">
            <v>ECO0908115Z7</v>
          </cell>
          <cell r="AD64">
            <v>42656</v>
          </cell>
          <cell r="AG64">
            <v>800844.56</v>
          </cell>
          <cell r="AM64">
            <v>42657</v>
          </cell>
          <cell r="AN64">
            <v>42776</v>
          </cell>
          <cell r="AS64" t="str">
            <v>Mesa Colorada</v>
          </cell>
        </row>
        <row r="65">
          <cell r="D65" t="str">
            <v>DOPI-EST-CR-PAV-LP-103-2016</v>
          </cell>
          <cell r="I65" t="str">
            <v>Construcción de la primera etapa de la calle Paseo de los Membrillos de Paseo del Roble a Paseo de los Aguacates de concreto hidráulico en la zona de la Mesa Colorada, incluye: guarniciones, banquetas, red de agua potable, alcantarillado y alumbrado público, Municipio de Zapopan, Jalisco.</v>
          </cell>
          <cell r="T65" t="str">
            <v>Alejandro</v>
          </cell>
          <cell r="U65" t="str">
            <v>Guevara</v>
          </cell>
          <cell r="V65" t="str">
            <v>Castellanos</v>
          </cell>
          <cell r="W65" t="str">
            <v>Urbanizacion y Construccion Avanzada, S.A. de C.V.</v>
          </cell>
          <cell r="X65" t="str">
            <v>UCA0207107X6</v>
          </cell>
          <cell r="AD65">
            <v>42656</v>
          </cell>
          <cell r="AG65">
            <v>2310172.9900000002</v>
          </cell>
          <cell r="AM65">
            <v>42657</v>
          </cell>
          <cell r="AN65">
            <v>42776</v>
          </cell>
          <cell r="AS65" t="str">
            <v>Mesa Colorada</v>
          </cell>
        </row>
        <row r="66">
          <cell r="D66" t="str">
            <v>DOPI-EST-CR-PAV-LP-104-2016</v>
          </cell>
          <cell r="I66" t="str">
            <v>Construcción de la primera etapa de la calle Paseo del Roble de Paseo de los Membrillos a Paseo de los Perones con concreto hidráulico en la zona de la Mesa Colorada, incluye: guarniciones, banquetas, red de agua potable, alcantarillado y alumbrado público, Municipio de Zapopan, Jalisco.</v>
          </cell>
          <cell r="T66" t="str">
            <v>Alejandro</v>
          </cell>
          <cell r="U66" t="str">
            <v>Guevara</v>
          </cell>
          <cell r="V66" t="str">
            <v>Castellanos</v>
          </cell>
          <cell r="W66" t="str">
            <v>Urbanizacion y Construccion Avanzada, S.A. de C.V.</v>
          </cell>
          <cell r="X66" t="str">
            <v>UCA0207107X6</v>
          </cell>
          <cell r="AD66">
            <v>42656</v>
          </cell>
          <cell r="AG66">
            <v>931716.14</v>
          </cell>
          <cell r="AM66">
            <v>42657</v>
          </cell>
          <cell r="AN66">
            <v>42776</v>
          </cell>
          <cell r="AS66" t="str">
            <v>Mesa Colorada</v>
          </cell>
        </row>
        <row r="67">
          <cell r="D67" t="str">
            <v>DOPI-EST-CR-PAV-LP-105-2016</v>
          </cell>
          <cell r="I67" t="str">
            <v>Construcción de la primera etapa de la calle Chícharo de calle Lenteja a Carretera Saltillo con concreto hidráulico en la zona de la Mesa Colorada, incluye: guarniciones, banquetas, red de agua potable, alcantarillado y alumbrado público, Municipio de Zapopan, Jalisco.</v>
          </cell>
          <cell r="T67" t="str">
            <v>Felipe Daniel II</v>
          </cell>
          <cell r="U67" t="str">
            <v>Nuñez</v>
          </cell>
          <cell r="V67" t="str">
            <v>Pinzón</v>
          </cell>
          <cell r="W67" t="str">
            <v>Grupo Nuveco, S.A. de C.V.</v>
          </cell>
          <cell r="X67" t="str">
            <v>GNU120809KX1</v>
          </cell>
          <cell r="AD67">
            <v>42656</v>
          </cell>
          <cell r="AG67">
            <v>7806734.9199999999</v>
          </cell>
          <cell r="AM67">
            <v>42657</v>
          </cell>
          <cell r="AN67">
            <v>42776</v>
          </cell>
          <cell r="AS67" t="str">
            <v>Mesa Colorada</v>
          </cell>
        </row>
        <row r="68">
          <cell r="D68" t="str">
            <v>DOPI-EST-CR-PAV-LP-106-2016</v>
          </cell>
          <cell r="I68" t="str">
            <v>Reencarpetamiento de la Av. Santa Margarita de Periférico a Av. Tesistán, en la colonia Santa Margarita incluye: guarniciones, banquetas, renivelación de pozos y cajas, señalamiento vertical y horizontal, Municipio de Zapopan, Jalisco.</v>
          </cell>
          <cell r="T68" t="str">
            <v>Ángel Salomón</v>
          </cell>
          <cell r="U68" t="str">
            <v>Rincón</v>
          </cell>
          <cell r="V68" t="str">
            <v>De la Rosa</v>
          </cell>
          <cell r="W68" t="str">
            <v>Aro Asfaltos y Riegos de Occidente, S.A. de C.V.</v>
          </cell>
          <cell r="X68" t="str">
            <v>AAR120507VA9</v>
          </cell>
          <cell r="AD68">
            <v>42656</v>
          </cell>
          <cell r="AG68">
            <v>9033319.6300000008</v>
          </cell>
          <cell r="AM68">
            <v>42657</v>
          </cell>
          <cell r="AN68">
            <v>42746</v>
          </cell>
          <cell r="AS68" t="str">
            <v>Colonia Santa Margarita</v>
          </cell>
        </row>
        <row r="69">
          <cell r="D69" t="str">
            <v>DOPI-EST-CR-PAV-LP-107-2016</v>
          </cell>
          <cell r="I69" t="str">
            <v>Reencarpetamiento de la calle Santa Esther de Av. Acueducto a Periférico, primera etapa, en la colonia Santa Margarita, incluye: guarniciones, banquetas, renivelación de pozos y cajas, señalamiento vertical y horizontal, Municipio de Zapopan, Jalisco.</v>
          </cell>
          <cell r="T69" t="str">
            <v>Ángel Salomón</v>
          </cell>
          <cell r="U69" t="str">
            <v>Rincón</v>
          </cell>
          <cell r="V69" t="str">
            <v>De la Rosa</v>
          </cell>
          <cell r="W69" t="str">
            <v>Aro Asfaltos y Riegos de Occidente, S.A. de C.V.</v>
          </cell>
          <cell r="X69" t="str">
            <v>AAR120507VA9</v>
          </cell>
          <cell r="AD69">
            <v>42656</v>
          </cell>
          <cell r="AG69">
            <v>1679620.18</v>
          </cell>
          <cell r="AM69">
            <v>42657</v>
          </cell>
          <cell r="AN69">
            <v>42746</v>
          </cell>
          <cell r="AS69" t="str">
            <v>Colonia Santa Margarita</v>
          </cell>
        </row>
        <row r="70">
          <cell r="D70" t="str">
            <v>DOPI-EST-CR-PAV-LP-108-2016</v>
          </cell>
          <cell r="I70" t="str">
            <v>Reencarpetamiento de la calle Santa Esther de Periférico a Av. Santa Ana, primera etapa, en la colonia Santa Margarita, incluye: guarniciones, banquetas, renivelación de pozos y cajas, señalamiento vertical y horizontal, Municipio de Zapopan, Jalisco.</v>
          </cell>
          <cell r="T70" t="str">
            <v>Mario</v>
          </cell>
          <cell r="U70" t="str">
            <v>Beltrán</v>
          </cell>
          <cell r="V70" t="str">
            <v>Rodríguez</v>
          </cell>
          <cell r="W70" t="str">
            <v xml:space="preserve">Constructora y Desarrolladora Barba y Asociados, S. A. de C. V. </v>
          </cell>
          <cell r="X70" t="str">
            <v>CDB0506068Z4</v>
          </cell>
          <cell r="AD70">
            <v>42656</v>
          </cell>
          <cell r="AG70">
            <v>1797538.26</v>
          </cell>
          <cell r="AM70">
            <v>42657</v>
          </cell>
          <cell r="AN70">
            <v>42746</v>
          </cell>
          <cell r="AS70" t="str">
            <v>Colonia Santa Margarita</v>
          </cell>
        </row>
        <row r="71">
          <cell r="D71" t="str">
            <v>DOPI-EST-CR-PAV-LP-109-2016</v>
          </cell>
          <cell r="I71" t="str">
            <v>Reencarpetamiento de la calle Pípila-Carpinteros de calle Las Flores a Emiliano Zapata, primera etapa, en la colonia La Martinica, incluye: guarniciones, banquetas, renivelación de pozos y cajas, señalamiento vertical y horizontal (modernización con concreto hidráulico), Municipio de Zapopan, Jalisco.</v>
          </cell>
          <cell r="T71" t="str">
            <v>Sergio Cesar</v>
          </cell>
          <cell r="U71" t="str">
            <v>Diaz</v>
          </cell>
          <cell r="V71" t="str">
            <v>Quiroz</v>
          </cell>
          <cell r="W71" t="str">
            <v>Grupo Unicreto de México S.A. de C.V.</v>
          </cell>
          <cell r="X71" t="str">
            <v>GUM111201IA5</v>
          </cell>
          <cell r="AD71">
            <v>42656</v>
          </cell>
          <cell r="AG71">
            <v>9062555.0800000001</v>
          </cell>
          <cell r="AM71">
            <v>42657</v>
          </cell>
          <cell r="AN71">
            <v>42746</v>
          </cell>
          <cell r="AS71" t="str">
            <v>Colonia La Martinica</v>
          </cell>
        </row>
        <row r="72">
          <cell r="D72" t="str">
            <v>DOPI-EST-CR-PAV-LP-110-2016</v>
          </cell>
          <cell r="I72" t="str">
            <v>Reencarpetamiento de la calle Plan de Guadalupe de González Gallo a calle Tratado de Tlatelolco en la colonia Parque del Auditorio, incluye: guarniciones, banquetas, renivelación de pozos y cajas, señalamiento  horizontal. (Modernización con concreto hidráulico.), Municipio de Zapopan, Jalisco.</v>
          </cell>
          <cell r="T72" t="str">
            <v>Sergio Cesar</v>
          </cell>
          <cell r="U72" t="str">
            <v>Díaz</v>
          </cell>
          <cell r="V72" t="str">
            <v>Quiroz</v>
          </cell>
          <cell r="W72" t="str">
            <v>Transcreto S.A. de C.V.</v>
          </cell>
          <cell r="X72" t="str">
            <v>TRA750528286</v>
          </cell>
          <cell r="AD72">
            <v>42656</v>
          </cell>
          <cell r="AG72">
            <v>7061595.75</v>
          </cell>
          <cell r="AM72">
            <v>42657</v>
          </cell>
          <cell r="AN72">
            <v>42746</v>
          </cell>
          <cell r="AS72" t="str">
            <v>Colonia Parque del Auditorio</v>
          </cell>
        </row>
        <row r="73">
          <cell r="D73" t="str">
            <v>DOPI-EST-CR-PAV-LP-111-2016</v>
          </cell>
          <cell r="I73" t="str">
            <v>Sustitución de losas en la colonia Parque del Auditorio, Municipio de Zapopan, Jalisco.</v>
          </cell>
          <cell r="T73" t="str">
            <v>Mario</v>
          </cell>
          <cell r="U73" t="str">
            <v>Beltrán</v>
          </cell>
          <cell r="V73" t="str">
            <v>Rodríguez</v>
          </cell>
          <cell r="W73" t="str">
            <v xml:space="preserve">Constructora y Desarrolladora Barba y Asociados, S. A. de C. V. </v>
          </cell>
          <cell r="X73" t="str">
            <v>CDB0506068Z4</v>
          </cell>
          <cell r="AD73">
            <v>42656</v>
          </cell>
          <cell r="AG73">
            <v>1331822.1599999999</v>
          </cell>
          <cell r="AM73">
            <v>42657</v>
          </cell>
          <cell r="AN73">
            <v>42746</v>
          </cell>
          <cell r="AS73" t="str">
            <v>Colonia Parque del Auditorio</v>
          </cell>
        </row>
        <row r="74">
          <cell r="D74" t="str">
            <v>DOPI-EST-CR-PAV-LP-112-2016</v>
          </cell>
          <cell r="I74" t="str">
            <v>Construcción de la primera etapa de la calle 20 de Enero de calle Juan Santibañez a Juan Diego con concreto hidráulico en San Juan de Ocotán, incluye: guarniciones, banquetas y alumbrado público, Municipio de Zapopan, Jalisco.</v>
          </cell>
          <cell r="T74" t="str">
            <v>Omar</v>
          </cell>
          <cell r="U74" t="str">
            <v>Mora</v>
          </cell>
          <cell r="V74" t="str">
            <v>Montes de Oca</v>
          </cell>
          <cell r="W74" t="str">
            <v>Dommont Construcciones, S.A. de C.V.</v>
          </cell>
          <cell r="X74" t="str">
            <v>DCO130215C16</v>
          </cell>
          <cell r="AD74">
            <v>42656</v>
          </cell>
          <cell r="AG74">
            <v>3129979.51</v>
          </cell>
          <cell r="AM74">
            <v>42657</v>
          </cell>
          <cell r="AN74">
            <v>42776</v>
          </cell>
          <cell r="AS74" t="str">
            <v>San Juan de Ocotán</v>
          </cell>
        </row>
        <row r="75">
          <cell r="D75" t="str">
            <v>DOPI-EST-CR-PAV-LP-113-2016</v>
          </cell>
          <cell r="I75" t="str">
            <v>Construcción de la primera etapa de la calle Juan Diego de calle Hidalgo a calle Parral con concreto hidráulico en San Juan de Ocotán, incluye: guarniciones, banquetas y alumbrado público, Municipio de Zapopan, Jalisco.</v>
          </cell>
          <cell r="T75" t="str">
            <v>Julio Eduardo</v>
          </cell>
          <cell r="U75" t="str">
            <v>López</v>
          </cell>
          <cell r="V75" t="str">
            <v>Pérez</v>
          </cell>
          <cell r="W75" t="str">
            <v>Proyectos e Insumos Industriales Jelp, S.A. de C.V.</v>
          </cell>
          <cell r="X75" t="str">
            <v>PEI020208RW0</v>
          </cell>
          <cell r="AD75">
            <v>42656</v>
          </cell>
          <cell r="AG75">
            <v>1410912.86</v>
          </cell>
          <cell r="AM75">
            <v>42657</v>
          </cell>
          <cell r="AN75">
            <v>42776</v>
          </cell>
          <cell r="AS75" t="str">
            <v>San Juan de Ocotán</v>
          </cell>
        </row>
        <row r="76">
          <cell r="D76" t="str">
            <v>DOPI-EST-CR-PAV-LP-114-2016</v>
          </cell>
          <cell r="I76" t="str">
            <v>Construcción de la primera etapa de la calle Hidalgo de calle Juan Santibañez a calle Parral 3, con concreto hidráulico en San Juan de Ocotán, incluye: guarniciones, banquetas y alumbrado público, Municipio de Zapopan, Jalisco.</v>
          </cell>
          <cell r="T76" t="str">
            <v>Jorge Hugo</v>
          </cell>
          <cell r="U76" t="str">
            <v>López</v>
          </cell>
          <cell r="V76" t="str">
            <v>Pérez</v>
          </cell>
          <cell r="W76" t="str">
            <v>Control de Calidad de Materiales San Agustin de Hipona, S.A. de C.V.</v>
          </cell>
          <cell r="X76" t="str">
            <v>CCM130405AY1</v>
          </cell>
          <cell r="AD76">
            <v>42656</v>
          </cell>
          <cell r="AG76">
            <v>5333222.53</v>
          </cell>
          <cell r="AM76">
            <v>42657</v>
          </cell>
          <cell r="AN76">
            <v>42776</v>
          </cell>
          <cell r="AS76" t="str">
            <v>San Juan de Ocotán</v>
          </cell>
        </row>
        <row r="77">
          <cell r="D77" t="str">
            <v>DOPI-EST-CR-PAV-LP-115-2016</v>
          </cell>
          <cell r="I77" t="str">
            <v>Construcción de la primera etapa de la calle Iturbide de la calle Abasolo hacia Jardines de las Bugambilias con concreto hidráulico en Santa Ana Tepetitlan, incluye: guarniciones, banquetas, red de agua potable, alcantarillado y alumbrado público, Municipio de Zapopan, Jalisco.</v>
          </cell>
          <cell r="T77" t="str">
            <v>Luis Armando</v>
          </cell>
          <cell r="U77" t="str">
            <v>Linares</v>
          </cell>
          <cell r="V77" t="str">
            <v>Cacho</v>
          </cell>
          <cell r="W77" t="str">
            <v>Urbanizadora y Constructora Roal, S.A. de C.V.</v>
          </cell>
          <cell r="X77" t="str">
            <v>URC160310857</v>
          </cell>
          <cell r="AD77">
            <v>42656</v>
          </cell>
          <cell r="AG77">
            <v>1012796.53</v>
          </cell>
          <cell r="AM77">
            <v>42657</v>
          </cell>
          <cell r="AN77">
            <v>42776</v>
          </cell>
          <cell r="AS77" t="str">
            <v>Santa Ana Tepetitlán</v>
          </cell>
        </row>
        <row r="78">
          <cell r="D78" t="str">
            <v>DOPI-EST-CR-PAV-LP-116-2016</v>
          </cell>
          <cell r="I78" t="str">
            <v>Construcción de la primera etapa de la calle Abasolo de la calle Matamoros a calle 5 de Mayo con concreto hidráulico en Santa Ana Tepetitlan, incluye: guarniciones, banquetas, red de agua potable, alcantarillado y alumbrado público, Municipio de Zapopan, Jalisco.</v>
          </cell>
          <cell r="T78" t="str">
            <v>Julio Eduardo</v>
          </cell>
          <cell r="U78" t="str">
            <v>López</v>
          </cell>
          <cell r="V78" t="str">
            <v>Pérez</v>
          </cell>
          <cell r="W78" t="str">
            <v>Proyectos e Insumos Industriales Jelp, S.A. de C.V.</v>
          </cell>
          <cell r="X78" t="str">
            <v>PEI020208RW0</v>
          </cell>
          <cell r="AD78">
            <v>42656</v>
          </cell>
          <cell r="AG78">
            <v>6796856.54</v>
          </cell>
          <cell r="AM78">
            <v>42657</v>
          </cell>
          <cell r="AN78">
            <v>42776</v>
          </cell>
          <cell r="AS78" t="str">
            <v>Santa Ana Tepetitlán</v>
          </cell>
        </row>
        <row r="79">
          <cell r="D79" t="str">
            <v>DOPI-EST-CR-PAV-LP-117-2016</v>
          </cell>
          <cell r="I79" t="str">
            <v>Construcción de la primera etapa de la calle Morelos de la calle Matamoros a ingreso a atrio de iglesia con concreto hidráulico en Santa Ana Tepetitlan, incluye: guarniciones, banquetas, red de agua potable, alcantarillado y alumbrado público, Municipio de Zapopan, Jalisco.</v>
          </cell>
          <cell r="T79" t="str">
            <v>Bernardo</v>
          </cell>
          <cell r="U79" t="str">
            <v>Saenz</v>
          </cell>
          <cell r="V79" t="str">
            <v>Barba</v>
          </cell>
          <cell r="W79" t="str">
            <v>Grupo Edificador Mayab, S.A. de C.V.</v>
          </cell>
          <cell r="X79" t="str">
            <v>GEM070112PX8</v>
          </cell>
          <cell r="AD79">
            <v>42656</v>
          </cell>
          <cell r="AG79">
            <v>1329275.32</v>
          </cell>
          <cell r="AM79">
            <v>42657</v>
          </cell>
          <cell r="AN79">
            <v>42776</v>
          </cell>
          <cell r="AS79" t="str">
            <v>Santa Ana Tepetitlán</v>
          </cell>
        </row>
        <row r="80">
          <cell r="D80" t="str">
            <v>DOPI-EST-CR-PAV-LP-118-2016</v>
          </cell>
          <cell r="I80" t="str">
            <v>Construcción de la primera etapa de la calle Privada Morelos de calle Morelos a cerrada con concreto hidráulico en Santa Ana Tepetitlan, incluye: guarniciones, banquetas, red de agua potable, alcantarillado y alumbrado público, Municipio de Zapopan, Jalisco.</v>
          </cell>
          <cell r="T80" t="str">
            <v>Bernardo</v>
          </cell>
          <cell r="U80" t="str">
            <v>Saenz</v>
          </cell>
          <cell r="V80" t="str">
            <v>Barba</v>
          </cell>
          <cell r="W80" t="str">
            <v>Grupo Edificador Mayab, S.A. de C.V.</v>
          </cell>
          <cell r="X80" t="str">
            <v>GEM070112PX8</v>
          </cell>
          <cell r="AD80">
            <v>42656</v>
          </cell>
          <cell r="AG80">
            <v>670861.71</v>
          </cell>
          <cell r="AM80">
            <v>42657</v>
          </cell>
          <cell r="AN80">
            <v>42776</v>
          </cell>
          <cell r="AS80" t="str">
            <v>Santa Ana Tepetitlán</v>
          </cell>
        </row>
        <row r="81">
          <cell r="D81" t="str">
            <v>DOPI-EST-FC-PAV-LP-119-2016</v>
          </cell>
          <cell r="I81" t="str">
            <v>Primera etapa de reencarpetamiento de Circuito Madrigal, de Av. Patria a Circuito. Madrigal, Municipio de Zapopan, Jalisco.</v>
          </cell>
          <cell r="T81" t="str">
            <v>Ángel Salomón</v>
          </cell>
          <cell r="U81" t="str">
            <v>Rincón</v>
          </cell>
          <cell r="V81" t="str">
            <v>De la Rosa</v>
          </cell>
          <cell r="W81" t="str">
            <v>Aro Asfaltos y Riegos de Occidente, S.A. de C.V.</v>
          </cell>
          <cell r="X81" t="str">
            <v>AAR120507VA9</v>
          </cell>
          <cell r="AD81">
            <v>42656</v>
          </cell>
          <cell r="AG81">
            <v>8383533</v>
          </cell>
          <cell r="AM81">
            <v>42657</v>
          </cell>
          <cell r="AN81">
            <v>42776</v>
          </cell>
          <cell r="AS81" t="str">
            <v>Colonia Santa Isabel</v>
          </cell>
        </row>
        <row r="82">
          <cell r="D82" t="str">
            <v>DOPI-EST-FC-PAV-LP-120-2016</v>
          </cell>
          <cell r="I82" t="str">
            <v>Primera etapa de modernización de Prolongación Av. Guadalupe, de Prolongación Mariano Otero al Arroyo El Garabato, Municipio de Zapopan, Jalisco.</v>
          </cell>
          <cell r="T82" t="str">
            <v>Sergio Cesar</v>
          </cell>
          <cell r="U82" t="str">
            <v>Diaz</v>
          </cell>
          <cell r="V82" t="str">
            <v>Quiroz</v>
          </cell>
          <cell r="W82" t="str">
            <v>Grupo Unicreto de México S.A. de C.V.</v>
          </cell>
          <cell r="X82" t="str">
            <v>GUM111201IA5</v>
          </cell>
          <cell r="AD82">
            <v>42656</v>
          </cell>
          <cell r="AG82">
            <v>6899699.6900000004</v>
          </cell>
          <cell r="AM82">
            <v>42657</v>
          </cell>
          <cell r="AN82">
            <v>42776</v>
          </cell>
          <cell r="AS82" t="str">
            <v>Colonia El Fortín</v>
          </cell>
        </row>
        <row r="83">
          <cell r="D83" t="str">
            <v>DOPI-EST-FC-PAV-LP-121-2016</v>
          </cell>
          <cell r="I83" t="str">
            <v>Primera etapa de reencarpetamiento y sustitución de losas de la Av. Nicolás Copérnico- Av. Ladrón de Guevara, de Av. Moctezuma a Av. Mariano Otero, Municipio de Zapopan, Jalisco.</v>
          </cell>
          <cell r="T83" t="str">
            <v>Mario</v>
          </cell>
          <cell r="U83" t="str">
            <v>Beltrán</v>
          </cell>
          <cell r="V83" t="str">
            <v>Rodríguez</v>
          </cell>
          <cell r="W83" t="str">
            <v xml:space="preserve">Constructora y Desarrolladora Barba y Asociados, S. A. de C. V. </v>
          </cell>
          <cell r="X83" t="str">
            <v>CDB0506068Z4</v>
          </cell>
          <cell r="AD83">
            <v>42685</v>
          </cell>
          <cell r="AG83">
            <v>4854770.4400000004</v>
          </cell>
          <cell r="AM83">
            <v>42688</v>
          </cell>
          <cell r="AN83">
            <v>42807</v>
          </cell>
          <cell r="AS83" t="str">
            <v>Colonia Paseos del Sol</v>
          </cell>
        </row>
        <row r="84">
          <cell r="D84" t="str">
            <v>DOPI-EST-FC-PAV-LP-122-2016</v>
          </cell>
          <cell r="I84" t="str">
            <v>Primera etapa de reencarpetamiento y sustitución de losas de Av. Valle de Atemajac, de Av. López Mateos a Sierra de Tapalpa, Municipio de Zapopan, Jalisco.</v>
          </cell>
          <cell r="T84" t="str">
            <v>Mario</v>
          </cell>
          <cell r="U84" t="str">
            <v>Beltrán</v>
          </cell>
          <cell r="V84" t="str">
            <v>Rodríguez</v>
          </cell>
          <cell r="W84" t="str">
            <v xml:space="preserve">Constructora y Desarrolladora Barba y Asociados, S. A. de C. V. </v>
          </cell>
          <cell r="X84" t="str">
            <v>CDB0506068Z4</v>
          </cell>
          <cell r="AD84">
            <v>42685</v>
          </cell>
          <cell r="AG84">
            <v>4741926.8099999996</v>
          </cell>
          <cell r="AM84">
            <v>42688</v>
          </cell>
          <cell r="AN84">
            <v>42807</v>
          </cell>
          <cell r="AS84" t="str">
            <v>Colonia Las Aguilas</v>
          </cell>
        </row>
        <row r="85">
          <cell r="D85" t="str">
            <v>DOPI-EST-FC-PAV-LP-123-2016</v>
          </cell>
          <cell r="I85" t="str">
            <v>Construcción de nueva celda para la disposición de residuos, primera etapa, en el vertedero de basura Picachos, Municipio de Zapopan, Jalisco</v>
          </cell>
          <cell r="T85" t="str">
            <v>Jesús David</v>
          </cell>
          <cell r="U85" t="str">
            <v>Garza</v>
          </cell>
          <cell r="V85" t="str">
            <v>Garcia</v>
          </cell>
          <cell r="W85" t="str">
            <v>Construcciones  Electrificaciones y Arrendamiento de Maquinaria S.A. de C.V.</v>
          </cell>
          <cell r="X85" t="str">
            <v>CEA010615GT0</v>
          </cell>
          <cell r="AD85">
            <v>42685</v>
          </cell>
          <cell r="AG85">
            <v>5873571.75</v>
          </cell>
          <cell r="AM85">
            <v>42688</v>
          </cell>
          <cell r="AN85">
            <v>42504</v>
          </cell>
          <cell r="AS85" t="str">
            <v>Relleno Sanitario de Picachos</v>
          </cell>
        </row>
        <row r="86">
          <cell r="D86" t="str">
            <v>DOPI-MUN-PR-EP-LP-124-2016</v>
          </cell>
          <cell r="I86" t="str">
            <v>Rehabilitación de instalaciones y construcción de Centro Comunitario dentro de la Unidad Deportiva del Polvorín, Municipio de Zapopan, Jalisco, frente 1.</v>
          </cell>
          <cell r="T86" t="str">
            <v xml:space="preserve">Leobardo </v>
          </cell>
          <cell r="U86" t="str">
            <v>Preciado</v>
          </cell>
          <cell r="V86" t="str">
            <v>Zepeda</v>
          </cell>
          <cell r="W86" t="str">
            <v>Consorcio Constructor Adobes, S. A. de C. V.</v>
          </cell>
          <cell r="X86" t="str">
            <v>CCA971126QC9</v>
          </cell>
          <cell r="AD86">
            <v>42685</v>
          </cell>
          <cell r="AG86">
            <v>8434117.6600000001</v>
          </cell>
          <cell r="AM86">
            <v>42688</v>
          </cell>
          <cell r="AN86">
            <v>42763</v>
          </cell>
          <cell r="AS86" t="str">
            <v>Colonia Guadalajarita</v>
          </cell>
        </row>
        <row r="87">
          <cell r="D87" t="str">
            <v>DOPI-MUN-PR-EP-LP-125-2016</v>
          </cell>
          <cell r="I87" t="str">
            <v>Rehabilitación de instalaciones y construcción de Centro Comunitario dentro de la Unidad Deportiva del Polvorín, Municipio de Zapopan, Jalisco, frente 2.</v>
          </cell>
          <cell r="T87" t="str">
            <v>Marco Antonio</v>
          </cell>
          <cell r="U87" t="str">
            <v>Cortés</v>
          </cell>
          <cell r="V87" t="str">
            <v>González</v>
          </cell>
          <cell r="W87" t="str">
            <v>Grupo Taube de México, S.A. de C.V.</v>
          </cell>
          <cell r="X87" t="str">
            <v>GTM050418384</v>
          </cell>
          <cell r="AD87">
            <v>42685</v>
          </cell>
          <cell r="AG87">
            <v>5098902.66</v>
          </cell>
          <cell r="AM87">
            <v>42688</v>
          </cell>
          <cell r="AN87">
            <v>42763</v>
          </cell>
          <cell r="AS87" t="str">
            <v>Colonia Guadalajarita</v>
          </cell>
        </row>
        <row r="88">
          <cell r="D88" t="str">
            <v>DOPI-MUN-CISZ-RM-LP-140-2016</v>
          </cell>
          <cell r="I88" t="str">
            <v>Estudios, proyecto ejecutivo, construcción, equipamiento del Centro Integral de Servicios del Municipio de Zapopan.</v>
          </cell>
          <cell r="W88" t="str">
            <v>Constructora San Sebastián, S.A. de C.V. en asociación en participación  con Desarrolladores Verde Vallarta, S.A. de C.V.</v>
          </cell>
          <cell r="AD88">
            <v>42956</v>
          </cell>
          <cell r="AG88">
            <v>531279657.50999999</v>
          </cell>
          <cell r="AM88">
            <v>42957</v>
          </cell>
          <cell r="AN88">
            <v>43326</v>
          </cell>
          <cell r="AS88" t="str">
            <v>Colonia Tepeyac</v>
          </cell>
        </row>
        <row r="89">
          <cell r="B89" t="str">
            <v>Licitación por Invitación Restringida</v>
          </cell>
          <cell r="D89" t="str">
            <v>DOPI-MUN-CRM-AP-CI-141-2016</v>
          </cell>
          <cell r="I89" t="str">
            <v>Construcción de linea de conducción de agua potable desde el pozo de La Soledad de Nextipac a la Colonia Fuentesillas, en la localidad de Nextipac; Construccuón de red de drenaje y descargas sanitarias en la Colonia Vinatera, municipio de Zapopan, Jalisco.</v>
          </cell>
          <cell r="T89" t="str">
            <v>Claudio Felipe</v>
          </cell>
          <cell r="U89" t="str">
            <v>Trujillo</v>
          </cell>
          <cell r="V89" t="str">
            <v>Gracián</v>
          </cell>
          <cell r="W89" t="str">
            <v>Desarrolladora Lumadi, S.A. de C.V.</v>
          </cell>
          <cell r="X89" t="str">
            <v>DLU100818F46</v>
          </cell>
          <cell r="AD89">
            <v>42685</v>
          </cell>
          <cell r="AG89">
            <v>5289583.63</v>
          </cell>
          <cell r="AM89">
            <v>42688</v>
          </cell>
          <cell r="AN89">
            <v>42728</v>
          </cell>
          <cell r="AS89" t="str">
            <v>Localidad de Nextipac</v>
          </cell>
        </row>
        <row r="90">
          <cell r="B90" t="str">
            <v>Licitación por Invitación Restringida</v>
          </cell>
          <cell r="D90" t="str">
            <v>DOPI-MUN-CRM-AP-CI-142-2016</v>
          </cell>
          <cell r="I90" t="str">
            <v>Perforación y Equipamiento de pozo profundo en la localidad de Milpillas Mesa de San Juan, municipio de Zapopan, Jalisco</v>
          </cell>
          <cell r="T90" t="str">
            <v>Víctor Saul</v>
          </cell>
          <cell r="U90" t="str">
            <v>Ramos</v>
          </cell>
          <cell r="V90" t="str">
            <v>Morales</v>
          </cell>
          <cell r="W90" t="str">
            <v>Ramper Drilling, S.A. de C.V.</v>
          </cell>
          <cell r="X90" t="str">
            <v>RDR100922131</v>
          </cell>
          <cell r="AD90">
            <v>42685</v>
          </cell>
          <cell r="AG90">
            <v>5113699.54</v>
          </cell>
          <cell r="AM90">
            <v>42688</v>
          </cell>
          <cell r="AN90">
            <v>42759</v>
          </cell>
          <cell r="AS90" t="str">
            <v>Localidad Milpillas</v>
          </cell>
        </row>
        <row r="91">
          <cell r="B91" t="str">
            <v>Licitación por Invitación Restringida</v>
          </cell>
          <cell r="D91" t="str">
            <v>DOPI-MUN-CRM-AP-CI-143-2016</v>
          </cell>
          <cell r="I91" t="str">
            <v>Perforación y equipamiento de pozo profundo en la localidad de Cerca Morada, municipio de Zapopan, Jalisco.</v>
          </cell>
          <cell r="T91" t="str">
            <v>Antonio José Rodolfo</v>
          </cell>
          <cell r="U91" t="str">
            <v>Corcuera</v>
          </cell>
          <cell r="V91" t="str">
            <v>Garza Madero</v>
          </cell>
          <cell r="W91" t="str">
            <v>Alcor de Occidente, S.A. de C.V.</v>
          </cell>
          <cell r="X91" t="str">
            <v>AOC830810TG9</v>
          </cell>
          <cell r="AD91">
            <v>42685</v>
          </cell>
          <cell r="AG91">
            <v>4937334.7300000004</v>
          </cell>
          <cell r="AM91">
            <v>42688</v>
          </cell>
          <cell r="AN91">
            <v>42759</v>
          </cell>
          <cell r="AS91" t="str">
            <v>Localidad Cerca Morada</v>
          </cell>
        </row>
        <row r="92">
          <cell r="B92" t="str">
            <v>Licitación por Invitación Restringida</v>
          </cell>
          <cell r="D92" t="str">
            <v>DOPI-MUN-RM-IS-CI-144-2016</v>
          </cell>
          <cell r="I92" t="str">
            <v>Rehabilitación del área de consultorios, urgencias,mortuario y acabados en general en la Cruz Verde Sur Las Aguilas, ubicada en Av. López Mateos y calle Cruz del Sur en la Colonia Las Aguilas, municipio de Zapopan, Jalisco.</v>
          </cell>
          <cell r="T92" t="str">
            <v>Marco Antonio</v>
          </cell>
          <cell r="U92" t="str">
            <v>Cortés</v>
          </cell>
          <cell r="V92" t="str">
            <v>González</v>
          </cell>
          <cell r="W92" t="str">
            <v>Grupo Taube de México, S.A. de C.V.</v>
          </cell>
          <cell r="X92" t="str">
            <v>GTM050418384</v>
          </cell>
          <cell r="AD92">
            <v>42685</v>
          </cell>
          <cell r="AG92">
            <v>3504992.46</v>
          </cell>
          <cell r="AM92">
            <v>42688</v>
          </cell>
          <cell r="AN92">
            <v>42728</v>
          </cell>
          <cell r="AS92" t="str">
            <v>Colonia Las Aguilas</v>
          </cell>
        </row>
        <row r="93">
          <cell r="B93" t="str">
            <v>Licitación por Invitación Restringida</v>
          </cell>
          <cell r="D93" t="str">
            <v>DOPI-MUN-RM-AP-CI-145-2016</v>
          </cell>
          <cell r="I93" t="str">
            <v>Sustitución de red de agua potable, drenaje sanitario y adecuaciones pluviales en la Avenida Juan Manuel Ruvalcaba en el tramo de la calle Río Amazonas y Pedro Moreno, localidad de Santa Lucia, municipio de Zapopan, Jalisco.</v>
          </cell>
          <cell r="T93" t="str">
            <v>Mario</v>
          </cell>
          <cell r="U93" t="str">
            <v>Beltrán</v>
          </cell>
          <cell r="V93" t="str">
            <v>Rodríguez</v>
          </cell>
          <cell r="W93" t="str">
            <v xml:space="preserve">Constructora y Desarrolladora Barba y Asociados, S. A. de C. V. </v>
          </cell>
          <cell r="X93" t="str">
            <v>CDB0506068Z4</v>
          </cell>
          <cell r="AD93">
            <v>42685</v>
          </cell>
          <cell r="AG93">
            <v>5120884.03</v>
          </cell>
          <cell r="AM93">
            <v>42688</v>
          </cell>
          <cell r="AN93">
            <v>42728</v>
          </cell>
          <cell r="AS93" t="str">
            <v>Localidad de Santa Lucia</v>
          </cell>
        </row>
        <row r="94">
          <cell r="B94" t="str">
            <v>Licitación por Invitación Restringida</v>
          </cell>
          <cell r="D94" t="str">
            <v>DOPI-MUN-RM-IE-CI-146-2016</v>
          </cell>
          <cell r="I94" t="str">
            <v>Suministro y colocación de estructuras de protección de rayos ultravioleta en los planteles educativos: Plaza Comunitaria Ineejad matricula 200, colonia Centro; Centro de Atención Especial matricula 181, colonia El Vigia; Escuela Primaria Justo Sierra matricula 1115, localidad de Santa Anta Tepetitlán; Escuela Primaria Sor Juana Inés de la Cruz y José Vasconcelos matricula 1026, colonia Jardines del Valle; Escuela Primaria José Amador Pelayo y Miguel Hidalgo y Costilla matricula 985, colonia Lomas de Tabachines; Escuela Primaria Urbana Juan Escutia 1130 y Agustín Yañez matricula 916, colonia Paraísos del Colli; Escuela Primaria Vicente Guerrero matricula 854, colonia Vicente Guerrero, municipio de Zapopan, Jalisco.</v>
          </cell>
          <cell r="T94" t="str">
            <v>Gustavo</v>
          </cell>
          <cell r="U94" t="str">
            <v>Durán</v>
          </cell>
          <cell r="V94" t="str">
            <v>Jiménez</v>
          </cell>
          <cell r="W94" t="str">
            <v>Durán Jiménez Arquitectos y Asociados, S.A. de C.V.</v>
          </cell>
          <cell r="X94" t="str">
            <v>DJA9405184G7</v>
          </cell>
          <cell r="AD94">
            <v>42685</v>
          </cell>
          <cell r="AG94">
            <v>4839304.3099999996</v>
          </cell>
          <cell r="AM94">
            <v>42688</v>
          </cell>
          <cell r="AN94">
            <v>42728</v>
          </cell>
          <cell r="AS94" t="str">
            <v>Colonia Centro, El Vigia, Santa Ana Tepetitlán, Jardines del Valle, Lomas de Tabachines, Paraisos del Colli y Vicente Guerrero</v>
          </cell>
        </row>
        <row r="95">
          <cell r="B95" t="str">
            <v>Licitación por Invitación Restringida</v>
          </cell>
          <cell r="D95" t="str">
            <v>DOPI-MUN-RM-AP-CI-147-2016</v>
          </cell>
          <cell r="I95" t="str">
            <v>Perforación y equipamiento de pozo en el ejido de Copalita.</v>
          </cell>
          <cell r="T95" t="str">
            <v>Karla Mariana</v>
          </cell>
          <cell r="U95" t="str">
            <v>Méndez</v>
          </cell>
          <cell r="V95" t="str">
            <v>Rodríguez</v>
          </cell>
          <cell r="W95" t="str">
            <v>Grupo la Fuente, S.A. de C.V.</v>
          </cell>
          <cell r="X95" t="str">
            <v>GFU021009BC1</v>
          </cell>
          <cell r="AD95">
            <v>42685</v>
          </cell>
          <cell r="AG95">
            <v>5204600.13</v>
          </cell>
          <cell r="AM95">
            <v>42688</v>
          </cell>
          <cell r="AN95">
            <v>42759</v>
          </cell>
          <cell r="AS95" t="str">
            <v>Ejido Copalita</v>
          </cell>
        </row>
        <row r="96">
          <cell r="B96" t="str">
            <v>Licitación por Invitación Restringida</v>
          </cell>
          <cell r="D96" t="str">
            <v>DOPI-MUN-R33-ELE-CI-148-2016</v>
          </cell>
          <cell r="I96" t="str">
            <v>Primera etapa de alumbrado público en las calles Jardines del Vergel poniente y oriente, Jardines de los Olmos, Jardines de los Álamos, Jardines de los Cerezos, Jardines de las Magnolias, Jardines del Oyamel, Jardines de los Nísperos, Jardines de los Capulines, Jardines de los Tamarindos, Jardines de los Manzanos, Jardines del Jardines de las Parras, Jardines de los Ciruelos, Jardines de los Membrillos, Jardines de los Naranjos, Jardines de los Ébanos Oriente y Poniente, Jardines de los Robles Oriente y Poniente, Av. Del Vergel Poniente, Jardines de los Cerezos, Jardines de las Higueras, Jardines de las Caobas, Jardines del Oyamel, Jardines de la Rosa Morada, Jardines de los Abetos, Jardines de los Nogales, en la colonia Jardines del Vergel I sección; Primera etapa de alumbrado público en las calles Eucalipto, Ciprés, Aztecas. Daniel Duarte, Humberto Chavira, Las Torres, J. Carlos Rivera Aceves, José Bañuelos Guardado, en la colonia Lomas del Centinela, municipio de Zapopan, Jalisco.</v>
          </cell>
          <cell r="T96" t="str">
            <v>Héctor Alejandro</v>
          </cell>
          <cell r="U96" t="str">
            <v>Ortega</v>
          </cell>
          <cell r="V96" t="str">
            <v>Rosales</v>
          </cell>
          <cell r="W96" t="str">
            <v xml:space="preserve">IME Servicios y Suministros, S. A. de C. V. </v>
          </cell>
          <cell r="X96" t="str">
            <v>ISS920330811</v>
          </cell>
          <cell r="AD96">
            <v>42685</v>
          </cell>
          <cell r="AG96">
            <v>4251366.43</v>
          </cell>
          <cell r="AM96">
            <v>42688</v>
          </cell>
          <cell r="AN96">
            <v>42728</v>
          </cell>
          <cell r="AS96" t="str">
            <v>Varias colonias del Municipio</v>
          </cell>
        </row>
        <row r="97">
          <cell r="B97" t="str">
            <v>Licitación por Invitación Restringida</v>
          </cell>
          <cell r="D97" t="str">
            <v>DOPI-MUN-R33-AP-CI-149-2016</v>
          </cell>
          <cell r="I97" t="str">
            <v>Construcción de línea de agua potable y drenaje sanitario en la calle Jícama, de calle Limón a cerrada, calle Carlos Herrera Jasso, de calle Limón a calle Jícama, Privada Mango, de calle Carlos Herrera Jasso a cerrada y Privada Fresa, de calle Carlos Herrera Jasso a cerrada, en la colonia Mesa Colorada Oriente; y Construcción de línea de drenaje sanitario en la calle Paseo de los Ahuehuetes, de calle Paseo de Los Almendros a calle de Paseo de los Guayabos y calle Paseo de los Guayabos, de calle Colorines a calle Paseo de los Ahuehuetes, en la colonia Mesa de Los Ocotes, en el municipio de Zapopan, Jalisco.</v>
          </cell>
          <cell r="T97" t="str">
            <v>Eduardo</v>
          </cell>
          <cell r="U97" t="str">
            <v>Romero</v>
          </cell>
          <cell r="V97" t="str">
            <v>Lugo</v>
          </cell>
          <cell r="W97" t="str">
            <v>RS Obras y Servicios, S.A. de C.V.</v>
          </cell>
          <cell r="X97" t="str">
            <v>ROS120904PV9</v>
          </cell>
          <cell r="AD97">
            <v>42727</v>
          </cell>
          <cell r="AG97">
            <v>4456704.66</v>
          </cell>
          <cell r="AM97">
            <v>42730</v>
          </cell>
          <cell r="AN97">
            <v>42831</v>
          </cell>
          <cell r="AS97" t="str">
            <v>Colonia Mesa Colorada Oriente y colonia Mesa de los Ocotes</v>
          </cell>
        </row>
        <row r="98">
          <cell r="B98" t="str">
            <v>Licitación por Invitación Restringida</v>
          </cell>
          <cell r="D98" t="str">
            <v>DOPI-MUN-RM-PAV-CI-150-2016</v>
          </cell>
          <cell r="I98" t="str">
            <v>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1, municipio de Zapopan, Jalisco.</v>
          </cell>
          <cell r="T98" t="str">
            <v>David Eduardo</v>
          </cell>
          <cell r="U98" t="str">
            <v>Lara</v>
          </cell>
          <cell r="V98" t="str">
            <v>Ochoa</v>
          </cell>
          <cell r="W98" t="str">
            <v xml:space="preserve">Construcciones ICU, S.A. de C.V. </v>
          </cell>
          <cell r="X98" t="str">
            <v>CIC080626ER2</v>
          </cell>
          <cell r="AD98">
            <v>42685</v>
          </cell>
          <cell r="AG98">
            <v>4960902.49</v>
          </cell>
          <cell r="AM98">
            <v>42688</v>
          </cell>
          <cell r="AN98">
            <v>42728</v>
          </cell>
          <cell r="AS98" t="str">
            <v>San Juan de Ocotán</v>
          </cell>
        </row>
        <row r="99">
          <cell r="B99" t="str">
            <v>Licitación por Invitación Restringida</v>
          </cell>
          <cell r="D99" t="str">
            <v>DOPI-MUN-RM-PAV-CI-151-2016</v>
          </cell>
          <cell r="I99" t="str">
            <v>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2, municipio de Zapopan, Jalisco.</v>
          </cell>
          <cell r="T99" t="str">
            <v>Luis Armando</v>
          </cell>
          <cell r="U99" t="str">
            <v>Linares</v>
          </cell>
          <cell r="V99" t="str">
            <v>Cacho</v>
          </cell>
          <cell r="W99" t="str">
            <v>Urbanizadora y Constructora Roal, S.A. de C.V.</v>
          </cell>
          <cell r="X99" t="str">
            <v>URC160310857</v>
          </cell>
          <cell r="AD99">
            <v>42685</v>
          </cell>
          <cell r="AG99">
            <v>4130342.71</v>
          </cell>
          <cell r="AM99">
            <v>42688</v>
          </cell>
          <cell r="AN99">
            <v>42728</v>
          </cell>
          <cell r="AS99" t="str">
            <v>San Juan de Ocotán</v>
          </cell>
        </row>
        <row r="100">
          <cell r="B100" t="str">
            <v>Licitación por Invitación Restringida</v>
          </cell>
          <cell r="D100" t="str">
            <v>DOPI-MUN-RM-PAV-CI-152-2016</v>
          </cell>
          <cell r="I100" t="str">
            <v>Reencarpetado de la vialidad, desbastado de la carpeta existente, nivelación de pozos de visita, cajas de válvulas, rejillas pluviales, bocas de tormenta y elementos estructurales que sobresalen de la rasante de la vialidad, calafateos, señalética horizontal en la Av. 5 de Mayo de Periférico Poniente a Av. Aviación, municipio de Zapopan, Jalisco.</v>
          </cell>
          <cell r="T100" t="str">
            <v>Carlos Ignacio</v>
          </cell>
          <cell r="U100" t="str">
            <v>Curiel</v>
          </cell>
          <cell r="V100" t="str">
            <v>Dueñas</v>
          </cell>
          <cell r="W100" t="str">
            <v>Constructora Cecuchi, S.A. de C.V.</v>
          </cell>
          <cell r="X100" t="str">
            <v>CCE130723IR7</v>
          </cell>
          <cell r="AD100">
            <v>42685</v>
          </cell>
          <cell r="AG100">
            <v>5069996.18</v>
          </cell>
          <cell r="AM100">
            <v>42688</v>
          </cell>
          <cell r="AN100">
            <v>42728</v>
          </cell>
          <cell r="AS100" t="str">
            <v>San Juan de Ocotán</v>
          </cell>
        </row>
        <row r="101">
          <cell r="B101" t="str">
            <v>Licitación por Invitación Restringida</v>
          </cell>
          <cell r="D101" t="str">
            <v>DOPI-MUN-RM-PAV-CI-153-2016</v>
          </cell>
          <cell r="I101" t="str">
            <v>Construcción de pavimento de concreto hidráulico MR-45, de línea de agua potable, drenaje sanitario, electrificación, alumbrado público, guarniciones, banqueta, señalética horizontal y vertical en la calle Capulín, en la localidad de Tesistán, municipio de Zapopan, Jalisco.</v>
          </cell>
          <cell r="T101" t="str">
            <v xml:space="preserve"> Martha </v>
          </cell>
          <cell r="U101" t="str">
            <v>Jiménez</v>
          </cell>
          <cell r="V101" t="str">
            <v>López</v>
          </cell>
          <cell r="W101" t="str">
            <v>Inmobiliaria Bochum S. de R.L. de C.V.</v>
          </cell>
          <cell r="X101" t="str">
            <v>IBO090918ET9</v>
          </cell>
          <cell r="AD101">
            <v>42685</v>
          </cell>
          <cell r="AG101">
            <v>7253719.3200000003</v>
          </cell>
          <cell r="AM101">
            <v>42688</v>
          </cell>
          <cell r="AN101">
            <v>42728</v>
          </cell>
          <cell r="AS101" t="str">
            <v>Localidad de Tesistán</v>
          </cell>
        </row>
        <row r="102">
          <cell r="B102" t="str">
            <v>Licitación por Invitación Restringida</v>
          </cell>
          <cell r="D102" t="str">
            <v>DOPI-MUN-RM-PAV-CI-154-2016</v>
          </cell>
          <cell r="I102" t="str">
            <v>Construcción de la primera etapa de pavimento de concreto hidráulico MR-45, línea de agua potable, drenaje sanitario, colector sanitario, guarniciones, banqueta, bocas de tormenta en la calle Navio de la Av. La Calma a calle Boyero, en la colonia La Calma, municipio de Zapopan, Jalisco.</v>
          </cell>
          <cell r="T102" t="str">
            <v>Carlos</v>
          </cell>
          <cell r="U102" t="str">
            <v>Pérez</v>
          </cell>
          <cell r="V102" t="str">
            <v>Cruz</v>
          </cell>
          <cell r="W102" t="str">
            <v>Constructora Pecru, S.A. de C.V.</v>
          </cell>
          <cell r="X102" t="str">
            <v>CPE070123PD4</v>
          </cell>
          <cell r="AD102">
            <v>42685</v>
          </cell>
          <cell r="AG102">
            <v>3382310.92</v>
          </cell>
          <cell r="AM102">
            <v>42688</v>
          </cell>
          <cell r="AN102">
            <v>42728</v>
          </cell>
          <cell r="AS102" t="str">
            <v>Colonia La Calma</v>
          </cell>
        </row>
        <row r="103">
          <cell r="B103" t="str">
            <v>Licitación por Invitación Restringida</v>
          </cell>
          <cell r="D103" t="str">
            <v>DOPI-MUN-RM-PAV-CI-155-2016</v>
          </cell>
          <cell r="I103" t="str">
            <v>Construcción de empedrado tradicional y huellas de rodamiento de concreto hidráulico MR-42, cunetas, guarniciones, banquetas, señalamiento vertical y horizontal en el camino al Arenero, municipio de Zapopan, Jalisco.</v>
          </cell>
          <cell r="T103" t="str">
            <v>Arturo</v>
          </cell>
          <cell r="U103" t="str">
            <v>Rangel</v>
          </cell>
          <cell r="V103" t="str">
            <v>Paez</v>
          </cell>
          <cell r="W103" t="str">
            <v>Constructora Lasa, S.A. de C.V.</v>
          </cell>
          <cell r="X103" t="str">
            <v>CLA890925ER5</v>
          </cell>
          <cell r="AD103">
            <v>42685</v>
          </cell>
          <cell r="AG103">
            <v>7468157.6799999997</v>
          </cell>
          <cell r="AM103">
            <v>42688</v>
          </cell>
          <cell r="AN103">
            <v>42728</v>
          </cell>
          <cell r="AS103" t="str">
            <v>Colonia Bajío</v>
          </cell>
        </row>
        <row r="104">
          <cell r="B104" t="str">
            <v>Licitación por Invitación Restringida</v>
          </cell>
          <cell r="D104" t="str">
            <v>DOPI-MUN-RM-IE-CI-156-2016</v>
          </cell>
          <cell r="I104" t="str">
            <v>Suministro y colocación de estructuras de protección de rayos ultravioleta en los planteles educativos: Escuela Primaria Niños Héroes y Salvador López Chávez, matricula 750, colonia Pinar de la Calma; Escuela Primaria Idolina Gaona Cosio de Vidaurri, matricula 703, colonia Los Cajetes; Escuela Primaria Antonio Caso y Patria, matricula 490, colonia El Briseño segunda sección; Escuela Primaria Paulo Freire y 24 de Octubre, matricula 675, colonia Mariano Otero; Escuela Primaria Rafael Ramírez, matricula 240, colonia Paseos del Briseño, municipio de Zapopan, Jalisco.</v>
          </cell>
          <cell r="T104" t="str">
            <v>Eduardo</v>
          </cell>
          <cell r="U104" t="str">
            <v>Cruz</v>
          </cell>
          <cell r="V104" t="str">
            <v>Moguel</v>
          </cell>
          <cell r="W104" t="str">
            <v>Balken, S.A. de C.V.</v>
          </cell>
          <cell r="X104" t="str">
            <v>BAL990803661</v>
          </cell>
          <cell r="AD104">
            <v>42685</v>
          </cell>
          <cell r="AG104">
            <v>4189228.4</v>
          </cell>
          <cell r="AM104">
            <v>42688</v>
          </cell>
          <cell r="AN104">
            <v>42728</v>
          </cell>
          <cell r="AS104" t="str">
            <v>Varias colonias del Municipio</v>
          </cell>
        </row>
        <row r="105">
          <cell r="B105" t="str">
            <v>Licitación por Invitación Restringida</v>
          </cell>
          <cell r="D105" t="str">
            <v>DOPI-MUN-RM-IE-CI-157-2016</v>
          </cell>
          <cell r="I105" t="str">
            <v>Suministro y colocación de estructuras de protección de rayos ultravioleta en los planteles educativos: Escuela Primaria Emiliano Zapata y Lázaro Cárdenas del Río, matricula 493, colonia San Isidro Ejidal; Escuela Primaria Ramón López Velarde, matricula 478, colonia Arcos de Zapopan tercera sección; Escuela Primaria Valentín Gómez Farias, matricula 243, colonia San Isidro Ejidal; Escuela Primaria José María Morelos y Pavón, matricula 194, colonia San José del Bajío, municipio de Zapopan, Jalisco.</v>
          </cell>
          <cell r="T105" t="str">
            <v>Vicente</v>
          </cell>
          <cell r="U105" t="str">
            <v>Mendoza</v>
          </cell>
          <cell r="V105" t="str">
            <v>Lamas</v>
          </cell>
          <cell r="W105" t="str">
            <v>Constructora y Urbanizadora Arista, S.A. de C.V.</v>
          </cell>
          <cell r="X105" t="str">
            <v>CUA130425I70</v>
          </cell>
          <cell r="AD105">
            <v>42685</v>
          </cell>
          <cell r="AG105">
            <v>3269771.91</v>
          </cell>
          <cell r="AM105">
            <v>42688</v>
          </cell>
          <cell r="AN105">
            <v>42728</v>
          </cell>
          <cell r="AS105" t="str">
            <v>Varias colonias del Municipio</v>
          </cell>
        </row>
        <row r="106">
          <cell r="B106" t="str">
            <v>Licitación por Invitación Restringida</v>
          </cell>
          <cell r="D106" t="str">
            <v>DOPI-MUN-RM-IE-CI-158-2016</v>
          </cell>
          <cell r="I106" t="str">
            <v>Suministro y colocación de estructuras de protección de rayos ultravioleta en los planteles educativos: Escuela Primaria 5 de Mayo y Bernardo Ortíz de Montellano, matricula 642, colonia Misión del Bosque; Escuela Primaria Rural Luis Pérez Verdía, matricula 220, colonia San Francisco de Ixcatán; Escuela Primaria Rural Mariano Azuela, matricula 198, colonia Río Blanco; Escuela Primaria Rural Miguel Hidalgo y Costilla, matricula 140, Ampliación de Copala, municipio de Zapopan, Jalisco.</v>
          </cell>
          <cell r="T106" t="str">
            <v>J. Gerardo</v>
          </cell>
          <cell r="U106" t="str">
            <v>Nicanor</v>
          </cell>
          <cell r="V106" t="str">
            <v>Mejia Mariscal</v>
          </cell>
          <cell r="W106" t="str">
            <v>Ineco Construye, S.A. de C.V.</v>
          </cell>
          <cell r="X106" t="str">
            <v>ICO980722M04</v>
          </cell>
          <cell r="AD106">
            <v>42685</v>
          </cell>
          <cell r="AG106">
            <v>3328458.75</v>
          </cell>
          <cell r="AM106">
            <v>42688</v>
          </cell>
          <cell r="AN106">
            <v>42728</v>
          </cell>
          <cell r="AS106" t="str">
            <v>Varias colonias del Municipio</v>
          </cell>
        </row>
        <row r="107">
          <cell r="B107" t="str">
            <v>Licitación Pública</v>
          </cell>
          <cell r="D107" t="str">
            <v>DOPI-MUN-RM-IM-LP-173-2016</v>
          </cell>
          <cell r="I107" t="str">
            <v>Rehabilitación de la instalación eléctrica, iluminación y alumbrado público en el mercado municipal de Atemajac, municipio de Zapopan, Jalisco.</v>
          </cell>
          <cell r="T107" t="str">
            <v>Amalia</v>
          </cell>
          <cell r="U107" t="str">
            <v>Moreno</v>
          </cell>
          <cell r="V107" t="str">
            <v>Maldonado</v>
          </cell>
          <cell r="W107" t="str">
            <v>Grupo Constructor los Muros, S.A. de C.V.</v>
          </cell>
          <cell r="X107" t="str">
            <v>GCM020226F28</v>
          </cell>
          <cell r="AD107">
            <v>42726</v>
          </cell>
          <cell r="AG107">
            <v>8929443.7100000009</v>
          </cell>
          <cell r="AM107">
            <v>42727</v>
          </cell>
          <cell r="AN107">
            <v>42816</v>
          </cell>
          <cell r="AS107" t="str">
            <v>Atemajac</v>
          </cell>
        </row>
        <row r="108">
          <cell r="B108" t="str">
            <v>Licitación Pública</v>
          </cell>
          <cell r="D108" t="str">
            <v>DOPI-MUN-RM-IM-LP-174-2016</v>
          </cell>
          <cell r="I108" t="str">
            <v>Rehabilitación de la red hidrosanitaria, instalación de la red contra incendio, obra civil, elevador y acabados en el mercado municipal de Atemajac, municipio de Zapopan , Jalisco.</v>
          </cell>
          <cell r="T108" t="str">
            <v xml:space="preserve">Leobardo </v>
          </cell>
          <cell r="U108" t="str">
            <v>Preciado</v>
          </cell>
          <cell r="V108" t="str">
            <v>Zepeda</v>
          </cell>
          <cell r="W108" t="str">
            <v xml:space="preserve">Consorcio Constructor Adobes, S. A. de C. V. </v>
          </cell>
          <cell r="X108" t="str">
            <v>CCA971126QC9</v>
          </cell>
          <cell r="AD108">
            <v>42726</v>
          </cell>
          <cell r="AG108">
            <v>10276943.060000001</v>
          </cell>
          <cell r="AM108">
            <v>42727</v>
          </cell>
          <cell r="AN108">
            <v>42816</v>
          </cell>
          <cell r="AS108" t="str">
            <v>Atemajac</v>
          </cell>
        </row>
        <row r="109">
          <cell r="B109" t="str">
            <v>Licitación Pública</v>
          </cell>
          <cell r="D109" t="str">
            <v>DOPI-MUN-RM-DP-LP-175-2016</v>
          </cell>
          <cell r="I109" t="str">
            <v>Sustitución de rejillas de bocas de tormenta en diferentes vialidades del municipio.</v>
          </cell>
          <cell r="T109" t="str">
            <v>José Omar</v>
          </cell>
          <cell r="U109" t="str">
            <v>Fernández</v>
          </cell>
          <cell r="V109" t="str">
            <v>Vázquez</v>
          </cell>
          <cell r="W109" t="str">
            <v>José Omar Fernández Vázquez</v>
          </cell>
          <cell r="X109" t="str">
            <v>FEVO740619686</v>
          </cell>
          <cell r="AD109">
            <v>42726</v>
          </cell>
          <cell r="AG109">
            <v>2998448.3</v>
          </cell>
          <cell r="AM109">
            <v>42727</v>
          </cell>
          <cell r="AN109">
            <v>42846</v>
          </cell>
          <cell r="AS109" t="str">
            <v>Varias colonias del Municipio</v>
          </cell>
        </row>
        <row r="110">
          <cell r="B110" t="str">
            <v>Licitación Pública</v>
          </cell>
          <cell r="D110" t="str">
            <v>DOPI-MUN-RM-ID-LP-176-2016</v>
          </cell>
          <cell r="I110" t="str">
            <v>Rehabilitación de las instalaciones y equipamiento deportivo de la Unidad Deportiva Miramar, municipio de Zapopan, Jalisco</v>
          </cell>
          <cell r="T110" t="str">
            <v>José Antonio</v>
          </cell>
          <cell r="U110" t="str">
            <v>Álvarez</v>
          </cell>
          <cell r="V110" t="str">
            <v>Garcia</v>
          </cell>
          <cell r="W110" t="str">
            <v>Urcoma 1970, S.A. de C.V.</v>
          </cell>
          <cell r="X110" t="str">
            <v>UMN160125869</v>
          </cell>
          <cell r="AD110">
            <v>42726</v>
          </cell>
          <cell r="AG110">
            <v>7420078.3799999999</v>
          </cell>
          <cell r="AM110">
            <v>42727</v>
          </cell>
          <cell r="AN110">
            <v>42816</v>
          </cell>
          <cell r="AS110" t="str">
            <v>Colonia Miramar</v>
          </cell>
        </row>
        <row r="111">
          <cell r="B111" t="str">
            <v>Licitación Pública</v>
          </cell>
          <cell r="D111" t="str">
            <v>DOPI-MUN-RM-ID-LP-177-2016</v>
          </cell>
          <cell r="I111" t="str">
            <v>Rehabilitación de las Instalaciones y equipamiento deportivo de la Unidad Deportiva Paseos del Briseño, municipio de Zapopan, Jalisco</v>
          </cell>
          <cell r="T111" t="str">
            <v>Francisco Javier</v>
          </cell>
          <cell r="U111" t="str">
            <v>Diaz</v>
          </cell>
          <cell r="V111" t="str">
            <v>Ruiz</v>
          </cell>
          <cell r="W111" t="str">
            <v>Constructora Diru, S.A. de C.V.</v>
          </cell>
          <cell r="X111" t="str">
            <v>CDI950714B79</v>
          </cell>
          <cell r="AD111">
            <v>42726</v>
          </cell>
          <cell r="AG111">
            <v>8768312.9199999999</v>
          </cell>
          <cell r="AM111">
            <v>42727</v>
          </cell>
          <cell r="AN111">
            <v>42816</v>
          </cell>
          <cell r="AS111" t="str">
            <v>Colonia Paseos del Briseño</v>
          </cell>
        </row>
        <row r="112">
          <cell r="B112" t="str">
            <v>Licitación Pública</v>
          </cell>
          <cell r="D112" t="str">
            <v>DOPI-MUN-RM-ID-LP-178-2016</v>
          </cell>
          <cell r="I112" t="str">
            <v>Rehabilitación de las Instalaciones y equipamiento deportivo de la Unidad Deportiva San Juan de Ocotán, municipio de Zapopan, Jalisco</v>
          </cell>
          <cell r="T112" t="str">
            <v>Eduardo</v>
          </cell>
          <cell r="U112" t="str">
            <v>Romero</v>
          </cell>
          <cell r="V112" t="str">
            <v>Lugo</v>
          </cell>
          <cell r="W112" t="str">
            <v>RS Obras y Servicios S.A. de C.V.</v>
          </cell>
          <cell r="X112" t="str">
            <v>ROS120904PV9</v>
          </cell>
          <cell r="AD112">
            <v>42726</v>
          </cell>
          <cell r="AG112">
            <v>7913055.7999999998</v>
          </cell>
          <cell r="AM112">
            <v>42727</v>
          </cell>
          <cell r="AN112">
            <v>42794</v>
          </cell>
          <cell r="AS112" t="str">
            <v>Colonia San Juan de Ocotán</v>
          </cell>
        </row>
        <row r="113">
          <cell r="B113" t="str">
            <v>Licitación Pública</v>
          </cell>
          <cell r="D113" t="str">
            <v>DOPI-MUN-RM-MOV-LP-179-2016</v>
          </cell>
          <cell r="I113" t="str">
            <v>Construcción de cruceros seguros, incluye señaletica horizontal y vertical, acceso universal en esquinas,semaforización y paradas de autobús en diferentes cruceros, zona 1 del Municipio de Zapopan, Jallisco</v>
          </cell>
          <cell r="T113" t="str">
            <v>José Omar</v>
          </cell>
          <cell r="U113" t="str">
            <v>Fernández</v>
          </cell>
          <cell r="V113" t="str">
            <v>Vázquez</v>
          </cell>
          <cell r="W113" t="str">
            <v>José Omar Fernández Vázquez</v>
          </cell>
          <cell r="X113" t="str">
            <v>FEVO740619686</v>
          </cell>
          <cell r="AD113">
            <v>42726</v>
          </cell>
          <cell r="AG113">
            <v>3582511.3</v>
          </cell>
          <cell r="AM113">
            <v>42727</v>
          </cell>
          <cell r="AN113">
            <v>42846</v>
          </cell>
          <cell r="AS113" t="str">
            <v>Varias colonias del Municipio</v>
          </cell>
        </row>
        <row r="114">
          <cell r="B114" t="str">
            <v>Licitación Pública</v>
          </cell>
          <cell r="D114" t="str">
            <v>DOPI-MUN-RM-MOV-LP-180-2016</v>
          </cell>
          <cell r="I114" t="str">
            <v>Construcción de cruceros seguros, incluye señaletica horizontal y vertical, acceso universal en esquinas,semaforización y paradas de autobús en diferentes cruceros, zona 2 del Municipio de Zapopan, Jallisco</v>
          </cell>
          <cell r="T114" t="str">
            <v>José Jaime</v>
          </cell>
          <cell r="U114" t="str">
            <v>Camarena</v>
          </cell>
          <cell r="V114" t="str">
            <v>Correa</v>
          </cell>
          <cell r="W114" t="str">
            <v>Firmitas Constructa, S.A de C.V.</v>
          </cell>
          <cell r="X114" t="str">
            <v>FCO110711N24</v>
          </cell>
          <cell r="AD114">
            <v>42726</v>
          </cell>
          <cell r="AG114">
            <v>4703307.2300000004</v>
          </cell>
          <cell r="AM114">
            <v>42727</v>
          </cell>
          <cell r="AN114">
            <v>42846</v>
          </cell>
          <cell r="AS114" t="str">
            <v>Varias colonias del Municipio</v>
          </cell>
        </row>
        <row r="115">
          <cell r="D115" t="str">
            <v>DOPI-FED-R23-IM-LP-188-2016</v>
          </cell>
          <cell r="T115" t="str">
            <v>Luis German</v>
          </cell>
          <cell r="U115" t="str">
            <v xml:space="preserve">Delgadillo </v>
          </cell>
          <cell r="V115" t="str">
            <v>Alcazar</v>
          </cell>
          <cell r="W115" t="str">
            <v>Axioma Proyectos e Ingeniería, S. A. de C. V.</v>
          </cell>
          <cell r="X115" t="str">
            <v>APE111122MI0</v>
          </cell>
          <cell r="AD115">
            <v>42704</v>
          </cell>
          <cell r="AG115">
            <v>18435309.59</v>
          </cell>
          <cell r="AL115" t="str">
            <v>Construcción de la primera etapa del centro comunitario, Centro de Emprendimiento, en Miramar, frente 1.</v>
          </cell>
          <cell r="AM115">
            <v>42705</v>
          </cell>
          <cell r="AN115">
            <v>42735</v>
          </cell>
          <cell r="AS115" t="str">
            <v>Colonia Miramar</v>
          </cell>
        </row>
        <row r="116">
          <cell r="D116" t="str">
            <v>DOPI-FED-R23-IM-LP-189-2016</v>
          </cell>
          <cell r="T116" t="str">
            <v>Gustavo Alejandro</v>
          </cell>
          <cell r="U116" t="str">
            <v>Ledezma</v>
          </cell>
          <cell r="V116" t="str">
            <v xml:space="preserve"> Cervantes</v>
          </cell>
          <cell r="W116" t="str">
            <v>Edificaciones y Proyectos Roca, S.A. de C.V.</v>
          </cell>
          <cell r="X116" t="str">
            <v>EPR131016I71</v>
          </cell>
          <cell r="AD116">
            <v>42704</v>
          </cell>
          <cell r="AG116">
            <v>4817658.4800000004</v>
          </cell>
          <cell r="AL116" t="str">
            <v>Construcción de la primera etapa del centro comunitario, Centro de Emprendimiento, en Miramar, frente 2.</v>
          </cell>
          <cell r="AM116">
            <v>42705</v>
          </cell>
          <cell r="AN116">
            <v>42735</v>
          </cell>
          <cell r="AS116" t="str">
            <v>Colonia Miramar</v>
          </cell>
        </row>
        <row r="117">
          <cell r="D117" t="str">
            <v>DOPI-FED-PR-PAV-LP-190-2016</v>
          </cell>
          <cell r="T117" t="str">
            <v>Blanca Estela</v>
          </cell>
          <cell r="U117" t="str">
            <v>Moreno</v>
          </cell>
          <cell r="V117" t="str">
            <v>Lemus</v>
          </cell>
          <cell r="W117" t="str">
            <v xml:space="preserve">Estudios, Proyectos y Construcciones de Guadalajara, S.A. de C.V. </v>
          </cell>
          <cell r="X117" t="str">
            <v>EPC7107236R1</v>
          </cell>
          <cell r="AD117">
            <v>42704</v>
          </cell>
          <cell r="AG117">
            <v>2963838.41</v>
          </cell>
          <cell r="AL117" t="str">
            <v>Pavimentación con concreto hidráulico de la Calle Rizo Ayala, incluye: red de agua potable y alcantarillado, alumbrado público y guarniciones, banquetas, renivelación de pozos y cajas, señalamiento horizontal y vertical, municipio de Zapopan, Jalisco.</v>
          </cell>
          <cell r="AM117">
            <v>42705</v>
          </cell>
          <cell r="AN117">
            <v>42735</v>
          </cell>
          <cell r="AS117" t="str">
            <v>Colonia La Martinica</v>
          </cell>
        </row>
        <row r="118">
          <cell r="D118" t="str">
            <v>DOPI-FED-PR-PAV-LP-191-2016</v>
          </cell>
          <cell r="T118" t="str">
            <v>Sergio Cesar</v>
          </cell>
          <cell r="U118" t="str">
            <v>Diaz</v>
          </cell>
          <cell r="V118" t="str">
            <v>Quiroz</v>
          </cell>
          <cell r="W118" t="str">
            <v>Grupo Unicreto S.A. de C.V.</v>
          </cell>
          <cell r="X118" t="str">
            <v>GUN880613NY1</v>
          </cell>
          <cell r="AD118">
            <v>42704</v>
          </cell>
          <cell r="AG118">
            <v>9700078.7599999998</v>
          </cell>
          <cell r="AL118" t="str">
            <v>Reencarpetamiento de vialidad Calle Pípila con concreto hidráulico desde la Calle Felipe Ángeles a la Calle Rizo Ayala, incluye: guarniciones, banquetas, renivelación de pozos y cajas, señalamiento vertical y horizontal, Municipio de Zapopan, Jalisco</v>
          </cell>
          <cell r="AM118">
            <v>42705</v>
          </cell>
          <cell r="AN118">
            <v>42735</v>
          </cell>
          <cell r="AS118" t="str">
            <v>Colonia La Martinica</v>
          </cell>
        </row>
        <row r="119">
          <cell r="D119" t="str">
            <v>DOPI-FED-PR-PAV-LP-192-2016</v>
          </cell>
          <cell r="T119" t="str">
            <v>José</v>
          </cell>
          <cell r="U119" t="str">
            <v>Plascencia</v>
          </cell>
          <cell r="V119" t="str">
            <v>Casillas</v>
          </cell>
          <cell r="W119" t="str">
            <v>PyP Constructora, S.A. de C.V.</v>
          </cell>
          <cell r="X119" t="str">
            <v>PPC980828SY4</v>
          </cell>
          <cell r="AD119">
            <v>42704</v>
          </cell>
          <cell r="AG119">
            <v>9006202.9700000007</v>
          </cell>
          <cell r="AL119" t="str">
            <v>Reencarpetamiento de vialidad con concreto hidráulico Calle González Gallo desde la Av. Prolongación Federalismo al andador Rosario Guadalupe, incluye: guarniciones, banquetas, renivelaciones de pozos y cajas, señalamiento vertical y horizontal, Municipio de Zapopan, Jalisco.</v>
          </cell>
          <cell r="AM119">
            <v>42705</v>
          </cell>
          <cell r="AN119">
            <v>42735</v>
          </cell>
          <cell r="AS119" t="str">
            <v>Colonia Parque del Auditorio</v>
          </cell>
        </row>
        <row r="120">
          <cell r="D120" t="str">
            <v>DOPI-FED-PR-PAV-LP-193-2016</v>
          </cell>
          <cell r="T120" t="str">
            <v>Erick</v>
          </cell>
          <cell r="U120" t="str">
            <v>Villaseñor</v>
          </cell>
          <cell r="V120" t="str">
            <v>Gutiérrez</v>
          </cell>
          <cell r="W120" t="str">
            <v>Pixide Constructora, S.A. de C.V.</v>
          </cell>
          <cell r="X120" t="str">
            <v>PCO140829425</v>
          </cell>
          <cell r="AD120">
            <v>42704</v>
          </cell>
          <cell r="AG120">
            <v>1879618.12</v>
          </cell>
          <cell r="AL120" t="str">
            <v>Construcción de vialidad con concreto hidráulico en calle Ingeniero Alberto Mora López, desde la calle Elote a Carretera a Saltillo, incluye: guarniciones, banquetas, red de agua potable y alcantarillado y red de alumbrado público, zona las Mesas, municipio de Zapopan, Jalisco.</v>
          </cell>
          <cell r="AM120">
            <v>42705</v>
          </cell>
          <cell r="AN120">
            <v>42735</v>
          </cell>
          <cell r="AS120" t="str">
            <v>Colonia Mesa Colorada Oriente</v>
          </cell>
        </row>
        <row r="121">
          <cell r="D121" t="str">
            <v>DOPI-FED-SM-RS-LP-194-2016</v>
          </cell>
          <cell r="T121" t="str">
            <v>Héctor</v>
          </cell>
          <cell r="U121" t="str">
            <v>Gaytán</v>
          </cell>
          <cell r="V121" t="str">
            <v>Galicia</v>
          </cell>
          <cell r="W121" t="str">
            <v>Secoi Construcciones y Servicios, S.A. de C.V.</v>
          </cell>
          <cell r="X121" t="str">
            <v>SCS1301173MA</v>
          </cell>
          <cell r="AD121">
            <v>42704</v>
          </cell>
          <cell r="AG121">
            <v>53876349.590000004</v>
          </cell>
          <cell r="AL121" t="str">
            <v>Construcción de la celda V y primera fase del equipamiento de la planta de separación y alta compactación para el relleno sanitario Picachos del municipio de Zapopan, Jalisco.</v>
          </cell>
          <cell r="AM121">
            <v>42705</v>
          </cell>
          <cell r="AN121">
            <v>42735</v>
          </cell>
          <cell r="AS121" t="str">
            <v>Relleno Sanitario de Picachos</v>
          </cell>
        </row>
        <row r="122">
          <cell r="D122" t="str">
            <v>DOPI-EST-FC-IS-LP-195-2016</v>
          </cell>
          <cell r="T122" t="str">
            <v>Luis Armando</v>
          </cell>
          <cell r="U122" t="str">
            <v>Linares</v>
          </cell>
          <cell r="V122" t="str">
            <v>Cacho</v>
          </cell>
          <cell r="W122" t="str">
            <v>Urbanizadora y Constructora Roal, S.A. de C.V.</v>
          </cell>
          <cell r="X122" t="str">
            <v>URC160310857</v>
          </cell>
          <cell r="AD122">
            <v>42726</v>
          </cell>
          <cell r="AG122">
            <v>4495293.74</v>
          </cell>
          <cell r="AL122" t="str">
            <v>Rehabilitación de Cruz Verde Federalismo, Municipio de Zapopan, Jalisco.</v>
          </cell>
          <cell r="AM122">
            <v>42727</v>
          </cell>
          <cell r="AN122">
            <v>42816</v>
          </cell>
          <cell r="AS122" t="str">
            <v>Colonia Auditorio</v>
          </cell>
        </row>
        <row r="123">
          <cell r="D123" t="str">
            <v>DOPI-EST-CR-IM-LP-196-2016</v>
          </cell>
          <cell r="T123" t="str">
            <v>José Antonio</v>
          </cell>
          <cell r="U123" t="str">
            <v>Álvarez</v>
          </cell>
          <cell r="V123" t="str">
            <v>García</v>
          </cell>
          <cell r="W123" t="str">
            <v>Urcoma 1970, S.A. de C.V.</v>
          </cell>
          <cell r="X123" t="str">
            <v>UMN160125869</v>
          </cell>
          <cell r="AD123">
            <v>42726</v>
          </cell>
          <cell r="AG123">
            <v>14395555.26</v>
          </cell>
          <cell r="AL123" t="str">
            <v>Construcción del Centro Cultural en Villa de Guadalupe.</v>
          </cell>
          <cell r="AM123">
            <v>42727</v>
          </cell>
          <cell r="AN123">
            <v>42846</v>
          </cell>
          <cell r="AS123" t="str">
            <v>Colonia Villa de Guadalupe</v>
          </cell>
        </row>
        <row r="124">
          <cell r="D124" t="str">
            <v>DOPI‐MUN‐PP‐EP‐CI‐198‐2016</v>
          </cell>
          <cell r="T124" t="str">
            <v>Amalia</v>
          </cell>
          <cell r="U124" t="str">
            <v>Moreno</v>
          </cell>
          <cell r="V124" t="str">
            <v>Maldonado</v>
          </cell>
          <cell r="W124" t="str">
            <v>Grupo Constructor los Muros, S.A. de C.V.</v>
          </cell>
          <cell r="X124" t="str">
            <v>GCM020226F28</v>
          </cell>
          <cell r="AD124">
            <v>42727</v>
          </cell>
          <cell r="AG124">
            <v>8110239.25</v>
          </cell>
          <cell r="AL124" t="str">
            <v>Mejoramiento de la imagen urbana de la plaza pública de localidad de Tesistán municipio de Zapopan, Jalisco.</v>
          </cell>
          <cell r="AM124">
            <v>42730</v>
          </cell>
          <cell r="AN124">
            <v>42831</v>
          </cell>
          <cell r="AS124" t="str">
            <v>Localidad de Tesistán</v>
          </cell>
        </row>
        <row r="125">
          <cell r="D125" t="str">
            <v>DOPI‐MUN‐PP‐IS‐LP‐199‐2016</v>
          </cell>
          <cell r="T125" t="str">
            <v>Ernesto</v>
          </cell>
          <cell r="U125" t="str">
            <v>Olivares</v>
          </cell>
          <cell r="V125" t="str">
            <v>Álvarez</v>
          </cell>
          <cell r="W125" t="str">
            <v>Servicios Metropolitanos de Jalisco, S.A. de C.V.</v>
          </cell>
          <cell r="X125" t="str">
            <v>SMJ090317FS9</v>
          </cell>
          <cell r="AD125">
            <v>42754</v>
          </cell>
          <cell r="AG125">
            <v>28125202.050000001</v>
          </cell>
          <cell r="AL125" t="str">
            <v>Construcción de la cruz verde Villa de Guadalupe, en la zona de las mesas, municipio de Zapopan, Jalisco.</v>
          </cell>
          <cell r="AM125">
            <v>42755</v>
          </cell>
          <cell r="AN125">
            <v>42874</v>
          </cell>
          <cell r="AS125" t="str">
            <v>Zona de Las Mesas</v>
          </cell>
        </row>
        <row r="126">
          <cell r="D126" t="str">
            <v>DOPI-MUN-PP-ID-CI-200-2016</v>
          </cell>
          <cell r="T126" t="str">
            <v>Carlos Alberto</v>
          </cell>
          <cell r="U126" t="str">
            <v>Villaseñor</v>
          </cell>
          <cell r="V126" t="str">
            <v>Núñez</v>
          </cell>
          <cell r="W126" t="str">
            <v>MTQ de México, S.A. de C.V.</v>
          </cell>
          <cell r="X126" t="str">
            <v>MME011214IV5</v>
          </cell>
          <cell r="AD126">
            <v>42727</v>
          </cell>
          <cell r="AG126">
            <v>6502584.6699999999</v>
          </cell>
          <cell r="AL126" t="str">
            <v>Rehabilitación de las instalaciones y equipamiento deportivo de la Unidad Deportiva Lomas de Tabachines, municipio de Zapopan, Jalisco.</v>
          </cell>
          <cell r="AM126">
            <v>42730</v>
          </cell>
          <cell r="AN126">
            <v>42820</v>
          </cell>
          <cell r="AS126" t="str">
            <v>Colonia Lomas de Tabachines</v>
          </cell>
        </row>
        <row r="127">
          <cell r="D127" t="str">
            <v>DOPI-MUN-RM-ID-CI-201-2016</v>
          </cell>
          <cell r="T127" t="str">
            <v>Juan José</v>
          </cell>
          <cell r="U127" t="str">
            <v>Gutiérrez</v>
          </cell>
          <cell r="V127" t="str">
            <v>Contreras</v>
          </cell>
          <cell r="W127" t="str">
            <v>Rencoist Construcciones, S.A. de C.V.</v>
          </cell>
          <cell r="X127" t="str">
            <v>RCO130920JX9</v>
          </cell>
          <cell r="AD127">
            <v>42727</v>
          </cell>
          <cell r="AG127">
            <v>7474586.25</v>
          </cell>
          <cell r="AL127" t="str">
            <v>Rehabilitación de las instalaciones y equipamiento deportivo de la Unidad Deportiva Santa María del Pueblito, municipio de Zapopan, Jalisco.</v>
          </cell>
          <cell r="AM127">
            <v>42730</v>
          </cell>
          <cell r="AN127">
            <v>42850</v>
          </cell>
          <cell r="AS127" t="str">
            <v>Colonia Santa Maria del Pueblito</v>
          </cell>
        </row>
        <row r="128">
          <cell r="D128" t="str">
            <v>DOPI-EST-CM-PAV-LP-202-2016</v>
          </cell>
          <cell r="T128" t="str">
            <v>Ignacio Javier</v>
          </cell>
          <cell r="U128" t="str">
            <v>Curiel</v>
          </cell>
          <cell r="V128" t="str">
            <v>Dueñas</v>
          </cell>
          <cell r="W128" t="str">
            <v>TC Construcción y Mantenimiento, S.A. de C.V.</v>
          </cell>
          <cell r="X128" t="str">
            <v>TCM100915HA1</v>
          </cell>
          <cell r="AD128">
            <v>42754</v>
          </cell>
          <cell r="AG128">
            <v>16710004.48</v>
          </cell>
          <cell r="AL128" t="str">
            <v>Renovación urbana en área habitacional y de zona comercial del Andador 20 de Noviembre en el Centro de Zapopan, Jalisco.</v>
          </cell>
          <cell r="AM128">
            <v>42755</v>
          </cell>
          <cell r="AN128">
            <v>42834</v>
          </cell>
          <cell r="AS128" t="str">
            <v>Zapopan Centro</v>
          </cell>
        </row>
        <row r="129">
          <cell r="D129" t="str">
            <v>DOPI-EST-CM-PAV-LP-203-2016</v>
          </cell>
          <cell r="T129" t="str">
            <v>Felipe Daniel</v>
          </cell>
          <cell r="U129" t="str">
            <v>Nuñez</v>
          </cell>
          <cell r="V129" t="str">
            <v>Hernández</v>
          </cell>
          <cell r="W129" t="str">
            <v>Grupo Constructor Felca, S.A. de C.V.</v>
          </cell>
          <cell r="X129" t="str">
            <v>GCF8504255B8</v>
          </cell>
          <cell r="AD129">
            <v>42754</v>
          </cell>
          <cell r="AG129">
            <v>12580210.390000001</v>
          </cell>
          <cell r="AL129" t="str">
            <v>Renovación urbana de área habitacional y de zona comercial de laterales de Av. Aviación, del tramo de Juan Gil Preciado a Camino Antiguo a Tesistán, en Zapopan, Jalisco.</v>
          </cell>
          <cell r="AM129">
            <v>42755</v>
          </cell>
          <cell r="AN129">
            <v>42834</v>
          </cell>
          <cell r="AS129" t="str">
            <v>Col. Nuevo México</v>
          </cell>
        </row>
        <row r="130">
          <cell r="D130" t="str">
            <v>DOPI-EST-CM-PAV-LP-204-2016</v>
          </cell>
          <cell r="T130" t="str">
            <v>Andrés Eduardo</v>
          </cell>
          <cell r="U130" t="str">
            <v>Aceves</v>
          </cell>
          <cell r="V130" t="str">
            <v>Castañeda</v>
          </cell>
          <cell r="W130" t="str">
            <v>Secri Constructora, S.A. de C.V.</v>
          </cell>
          <cell r="X130" t="str">
            <v>SCO100609EVA</v>
          </cell>
          <cell r="AD130">
            <v>42754</v>
          </cell>
          <cell r="AG130">
            <v>44287096.670000002</v>
          </cell>
          <cell r="AL130" t="str">
            <v>Renovación urbana de área habitacional y de zona comercial de Av. Aviación, del tramo del Ingreso de Base Aérea No. 2 a Camino Antiguo a Tesistán, en Zapopan, Jalisco.</v>
          </cell>
          <cell r="AM130">
            <v>42755</v>
          </cell>
          <cell r="AN130">
            <v>42834</v>
          </cell>
          <cell r="AS130" t="str">
            <v>Col. Nuevo México</v>
          </cell>
        </row>
        <row r="131">
          <cell r="D131" t="str">
            <v>DOPI-EST-CM-PAV-LP-205-2016</v>
          </cell>
          <cell r="T131" t="str">
            <v>Mario</v>
          </cell>
          <cell r="U131" t="str">
            <v>Beltrán</v>
          </cell>
          <cell r="V131" t="str">
            <v>Rodríguez</v>
          </cell>
          <cell r="W131" t="str">
            <v xml:space="preserve">Constructora y Desarrolladora Barba y Asociados, S. A. de C. V. </v>
          </cell>
          <cell r="X131" t="str">
            <v>CDB0506068Z4</v>
          </cell>
          <cell r="AD131">
            <v>42754</v>
          </cell>
          <cell r="AG131">
            <v>18744083.59</v>
          </cell>
          <cell r="AL131" t="str">
            <v>Renovación urbana de área habitacional de lateral Poniente de Periférico, de Prolongación Av. Central Guillermo González Camarena a Calle 5 de Mayo (incluye puente peatonal sobre Periférico), para la interconexión comercial a Calle 5 de Mayo, Andares, Av. Aviación, Zona Real y Av. Vallarta, en Zapopan, Jalisco.</v>
          </cell>
          <cell r="AM131">
            <v>42755</v>
          </cell>
          <cell r="AN131">
            <v>42834</v>
          </cell>
          <cell r="AS131" t="str">
            <v>Col. San Juan de Ocotán</v>
          </cell>
        </row>
        <row r="132">
          <cell r="D132" t="str">
            <v>DOPI-MUN-RM-ID-CI-206-2016</v>
          </cell>
          <cell r="T132" t="str">
            <v>Apolinar</v>
          </cell>
          <cell r="U132" t="str">
            <v>Gómez</v>
          </cell>
          <cell r="V132" t="str">
            <v>Alonso</v>
          </cell>
          <cell r="W132" t="str">
            <v>Edificaciones y Transformaciones Técnicas, S.A. de C.V.</v>
          </cell>
          <cell r="X132" t="str">
            <v>ETT9302049B2</v>
          </cell>
          <cell r="AD132">
            <v>42727</v>
          </cell>
          <cell r="AG132">
            <v>7998190.21</v>
          </cell>
          <cell r="AL132" t="str">
            <v>Rehabilitación de las instalaciones y equipamiento deportivo de la Unidad Deportiva Miguel de la Madrid, municipio de Zapopan, Jalisco.</v>
          </cell>
          <cell r="AM132">
            <v>42730</v>
          </cell>
          <cell r="AN132">
            <v>42850</v>
          </cell>
          <cell r="AS132" t="str">
            <v>Colonia Miguel de la Madrid</v>
          </cell>
        </row>
        <row r="133">
          <cell r="D133" t="str">
            <v>DOPI-MUN-RM-ID-CI-207-2016</v>
          </cell>
          <cell r="T133" t="str">
            <v xml:space="preserve">Leobardo </v>
          </cell>
          <cell r="U133" t="str">
            <v>Preciado</v>
          </cell>
          <cell r="V133" t="str">
            <v>Zepeda</v>
          </cell>
          <cell r="W133" t="str">
            <v>Consorcio Constructor Adobes, S. A. de C. V.</v>
          </cell>
          <cell r="X133" t="str">
            <v>CCA971126QC9</v>
          </cell>
          <cell r="AD133">
            <v>42727</v>
          </cell>
          <cell r="AG133">
            <v>7900442.7599999998</v>
          </cell>
          <cell r="AL133" t="str">
            <v>Rehabilitación de las instalaciones y equipamiento deportivo de la Unidad Deportiva Villas de Guadalupe, municipio de Zapopan, Jalisco.</v>
          </cell>
          <cell r="AM133">
            <v>42730</v>
          </cell>
          <cell r="AN133">
            <v>42850</v>
          </cell>
          <cell r="AS133" t="str">
            <v>Colonia Villa de Guadalupe</v>
          </cell>
        </row>
        <row r="134">
          <cell r="D134" t="str">
            <v>DOPI-MUN-RM-ID-CI-208-2016</v>
          </cell>
          <cell r="T134" t="str">
            <v>David</v>
          </cell>
          <cell r="U134" t="str">
            <v>Hernández</v>
          </cell>
          <cell r="V134" t="str">
            <v>Flores</v>
          </cell>
          <cell r="W134" t="str">
            <v>Constructora San Sebastián, S.A. de C.V.</v>
          </cell>
          <cell r="X134" t="str">
            <v>CSS8303089S9</v>
          </cell>
          <cell r="AD134">
            <v>42727</v>
          </cell>
          <cell r="AG134">
            <v>7996437.3600000003</v>
          </cell>
          <cell r="AL134" t="str">
            <v>Rehabilitación de las instalaciones y equipamiento deportivo de la Unidad Deportiva Santa Margarita, municipio de Zapopan, Jalisco.</v>
          </cell>
          <cell r="AM134">
            <v>42730</v>
          </cell>
          <cell r="AN134">
            <v>42850</v>
          </cell>
          <cell r="AS134" t="str">
            <v>Colonia Santa Margarita</v>
          </cell>
        </row>
        <row r="135">
          <cell r="D135" t="str">
            <v>DOPI-MUN-RM-PAV-CI-209-2016</v>
          </cell>
          <cell r="T135" t="str">
            <v>Jorge Alfredo</v>
          </cell>
          <cell r="U135" t="str">
            <v>Ochoa</v>
          </cell>
          <cell r="V135" t="str">
            <v>González</v>
          </cell>
          <cell r="W135" t="str">
            <v>Aedificant, S.A. de C.V.</v>
          </cell>
          <cell r="X135" t="str">
            <v>AED890925181</v>
          </cell>
          <cell r="AD135">
            <v>42727</v>
          </cell>
          <cell r="AG135">
            <v>5570941.0800000001</v>
          </cell>
          <cell r="AL135" t="str">
            <v>Construcción de pavimento de concreto hidráulico MR-45 y jardinería, en la Glorieta Venustiano Carranza en la colonia Constitución, municipio de Zapopan, Jalisco</v>
          </cell>
          <cell r="AM135">
            <v>42730</v>
          </cell>
          <cell r="AN135">
            <v>42762</v>
          </cell>
          <cell r="AS135" t="str">
            <v>Colonia Constitución</v>
          </cell>
        </row>
        <row r="136">
          <cell r="D136" t="str">
            <v>DOPI-MUN-RM-PAV-CI-210-2016</v>
          </cell>
          <cell r="T136" t="str">
            <v>Elvia Alejandra</v>
          </cell>
          <cell r="U136" t="str">
            <v>Torres</v>
          </cell>
          <cell r="V136" t="str">
            <v>Villa</v>
          </cell>
          <cell r="W136" t="str">
            <v>Procourza, S.A. de C.V.</v>
          </cell>
          <cell r="X136" t="str">
            <v>PRO0205208F2</v>
          </cell>
          <cell r="AD136">
            <v>42727</v>
          </cell>
          <cell r="AG136">
            <v>7995338.8700000001</v>
          </cell>
          <cell r="AL136" t="str">
            <v>Construcción de pavimento de concreto hidráulico, red de agua potable, alcantarillado sanitario, alumbrado público, banquetas, señalamiento vertical y horizontal, de la Prol. Laureles de Av. Del Rodeo a Periférico Norte Manuel Gómez Morín, municipio de Zapopan, Jalisco.</v>
          </cell>
          <cell r="AM136">
            <v>42730</v>
          </cell>
          <cell r="AN136">
            <v>42820</v>
          </cell>
          <cell r="AS136" t="str">
            <v>Colonia Belenes Norte</v>
          </cell>
        </row>
        <row r="137">
          <cell r="D137" t="str">
            <v>DOPI-MUN-RM-AP-CI-211-2016</v>
          </cell>
          <cell r="T137" t="str">
            <v>Rosalba Edilia</v>
          </cell>
          <cell r="U137" t="str">
            <v>Sandoval</v>
          </cell>
          <cell r="V137" t="str">
            <v>Huizar</v>
          </cell>
          <cell r="W137" t="str">
            <v>Infraestructura San Miguel, S.A. de C.V.</v>
          </cell>
          <cell r="X137" t="str">
            <v>ISM0112209Y5</v>
          </cell>
          <cell r="AD137">
            <v>42727</v>
          </cell>
          <cell r="AG137">
            <v>2591650.5499999998</v>
          </cell>
          <cell r="AL137" t="str">
            <v>Construcción de línea de agua potable, drenaje sanitario, preparación para instalaciones de Telmex y CFE, pozos de absorción, en la Glorieta Venustiano Carranza en la colonia Constitución, municipio de Zapopan, Jalisco</v>
          </cell>
          <cell r="AM137">
            <v>42730</v>
          </cell>
          <cell r="AN137">
            <v>42760</v>
          </cell>
          <cell r="AS137" t="str">
            <v>Colonia Constitución</v>
          </cell>
        </row>
        <row r="138">
          <cell r="D138" t="str">
            <v>DOPI-FED-HAB-PAV-CI-214-2016</v>
          </cell>
          <cell r="T138" t="str">
            <v>Miguel Ángel</v>
          </cell>
          <cell r="U138" t="str">
            <v>Romero</v>
          </cell>
          <cell r="V138" t="str">
            <v>Lugo</v>
          </cell>
          <cell r="W138" t="str">
            <v>Obras y Comercialización de la Construcción, S.A. de C.V.</v>
          </cell>
          <cell r="X138" t="str">
            <v>OCC940714PB0</v>
          </cell>
          <cell r="AD138">
            <v>42717</v>
          </cell>
          <cell r="AG138">
            <v>6282745.2800000003</v>
          </cell>
          <cell r="AL138" t="str">
            <v>Pavimentación de concreto hidráulico en la calle Casiano Torres Poniente, municipio de Zapopan, Jalisco.</v>
          </cell>
          <cell r="AM138">
            <v>42718</v>
          </cell>
          <cell r="AN138">
            <v>42735</v>
          </cell>
          <cell r="AS138" t="str">
            <v>Colonia Vista Hermosa</v>
          </cell>
        </row>
        <row r="139">
          <cell r="D139" t="str">
            <v>DOPI-MUN-RM-IM-CI-225-2016</v>
          </cell>
          <cell r="T139" t="str">
            <v>Edgardo</v>
          </cell>
          <cell r="U139" t="str">
            <v>Zúñiga</v>
          </cell>
          <cell r="V139" t="str">
            <v>Beristaín</v>
          </cell>
          <cell r="W139" t="str">
            <v>Proyección Integral Zure, S.A. de C.V.</v>
          </cell>
          <cell r="X139" t="str">
            <v>PIZ070717DX6</v>
          </cell>
          <cell r="AD139">
            <v>42727</v>
          </cell>
          <cell r="AG139">
            <v>2484449.75</v>
          </cell>
          <cell r="AL139" t="str">
            <v>Rehabilitación de la Unidad Administrativa Las Águilas (cubierta, pintura, instalaciones eléctricas, instalaciones hidráulicas, nave central, impermeabilización, accesibilidad, baños, puertas de acceso principal) Frente 2</v>
          </cell>
          <cell r="AM139">
            <v>42730</v>
          </cell>
          <cell r="AN139">
            <v>42820</v>
          </cell>
        </row>
        <row r="140">
          <cell r="D140" t="str">
            <v>DOPI-MUN-RM-MOV-CI-226-2016</v>
          </cell>
          <cell r="T140" t="str">
            <v>Bernardo</v>
          </cell>
          <cell r="U140" t="str">
            <v>Saenz</v>
          </cell>
          <cell r="V140" t="str">
            <v>Barba</v>
          </cell>
          <cell r="W140" t="str">
            <v>Grupo Edificador Mayab, S.A. de C.V.</v>
          </cell>
          <cell r="X140" t="str">
            <v>GEM070112PX8</v>
          </cell>
          <cell r="AD140">
            <v>42727</v>
          </cell>
          <cell r="AG140">
            <v>3949999.31</v>
          </cell>
          <cell r="AL140" t="str">
            <v>Rehabilitación de ciclovía Santa Margarita e iluminación, municipio de Zapopan, Jalisco.</v>
          </cell>
          <cell r="AM140">
            <v>42730</v>
          </cell>
          <cell r="AN140">
            <v>42820</v>
          </cell>
        </row>
        <row r="141">
          <cell r="B141" t="str">
            <v>Licitación por Invitación Restringida</v>
          </cell>
          <cell r="D141" t="str">
            <v>DOPI-MUN-R33-AP-CI-228-2016</v>
          </cell>
          <cell r="T141" t="str">
            <v>Karla Mariana</v>
          </cell>
          <cell r="U141" t="str">
            <v>Méndez</v>
          </cell>
          <cell r="V141" t="str">
            <v>Rodríguez</v>
          </cell>
          <cell r="W141" t="str">
            <v>Grupo la Fuente, S.A. de C.V.</v>
          </cell>
          <cell r="X141" t="str">
            <v>GFU021009BC1</v>
          </cell>
          <cell r="AD141">
            <v>42727</v>
          </cell>
          <cell r="AG141">
            <v>6196741.5800000001</v>
          </cell>
          <cell r="AL141" t="str">
            <v xml:space="preserve">Perforación y equipamiento de pozo en la localidad de Los Patios, en el municipio de Zapopan, Jalisco. </v>
          </cell>
          <cell r="AM141">
            <v>42730</v>
          </cell>
          <cell r="AN141">
            <v>42850</v>
          </cell>
          <cell r="AS141" t="str">
            <v>Localidad Los Patios</v>
          </cell>
        </row>
        <row r="142">
          <cell r="B142" t="str">
            <v>Licitación por Invitación Restringida</v>
          </cell>
          <cell r="D142" t="str">
            <v>DOPI-MUN-R33-AP-CI-229-2016</v>
          </cell>
          <cell r="T142" t="str">
            <v>José Antonio</v>
          </cell>
          <cell r="U142" t="str">
            <v>Álvarez</v>
          </cell>
          <cell r="V142" t="str">
            <v>García</v>
          </cell>
          <cell r="W142" t="str">
            <v>Urcoma 1970, S.A. de C.V.</v>
          </cell>
          <cell r="X142" t="str">
            <v>UMN160125869</v>
          </cell>
          <cell r="AD142">
            <v>42727</v>
          </cell>
          <cell r="AG142">
            <v>3453426.13</v>
          </cell>
          <cell r="AL142" t="str">
            <v>Construcción de línea de conducción de agua potable de 3" de tubería galvanizada, en la localidad San José, en el municipio de Zapopan, Jalisco.</v>
          </cell>
          <cell r="AM142">
            <v>42730</v>
          </cell>
          <cell r="AN142">
            <v>42850</v>
          </cell>
          <cell r="AS142" t="str">
            <v>Localidad San José</v>
          </cell>
        </row>
        <row r="143">
          <cell r="B143" t="str">
            <v>Licitación por Invitación Restringida</v>
          </cell>
          <cell r="D143" t="str">
            <v>DOPI-MUN-R33-AP-CI-230-2016</v>
          </cell>
          <cell r="T143" t="str">
            <v>Ernesto</v>
          </cell>
          <cell r="U143" t="str">
            <v>Zamora</v>
          </cell>
          <cell r="V143" t="str">
            <v>Corona</v>
          </cell>
          <cell r="W143" t="str">
            <v>Keops Ingenieria y Construccion, S.A. de C.V.</v>
          </cell>
          <cell r="X143" t="str">
            <v>KIC040617JIA</v>
          </cell>
          <cell r="AD143">
            <v>42727</v>
          </cell>
          <cell r="AG143">
            <v>1996402.43</v>
          </cell>
          <cell r="AL143" t="str">
            <v>Construcción de línea de agua potable en la Carretera a San Esteban de Carretera a Saltillo a calle Norte, en la localidad de San Isidro, en el municipio de Zapopan, Jalisco.</v>
          </cell>
          <cell r="AM143">
            <v>42730</v>
          </cell>
          <cell r="AN143">
            <v>42820</v>
          </cell>
          <cell r="AS143" t="str">
            <v>Localidad San Isidro</v>
          </cell>
        </row>
        <row r="144">
          <cell r="B144" t="str">
            <v>Licitación por Invitación Restringida</v>
          </cell>
          <cell r="D144" t="str">
            <v>DOPI-MUN-R33-AP-CI-231-2016</v>
          </cell>
          <cell r="T144" t="str">
            <v>Adalberto</v>
          </cell>
          <cell r="U144" t="str">
            <v>Medina</v>
          </cell>
          <cell r="V144" t="str">
            <v>Morales</v>
          </cell>
          <cell r="W144" t="str">
            <v>Urdem, S.A. de C.V.</v>
          </cell>
          <cell r="X144" t="str">
            <v>URD130830U21</v>
          </cell>
          <cell r="AD144">
            <v>42727</v>
          </cell>
          <cell r="AG144">
            <v>3589467.88</v>
          </cell>
          <cell r="AL144" t="str">
            <v>Construcción de la primera etapa de línea de agua potable en la colonia Colinas del Rio, en el municipio de Zapopan, Jalisco.</v>
          </cell>
          <cell r="AM144">
            <v>42730</v>
          </cell>
          <cell r="AN144">
            <v>42850</v>
          </cell>
          <cell r="AS144" t="str">
            <v>Colonia Colinas del Rio</v>
          </cell>
        </row>
        <row r="145">
          <cell r="B145" t="str">
            <v>Licitación por Invitación Restringida</v>
          </cell>
          <cell r="D145" t="str">
            <v>DOPI-MUN-R33-PAV-CI-232-2016</v>
          </cell>
          <cell r="T145" t="str">
            <v>Edwin</v>
          </cell>
          <cell r="U145" t="str">
            <v>Aguiar</v>
          </cell>
          <cell r="V145" t="str">
            <v>Escatel</v>
          </cell>
          <cell r="W145" t="str">
            <v>Manjarrez Urbanizaciones, S.A. de C.V.</v>
          </cell>
          <cell r="X145" t="str">
            <v>MUR090325P33</v>
          </cell>
          <cell r="AD145">
            <v>42727</v>
          </cell>
          <cell r="AG145">
            <v>3867999.72</v>
          </cell>
          <cell r="AL145" t="str">
            <v>Pavimentación con concreto hidráulico, línea de agua potable, drenaje sanitario y alumbrado público, en la calle Abel Salgado, de Carretera a Saltillo a calle Ojo de Agua, en la colonia Agua Fría, municipio de Zapopan Jalisco, frente 1.</v>
          </cell>
          <cell r="AM145">
            <v>42730</v>
          </cell>
          <cell r="AN145">
            <v>42880</v>
          </cell>
          <cell r="AS145" t="str">
            <v>Colonia Agua Fria</v>
          </cell>
        </row>
        <row r="146">
          <cell r="B146" t="str">
            <v>Licitación por Invitación Restringida</v>
          </cell>
          <cell r="D146" t="str">
            <v>DOPI-MUN-R33-PAV-CI-233-2016</v>
          </cell>
          <cell r="T146" t="str">
            <v>Clarissa Gabriela</v>
          </cell>
          <cell r="U146" t="str">
            <v>Valdez</v>
          </cell>
          <cell r="V146" t="str">
            <v>Manjarrez</v>
          </cell>
          <cell r="W146" t="str">
            <v>Tekton Grupo Empresarial, S.A. de C.V.</v>
          </cell>
          <cell r="X146" t="str">
            <v>TGE101215JI6</v>
          </cell>
          <cell r="AD146">
            <v>42727</v>
          </cell>
          <cell r="AG146">
            <v>3638106.52</v>
          </cell>
          <cell r="AL146" t="str">
            <v>Pavimentación con concreto hidráulico, línea de agua potable, drenaje sanitario y alumbrado público,  en la calle Abel Salgado, de Carretera a Saltillo a calle Ojo de Agua, en la colonia Agua Fría, municipio de Zapopan Jalisco, frente 2.</v>
          </cell>
          <cell r="AM146">
            <v>42730</v>
          </cell>
          <cell r="AN146">
            <v>42880</v>
          </cell>
          <cell r="AS146" t="str">
            <v>Colonia Agua Fria</v>
          </cell>
        </row>
        <row r="147">
          <cell r="B147" t="str">
            <v>Licitación por Invitación Restringida</v>
          </cell>
          <cell r="D147" t="str">
            <v>DOPI-MUN-R33-PAV-CI-238-2016</v>
          </cell>
          <cell r="T147" t="str">
            <v>Hugo Armando</v>
          </cell>
          <cell r="U147" t="str">
            <v>Prieto</v>
          </cell>
          <cell r="V147" t="str">
            <v>Jiménez</v>
          </cell>
          <cell r="W147" t="str">
            <v>Constructora Rural del Pais, S.A. de C.V.</v>
          </cell>
          <cell r="X147" t="str">
            <v>CRP870708I62</v>
          </cell>
          <cell r="AD147">
            <v>42727</v>
          </cell>
          <cell r="AG147">
            <v>2216780.09</v>
          </cell>
          <cell r="AL147" t="str">
            <v>Pavimentación con empedrado zampeado en la calle Mármol, de calle Cantera al arroyo y calle Obsidiana, de calle Opalo a calle Coral, en la colonia Pedregal de Zapopan (Loma el Pedregal), en Zapopan, Jalisco</v>
          </cell>
          <cell r="AM147">
            <v>42730</v>
          </cell>
          <cell r="AN147">
            <v>42880</v>
          </cell>
          <cell r="AS147" t="str">
            <v>Colonia Loma el Pedregal</v>
          </cell>
        </row>
        <row r="148">
          <cell r="D148" t="str">
            <v>DOPI-MUN-RM-PAV-CI-001-2017</v>
          </cell>
          <cell r="T148" t="str">
            <v>Antonio</v>
          </cell>
          <cell r="U148" t="str">
            <v>Chávez</v>
          </cell>
          <cell r="V148" t="str">
            <v>Navarro</v>
          </cell>
          <cell r="W148" t="str">
            <v>Constructora Industrial Chávez S.A. de C.V.</v>
          </cell>
          <cell r="X148" t="str">
            <v>CIC960718BW4</v>
          </cell>
          <cell r="AD148">
            <v>42790</v>
          </cell>
          <cell r="AG148">
            <v>5476517.9699999997</v>
          </cell>
          <cell r="AL148" t="str">
            <v>Rehabilitación del camino a Copalita en el tramo de la Carretera a Colotlán a Copalita (Km. 0+000 al Km. 2+000), muncipio de Zapopan, Jalisco.</v>
          </cell>
          <cell r="AM148">
            <v>42791</v>
          </cell>
          <cell r="AN148">
            <v>42835</v>
          </cell>
        </row>
        <row r="149">
          <cell r="D149" t="str">
            <v>DOPI-MUN-RM-ELE-CI-002-2017</v>
          </cell>
          <cell r="T149" t="str">
            <v>Pia Lorena</v>
          </cell>
          <cell r="U149" t="str">
            <v>Buenrostro</v>
          </cell>
          <cell r="V149" t="str">
            <v>Ahued</v>
          </cell>
          <cell r="W149" t="str">
            <v>Birmek Construcciones, S.A. de C.V.</v>
          </cell>
          <cell r="X149" t="str">
            <v>BCO070129512</v>
          </cell>
          <cell r="AD149">
            <v>42790</v>
          </cell>
          <cell r="AG149">
            <v>4994034.3099999996</v>
          </cell>
          <cell r="AL149" t="str">
            <v>Primera etapa de la rehabilitación de la red de media y baja tensión, alumbrado público, en la colonia Constitución, municipio de Zapopan, Jalisco.</v>
          </cell>
          <cell r="AM149">
            <v>42791</v>
          </cell>
          <cell r="AN149">
            <v>42835</v>
          </cell>
          <cell r="AS149" t="str">
            <v>Col. Constitución</v>
          </cell>
        </row>
        <row r="150">
          <cell r="D150" t="str">
            <v>DOPI-MUN-RM-EP-CI-003-2017</v>
          </cell>
          <cell r="T150" t="str">
            <v xml:space="preserve">Eduardo </v>
          </cell>
          <cell r="U150" t="str">
            <v>Plascencia</v>
          </cell>
          <cell r="V150" t="str">
            <v>Macias</v>
          </cell>
          <cell r="W150" t="str">
            <v>Constructora y Edificadora Plasma, S.A. de C.V.</v>
          </cell>
          <cell r="X150" t="str">
            <v>CEP080129EK6</v>
          </cell>
          <cell r="AD150">
            <v>42790</v>
          </cell>
          <cell r="AG150">
            <v>2493488.7200000002</v>
          </cell>
          <cell r="AL150" t="str">
            <v>Rehabilitación de la Unidad Administrativa Las Aguilas (cubierta, pintura, instalaciones eléctricas, instalaciones hidráulicas, nave central, impermeabilización, accesibilidad, baños, puertas de acceso principal), municipio de Zapopan, Jalisco.</v>
          </cell>
          <cell r="AM150">
            <v>42791</v>
          </cell>
          <cell r="AN150">
            <v>42850</v>
          </cell>
          <cell r="AS150" t="str">
            <v>Col. Las Aguilas</v>
          </cell>
        </row>
        <row r="151">
          <cell r="D151" t="str">
            <v>DOPI-MUN-FORTA-BAN-CI-041-2017</v>
          </cell>
          <cell r="T151" t="str">
            <v>Omar</v>
          </cell>
          <cell r="U151" t="str">
            <v>Mora</v>
          </cell>
          <cell r="V151" t="str">
            <v>Montes de Oca</v>
          </cell>
          <cell r="W151" t="str">
            <v>Dommont Construcciones, S.A. de C.V.</v>
          </cell>
          <cell r="X151" t="str">
            <v>DCO130215C16</v>
          </cell>
          <cell r="AD151">
            <v>42877</v>
          </cell>
          <cell r="AJ151">
            <v>2990803.7</v>
          </cell>
          <cell r="AL151" t="str">
            <v>Peatonalización (banquetas y obras de accesibilidad) del área de influencia de escuelas, hospitales, mercados, centros culturales, plazas públicas y clínicas, municipio de Zapopan, Jalisco, Frente 1.</v>
          </cell>
          <cell r="AS151" t="str">
            <v>Col. Lomas de Tabachines, Jardines del Valle, El Vigia, Misión del Bosque</v>
          </cell>
        </row>
        <row r="152">
          <cell r="D152" t="str">
            <v>DOPI-MUN-FORTA-BAN-CI-042-2017</v>
          </cell>
          <cell r="T152" t="str">
            <v>Elba</v>
          </cell>
          <cell r="U152" t="str">
            <v xml:space="preserve">González </v>
          </cell>
          <cell r="V152" t="str">
            <v>Aguirre</v>
          </cell>
          <cell r="W152" t="str">
            <v>GA Urbanización, S.A. de C.V.</v>
          </cell>
          <cell r="X152" t="str">
            <v>GUR120612P22</v>
          </cell>
          <cell r="AD152">
            <v>42877</v>
          </cell>
          <cell r="AJ152">
            <v>2994800.57</v>
          </cell>
          <cell r="AL152" t="str">
            <v>Peatonalización (banquetas y obras de accesibilidad) del área de influencia de escuelas, hospitales, mercados, centros culturales, plazas públicas y clínicas, municipio de Zapopan, Jalisco, Frente 2.</v>
          </cell>
          <cell r="AS152" t="str">
            <v>Col. Nextipac, Mariano Otero</v>
          </cell>
        </row>
        <row r="153">
          <cell r="D153" t="str">
            <v>DOPI-MUN-RM-IH-CI-043-2017</v>
          </cell>
          <cell r="T153" t="str">
            <v xml:space="preserve">Marco Antonio </v>
          </cell>
          <cell r="U153" t="str">
            <v>Lozano</v>
          </cell>
          <cell r="V153" t="str">
            <v>Estrada</v>
          </cell>
          <cell r="W153" t="str">
            <v>Desarrolladora Fulham S. de R.L. de C.V.</v>
          </cell>
          <cell r="X153" t="str">
            <v>DFU090928JB5</v>
          </cell>
          <cell r="AD153">
            <v>42868</v>
          </cell>
          <cell r="AJ153">
            <v>7752532.1600000001</v>
          </cell>
          <cell r="AL153" t="str">
            <v>Construcción de estructuras de llegada, demasías, de acceso y de control e instalación de gaviones en el estanque de retención de agua pluviales para mitigar riesgo de inundaciones en Santa María del Pueblito, municipio de Zapopan, Jalisco.</v>
          </cell>
          <cell r="AS153" t="str">
            <v>Col. Santa Maria del Pueblito</v>
          </cell>
        </row>
        <row r="154">
          <cell r="D154" t="str">
            <v>DOPI-MUN-RM-IH-CI-044-2017</v>
          </cell>
          <cell r="T154" t="str">
            <v>Claudio Felipe</v>
          </cell>
          <cell r="U154" t="str">
            <v>Trujillo</v>
          </cell>
          <cell r="V154" t="str">
            <v>Gracián</v>
          </cell>
          <cell r="W154" t="str">
            <v>Desarrolladora Lumadi, S.A. de C.V.</v>
          </cell>
          <cell r="X154" t="str">
            <v>DLU100818F46</v>
          </cell>
          <cell r="AD154">
            <v>42868</v>
          </cell>
          <cell r="AJ154">
            <v>3706562.02</v>
          </cell>
          <cell r="AL154" t="str">
            <v>Construcción colector de alejamiento del vaso regulador de Santa María del Pueblito, municipio de Zapopan, Jalisco.</v>
          </cell>
          <cell r="AS154" t="str">
            <v>Col. Santa Maria del Pueblito</v>
          </cell>
        </row>
        <row r="155">
          <cell r="D155" t="str">
            <v>DOPI-MUN-RM-PAV-CI-045-2017</v>
          </cell>
          <cell r="T155" t="str">
            <v>Sergio Alberto</v>
          </cell>
          <cell r="U155" t="str">
            <v>Baylon</v>
          </cell>
          <cell r="V155" t="str">
            <v>Moreno</v>
          </cell>
          <cell r="W155" t="str">
            <v>Edificaciones Estructurales Cobay, S. A. de C. V.</v>
          </cell>
          <cell r="X155" t="str">
            <v>EEC9909173A7</v>
          </cell>
          <cell r="AD155">
            <v>42868</v>
          </cell>
          <cell r="AJ155">
            <v>6368591.04</v>
          </cell>
          <cell r="AL155" t="str">
            <v>Rehabilitación de la vialidad Av. Dr. Ángel Leaño, incluye: red de agua potable, alcantarillado, obras hidráulicas y de infiltración, guarniciones, banquetas, accesibilidad, ciclovía, servicios complementarios, pasos de fauna y reforestación, Tramo Zona de Nixticuitl, municipio de Zapopan, Jalisco, Frente 1.</v>
          </cell>
          <cell r="AS155" t="str">
            <v>Col. El Tigre</v>
          </cell>
        </row>
        <row r="156">
          <cell r="D156" t="str">
            <v>DOPI-MUN-RM-PAV-CI-046-2017</v>
          </cell>
          <cell r="T156" t="str">
            <v>Luis Armando</v>
          </cell>
          <cell r="U156" t="str">
            <v>Linares</v>
          </cell>
          <cell r="V156" t="str">
            <v>Cacho</v>
          </cell>
          <cell r="W156" t="str">
            <v>Urbanizadora y Constructora Roal, S.A. de C.V.</v>
          </cell>
          <cell r="X156" t="str">
            <v>URC160310857</v>
          </cell>
          <cell r="AD156">
            <v>42868</v>
          </cell>
          <cell r="AJ156">
            <v>5822124.1500000004</v>
          </cell>
          <cell r="AL156" t="str">
            <v>Rehabilitación de la vialidad Av. Dr. Ángel Leaño, incluye: red de agua potable, alcantarillado, obras hidráulicas y de infiltración, guarniciones, banquetas, accesibilidad, ciclovía, servicios complementarios, pasos de fauna y reforestación, Tramo Zona de Nixticuitl, municipio de Zapopan, Jalisco, Frente 2.</v>
          </cell>
          <cell r="AS156" t="str">
            <v>Col. El Tigre</v>
          </cell>
        </row>
        <row r="157">
          <cell r="D157" t="str">
            <v>DOPI-MUN-RM-PAV-CI-047-2017</v>
          </cell>
          <cell r="T157" t="str">
            <v>Miguel Ángel</v>
          </cell>
          <cell r="U157" t="str">
            <v>Romero</v>
          </cell>
          <cell r="V157" t="str">
            <v>Lugo</v>
          </cell>
          <cell r="W157" t="str">
            <v>Obras y Comercialización de la Construcción, S.A. de C.V.</v>
          </cell>
          <cell r="X157" t="str">
            <v>OCC940714PB0</v>
          </cell>
          <cell r="AD157">
            <v>42868</v>
          </cell>
          <cell r="AJ157">
            <v>3722082.59</v>
          </cell>
          <cell r="AL157" t="str">
            <v>Construcción de pavimento de concreto hidráulico, incluye: agua potable, alcantarillado, guarniciones, banquetas, accesibilidad, servicios complementarios y forestación, en la calle Rizo Ayala de calle Paseo de los Manzanos a calle Las Araucarias y en la calle Paseo de Las Araucarias de Rizo Ayala Andador Rizo Ayala; Construcción de Andador Rizo Ayala, de Paseos de Los Manzanos a Paseo de La Araucarias, municipio de Zapopan, Jalisco.</v>
          </cell>
          <cell r="AS157" t="str">
            <v>Col. La Martinica</v>
          </cell>
        </row>
        <row r="158">
          <cell r="D158" t="str">
            <v>DOPI-MUN-RM-PAV-CI-048-2017</v>
          </cell>
          <cell r="T158" t="str">
            <v>Victor</v>
          </cell>
          <cell r="U158" t="str">
            <v>Zayas</v>
          </cell>
          <cell r="V158" t="str">
            <v>Riquelme</v>
          </cell>
          <cell r="W158" t="str">
            <v>Geminis Internacional Constructora, S.A. de C.V.</v>
          </cell>
          <cell r="X158" t="str">
            <v>GIC810323RA6</v>
          </cell>
          <cell r="AD158">
            <v>42868</v>
          </cell>
          <cell r="AJ158">
            <v>4544310.46</v>
          </cell>
          <cell r="AL158" t="str">
            <v>Construcción de puente vehicular y adecuaciones pluviales sobre El Arroyo Seco, en la colonia El Briseño, municipio de Zapopan, Jalisco.</v>
          </cell>
          <cell r="AS158" t="str">
            <v>Col. El Briseño</v>
          </cell>
        </row>
        <row r="159">
          <cell r="D159" t="str">
            <v>DOPI-MUN-RM-EP-LP-049-2017</v>
          </cell>
          <cell r="T159" t="str">
            <v>Ignacio Javier</v>
          </cell>
          <cell r="U159" t="str">
            <v>Curiel</v>
          </cell>
          <cell r="V159" t="str">
            <v>Dueñas</v>
          </cell>
          <cell r="W159" t="str">
            <v>TC Construcción y Mantenimiento, S.A. de C.V.</v>
          </cell>
          <cell r="X159" t="str">
            <v>TCM100915HA1</v>
          </cell>
          <cell r="AD159">
            <v>42893</v>
          </cell>
          <cell r="AJ159">
            <v>9027947.1300000008</v>
          </cell>
          <cell r="AL159" t="str">
            <v>Construcción de Fuente interactiva en plaza Las Américas, municipio de Zapopan, Jalisco.</v>
          </cell>
          <cell r="AS159" t="str">
            <v>Col. Centro</v>
          </cell>
        </row>
        <row r="160">
          <cell r="D160" t="str">
            <v>DOPI-MUN-RM-PAV-LP-050-2017</v>
          </cell>
          <cell r="T160" t="str">
            <v>ENRIQUE</v>
          </cell>
          <cell r="U160" t="str">
            <v>LUGO</v>
          </cell>
          <cell r="V160" t="str">
            <v>IBARRA</v>
          </cell>
          <cell r="W160" t="str">
            <v>LUGO IBARRA CONSORCIO CONSTRUCTOR, S.A. DE C.V.</v>
          </cell>
          <cell r="X160" t="str">
            <v>CMI110222AA0</v>
          </cell>
          <cell r="AD160">
            <v>42893</v>
          </cell>
          <cell r="AJ160">
            <v>4304584.1399999997</v>
          </cell>
          <cell r="AL160" t="str">
            <v>Pavimentación con concreto hidráulico en la colonia El Rehilete, incluye: agua potable, drenaje sanitario, guarniciones, banquetas, accesibilidad, media tensión y servicios complementarios, en el municipio de Zapopan, Jalisco, frente 1.</v>
          </cell>
          <cell r="AS160" t="str">
            <v>Col. El Rehilete</v>
          </cell>
        </row>
        <row r="161">
          <cell r="D161" t="str">
            <v>DOPI-MUN-RM-PAV-LP-051-2017</v>
          </cell>
          <cell r="T161" t="str">
            <v>Sergio Cesar</v>
          </cell>
          <cell r="U161" t="str">
            <v>Diaz</v>
          </cell>
          <cell r="V161" t="str">
            <v>Quiroz</v>
          </cell>
          <cell r="W161" t="str">
            <v>Grupo Unicreto de México S.A. de C.V.</v>
          </cell>
          <cell r="X161" t="str">
            <v>GUM111201IA5</v>
          </cell>
          <cell r="AD161">
            <v>42893</v>
          </cell>
          <cell r="AJ161">
            <v>4673696.32</v>
          </cell>
          <cell r="AL161" t="str">
            <v>Pavimentación con concreto hidráulico en la colonia El Rehilete, incluye: agua potable, drenaje sanitario, guarniciones, banquetas, accesibilidad, media tensión y servicios complementarios, en el municipio de Zapopan, Jalisco, frente 2.</v>
          </cell>
          <cell r="AS161" t="str">
            <v>Col. El Rehilete</v>
          </cell>
        </row>
        <row r="162">
          <cell r="D162" t="str">
            <v>DOPI-FED-FORTALECE-PAV-LP-063-2017</v>
          </cell>
          <cell r="T162" t="str">
            <v>ORNELLA CAROLINA</v>
          </cell>
          <cell r="U162" t="str">
            <v>LEGASPI</v>
          </cell>
          <cell r="V162" t="str">
            <v>MUÑOZ</v>
          </cell>
          <cell r="W162" t="str">
            <v>TRIPOLI EMULSIONES, S.A. DE C.V.</v>
          </cell>
          <cell r="X162" t="str">
            <v>TEM141021N31</v>
          </cell>
          <cell r="AD162">
            <v>42929</v>
          </cell>
          <cell r="AJ162">
            <v>9130493.5999999996</v>
          </cell>
          <cell r="AL162" t="str">
            <v>Construcción de la calle Boulevard del Rodeo con concreto hidráulico tramo 1, en las colonias Laureles y Rinconada de la Azalea, en el municipio de Zapopan, Jalisco.</v>
          </cell>
          <cell r="AS162" t="str">
            <v>Colonias Laureles y Rinconada de la Azalea</v>
          </cell>
        </row>
        <row r="163">
          <cell r="D163" t="str">
            <v>DOPI-FED-FORTALECE-PAV-LP-064-2017</v>
          </cell>
          <cell r="T163" t="str">
            <v>ARTURO</v>
          </cell>
          <cell r="U163" t="str">
            <v>SARMIENTO</v>
          </cell>
          <cell r="V163" t="str">
            <v>SANCHEZ</v>
          </cell>
          <cell r="W163" t="str">
            <v>CONSTRUBRAVO, S.A. DE C.V.</v>
          </cell>
          <cell r="X163" t="str">
            <v>CON020208696</v>
          </cell>
          <cell r="AD163">
            <v>42929</v>
          </cell>
          <cell r="AJ163">
            <v>9223668.6799999997</v>
          </cell>
          <cell r="AL163" t="str">
            <v>Construcción de la calle Boulevard del Rodeo con concreto hidráulico tramo 2, en las colonias Laureles, El Vigía, Rinconada de la Azalea, en el municipio de Zapopan, Jalisco.</v>
          </cell>
          <cell r="AS163" t="str">
            <v>Colonias Laureles, El Vigía, Rinconada de la Azalea</v>
          </cell>
        </row>
        <row r="164">
          <cell r="D164" t="str">
            <v>DOPI-FED-FORTALECE-PAV-LP-065-2017</v>
          </cell>
          <cell r="T164" t="str">
            <v>J. GERARDO</v>
          </cell>
          <cell r="U164" t="str">
            <v>NICANOR</v>
          </cell>
          <cell r="V164" t="str">
            <v>MEJIA MARISCAL</v>
          </cell>
          <cell r="W164" t="str">
            <v>INECO CONSTRUYE, S.A. DE C.V.</v>
          </cell>
          <cell r="X164" t="str">
            <v>ICO980722M04</v>
          </cell>
          <cell r="AD164">
            <v>42929</v>
          </cell>
          <cell r="AJ164">
            <v>4467540.6900000004</v>
          </cell>
          <cell r="AL164" t="str">
            <v>Construcción de la calle Francisco Villa con concreto hidráulico de calle Abasolo a calle Emiliano Zapata, en la Zona de Santa Ana Tepetitlán (Segunda Etapa), en el municipio de Zapopan, Jalisco.</v>
          </cell>
          <cell r="AS164" t="str">
            <v>Santa Ana Tepetitlán</v>
          </cell>
        </row>
        <row r="165">
          <cell r="D165" t="str">
            <v>DOPI-FED-FORTALECE-PAV-LP-066-2017</v>
          </cell>
          <cell r="T165" t="str">
            <v>J. GERARDO</v>
          </cell>
          <cell r="U165" t="str">
            <v>NICANOR</v>
          </cell>
          <cell r="V165" t="str">
            <v>MEJIA MARISCAL</v>
          </cell>
          <cell r="W165" t="str">
            <v>INECO CONSTRUYE, S.A. DE C.V.</v>
          </cell>
          <cell r="X165" t="str">
            <v>ICO980722M04</v>
          </cell>
          <cell r="AD165">
            <v>42929</v>
          </cell>
          <cell r="AJ165">
            <v>7678994.9500000002</v>
          </cell>
          <cell r="AL165" t="str">
            <v>Construcción de la calle Plata con concreto hidráulico de calle Estaño a Av. Juan Pablo II, en la Zona de San José del Bajío, en el municipio de Zapopan, Jalisco.</v>
          </cell>
          <cell r="AS165" t="str">
            <v>San José del Bajío</v>
          </cell>
        </row>
        <row r="166">
          <cell r="D166" t="str">
            <v>DOPI-MUN-RM-PAV-CI-077-2017</v>
          </cell>
          <cell r="T166" t="str">
            <v xml:space="preserve">FRANCISCO GUSTAVO </v>
          </cell>
          <cell r="U166" t="str">
            <v>ACEVES</v>
          </cell>
          <cell r="V166" t="str">
            <v xml:space="preserve">GARZA </v>
          </cell>
          <cell r="W166" t="str">
            <v>TAG SOLUCIONES INTEGRALES, S.A. DE C.V.</v>
          </cell>
          <cell r="X166" t="str">
            <v>TSI0906015A9</v>
          </cell>
          <cell r="AD166">
            <v>42929</v>
          </cell>
          <cell r="AJ166">
            <v>3194358.94</v>
          </cell>
          <cell r="AL166" t="str">
            <v>Pavimentación con concreto hidráulico de la Av. Romanos de calle Egipcios a Av. Patria, incluye agua potable, drenaje, guarniciones, banquetas, servicios complementarios y señalética, en la colonia Altamira, primera etapa, municipio de Zapopan, Jalisco.</v>
          </cell>
          <cell r="AS166" t="str">
            <v>Colonia Altamira</v>
          </cell>
        </row>
        <row r="167">
          <cell r="D167" t="str">
            <v>DOPI-MUN-FORTA-PAV-CI-078-2017</v>
          </cell>
          <cell r="T167" t="str">
            <v>J. JESÚS</v>
          </cell>
          <cell r="U167" t="str">
            <v>NUÑEZ</v>
          </cell>
          <cell r="V167" t="str">
            <v>GUTIÉRREZ</v>
          </cell>
          <cell r="W167" t="str">
            <v>CERRO VIEJO CONSTRUCCIONES, S.A. DE C.V.</v>
          </cell>
          <cell r="X167" t="str">
            <v>CVC110114429</v>
          </cell>
          <cell r="AD167">
            <v>42929</v>
          </cell>
          <cell r="AJ167">
            <v>3194999.16</v>
          </cell>
          <cell r="AL167" t="str">
            <v>Pavimentación con concreto hidráulico de calle Juan del Carmen, de calle Urano a calle Obreros de Cananea, incluye agua potable, drenaje, guarniciones, banquetas, servicios complementarios y señalética, en la colonia La Palmita, primera etapa, municipio de Zapopan, Jalisco.</v>
          </cell>
          <cell r="AS167" t="str">
            <v>Colonia La Palmita</v>
          </cell>
        </row>
        <row r="168">
          <cell r="D168" t="str">
            <v>DOPI-MUN-RM-PAV-CI-079-2017</v>
          </cell>
          <cell r="T168" t="str">
            <v>VICTOR MANUEL</v>
          </cell>
          <cell r="U168" t="str">
            <v>JAUREGUI</v>
          </cell>
          <cell r="V168" t="str">
            <v>TORRES</v>
          </cell>
          <cell r="W168" t="str">
            <v>CONSTRUCTORA ERLORT Y ASOCIADOS, S.A. DE C.V.</v>
          </cell>
          <cell r="X168" t="str">
            <v>CEA070208SB1</v>
          </cell>
          <cell r="AD168">
            <v>42929</v>
          </cell>
          <cell r="AJ168">
            <v>2392943.7799999998</v>
          </cell>
          <cell r="AL168" t="str">
            <v>Construcción de la Lateral Oriente sobre Periférico Poniente, de calle San Juan a Av. Central, en la colonia Ciudad Granja, primera etapa, municipio de Zapopan, Jalisco.</v>
          </cell>
          <cell r="AS168" t="str">
            <v>Colonia Ciudad Granja</v>
          </cell>
        </row>
        <row r="169">
          <cell r="D169" t="str">
            <v>DOPI-MUN-RM-PAV-CI-082-2017</v>
          </cell>
          <cell r="T169" t="str">
            <v>JUAN PABLO</v>
          </cell>
          <cell r="U169" t="str">
            <v>VERA</v>
          </cell>
          <cell r="V169" t="str">
            <v>TAVARES</v>
          </cell>
          <cell r="W169" t="str">
            <v>LIZETTE CONSTRUCCIONES, S.A. DE C.V.</v>
          </cell>
          <cell r="X169" t="str">
            <v>LCO080228DN2</v>
          </cell>
          <cell r="AD169">
            <v>42929</v>
          </cell>
          <cell r="AJ169">
            <v>1996321.71</v>
          </cell>
          <cell r="AL169" t="str">
            <v>Pavimentación con mezcla asfáltica de calle Belisario Domínguez -Paseo de la Primavera, de privada Mariano Otero a Prol. Guadalupe, en las colonias Mariano Otero y Arenales Tapatíos, primera etapa, municipio de Zapopan, Jalisco.</v>
          </cell>
          <cell r="AS169" t="str">
            <v>Colonias Mariano Otero y Arenales Tapatíos</v>
          </cell>
        </row>
        <row r="170">
          <cell r="D170" t="str">
            <v>DOPI-MUN-R33-DS-CI-084-2017</v>
          </cell>
          <cell r="T170" t="str">
            <v>JAVIER</v>
          </cell>
          <cell r="U170" t="str">
            <v xml:space="preserve">ÁVILA </v>
          </cell>
          <cell r="V170" t="str">
            <v>FLORES</v>
          </cell>
          <cell r="W170" t="str">
            <v>SAVHO CONSULTORÍA Y CONSTRUCCIÓN, S.A. DE C.V.</v>
          </cell>
          <cell r="X170" t="str">
            <v>SCC060622HZ3</v>
          </cell>
          <cell r="AD170">
            <v>42929</v>
          </cell>
          <cell r="AJ170">
            <v>2201617.29</v>
          </cell>
          <cell r="AL170" t="str">
            <v>Construcción de red de drenaje y agua potable en privada Montes de Oca, calle Fernando Montes de Oca, Privada Juan Escutia y calle Juan Escutia, en la colonia Prados de Santa Lucia, municipio de Zapopan, Jalisco.</v>
          </cell>
          <cell r="AS170" t="str">
            <v>Colonia Prados de Santa Lucia</v>
          </cell>
        </row>
        <row r="171">
          <cell r="D171" t="str">
            <v>DOPI-MUN-R33-DS-CI-086-2017</v>
          </cell>
          <cell r="T171" t="str">
            <v xml:space="preserve">EDUARDO </v>
          </cell>
          <cell r="U171" t="str">
            <v>ROMERO</v>
          </cell>
          <cell r="V171" t="str">
            <v>LUGO</v>
          </cell>
          <cell r="W171" t="str">
            <v>RS OBRAS Y SERVICIOS S.A. DE C.V.</v>
          </cell>
          <cell r="X171" t="str">
            <v>ROS120904PV9</v>
          </cell>
          <cell r="AD171">
            <v>42929</v>
          </cell>
          <cell r="AJ171">
            <v>7905004.8799999999</v>
          </cell>
          <cell r="AL171" t="str">
            <v>Construcción de red de Drenaje y Agua Potable en la Calle San Francisco Tesistán y calles adyacentes, en la colonia Valle de la Providencia (La Cuchilla), municipio de Zapopan, Jalisco.</v>
          </cell>
          <cell r="AS171" t="str">
            <v>Colonia Valle de la Providencia (La Cuchilla)</v>
          </cell>
        </row>
        <row r="172">
          <cell r="D172" t="str">
            <v>DOPI-MUN-R33-DS-CI-087-2017</v>
          </cell>
          <cell r="T172" t="str">
            <v>ARTURO</v>
          </cell>
          <cell r="U172" t="str">
            <v>RANGEL</v>
          </cell>
          <cell r="V172" t="str">
            <v>PAEZ</v>
          </cell>
          <cell r="W172" t="str">
            <v>CONSTRUCTORA LASA, S.A. DE C.V.</v>
          </cell>
          <cell r="X172" t="str">
            <v>CLA890925ER5</v>
          </cell>
          <cell r="AD172">
            <v>42929</v>
          </cell>
          <cell r="AJ172">
            <v>3180001.46</v>
          </cell>
          <cell r="AL172" t="str">
            <v>Construcción de red de drenaje y agua potable en las calles: Prados de las Torres, Prados de Nextipac, Prados del Maíz I y II Sección, calle los Pinos, en la colonia Prados de Nextipac, municipio de Zapopan, Jalisco.</v>
          </cell>
          <cell r="AS172" t="str">
            <v>Colonia Prados de Nextipac</v>
          </cell>
        </row>
        <row r="173">
          <cell r="D173" t="str">
            <v>DOPI-MUN-R33-PAV-CI-088-2017</v>
          </cell>
          <cell r="T173" t="str">
            <v>JOSÉ LUIS</v>
          </cell>
          <cell r="U173" t="str">
            <v>GIL</v>
          </cell>
          <cell r="V173" t="str">
            <v>ARROYO</v>
          </cell>
          <cell r="W173" t="str">
            <v>CONSTRUCCIÓNES PÉREZ Y GIL, S.A. DE C.V.</v>
          </cell>
          <cell r="X173" t="str">
            <v>CPG861118QF1</v>
          </cell>
          <cell r="AD173">
            <v>42929</v>
          </cell>
          <cell r="AJ173">
            <v>4192091.6</v>
          </cell>
          <cell r="AL173" t="str">
            <v>Pavimentación de las calles: Hacienda Escondida de Ingreso a San Miguel, San Miguel de Tampico a San Rafael, Tampico de San Miguel a San José, San José de Hacienda San Rafael a Tampico, San Rafael de Hacienda San Miguel a San José, Primera etapa, en la colonia Hacienda Juárez, municipio de Zapopan, Jalisco.</v>
          </cell>
          <cell r="AS173" t="str">
            <v>Colonia Hacienda Juárez</v>
          </cell>
        </row>
        <row r="174">
          <cell r="D174" t="str">
            <v>DOPI-MUN-R33-PAV-CI-089-2017</v>
          </cell>
          <cell r="T174" t="str">
            <v>CLARISSA GABRIELA</v>
          </cell>
          <cell r="U174" t="str">
            <v>VALDEZ</v>
          </cell>
          <cell r="V174" t="str">
            <v>MANJARREZ</v>
          </cell>
          <cell r="W174" t="str">
            <v>TEKTON GRUPO EMPRESARIAL, S.A. DE C.V.</v>
          </cell>
          <cell r="X174" t="str">
            <v>TGE101215JI6</v>
          </cell>
          <cell r="AD174">
            <v>42929</v>
          </cell>
          <cell r="AJ174">
            <v>5339997.92</v>
          </cell>
          <cell r="AL174" t="str">
            <v>Pavimentación de Las Calles:  Eucalipto de 25 de Mayo a Monte Sumae, Casuarinas, Ciprés Italiano de Eucalipto a Monte Sumae, Los Pinos de 16 de Septiembre a Monte Sumae, Monte Sumae de Ciprés Italiano a Zapote, Zapote de 16 de Septiembre a Monte Sumae, priv. Pinos 1 y 2, Primera etapa, en la colonia Predio El Zapote, municipio de Zapopan, Jalisco.</v>
          </cell>
          <cell r="AS174" t="str">
            <v>Colonia Predio El Zapote</v>
          </cell>
        </row>
        <row r="175">
          <cell r="D175" t="str">
            <v>DOPI-MUN-R33-DS-CI-090-2017</v>
          </cell>
          <cell r="T175" t="str">
            <v>FRANCISCO JAVIER</v>
          </cell>
          <cell r="U175" t="str">
            <v>DIAZ</v>
          </cell>
          <cell r="V175" t="str">
            <v>RUIZ</v>
          </cell>
          <cell r="W175" t="str">
            <v>CONSTRUCTORA DIRU, S.A. DE C.V.</v>
          </cell>
          <cell r="X175" t="str">
            <v>CDI950714B79</v>
          </cell>
          <cell r="AD175">
            <v>42929</v>
          </cell>
          <cell r="AJ175">
            <v>3367258.31</v>
          </cell>
          <cell r="AL175" t="str">
            <v>Construcción de red de drenaje y agua potable en la calle Eucalipto, calle Puesta del Sol, calle La Presa y calle Jaime Prieto, en la colonia Valle de Los Robles, municipio de Zapopan, Jalisco.</v>
          </cell>
          <cell r="AS175" t="str">
            <v>Colonia Valle de Los Robles</v>
          </cell>
        </row>
        <row r="176">
          <cell r="D176" t="str">
            <v>DOPI-MUN-R33-DS-CI-091-2017</v>
          </cell>
          <cell r="T176" t="str">
            <v xml:space="preserve"> MARTHA </v>
          </cell>
          <cell r="U176" t="str">
            <v>JIMENEZ</v>
          </cell>
          <cell r="V176" t="str">
            <v>LOPEZ</v>
          </cell>
          <cell r="W176" t="str">
            <v>INMOBILIARIA BOCHUM S. DE R.L. DE C.V.</v>
          </cell>
          <cell r="X176" t="str">
            <v>IBO090918ET9</v>
          </cell>
          <cell r="AD176">
            <v>42929</v>
          </cell>
          <cell r="AJ176">
            <v>5792979.8799999999</v>
          </cell>
          <cell r="AL176" t="str">
            <v>Construcción de red de alcantarillado y agua potable en la calle San Jorge, calle San Miguel, calle San Rafael y calles Adyacentes, en la colonia La Limera, municipio de Zapopan, Jalisco.</v>
          </cell>
          <cell r="AS176" t="str">
            <v>Colonia La Limera</v>
          </cell>
        </row>
        <row r="177">
          <cell r="D177" t="str">
            <v>DOPI-MUN-R33-IE-CI-092-2017</v>
          </cell>
          <cell r="T177" t="str">
            <v>VICTOR</v>
          </cell>
          <cell r="U177" t="str">
            <v>ZAYAS</v>
          </cell>
          <cell r="V177" t="str">
            <v>RIQUELME</v>
          </cell>
          <cell r="W177" t="str">
            <v>GEMINIS INTERNACIONAL CONSTRUCTORA, S.A. DE C.V.</v>
          </cell>
          <cell r="X177" t="str">
            <v>GIC810323RA6</v>
          </cell>
          <cell r="AD177">
            <v>42929</v>
          </cell>
          <cell r="AJ177">
            <v>1850002.03</v>
          </cell>
          <cell r="AL177" t="str">
            <v>Red electrificación y servicios complementarios en la calle 1 de Noviembre, calle Naranjo, calle Mandarina, calle Limón, calle Fresa, privada Sin Nombre y calle Capulín, en la colonia Zapote II, municipio de Zapopan, Jalisco.</v>
          </cell>
          <cell r="AS177" t="str">
            <v>Colonia Zapote II</v>
          </cell>
        </row>
        <row r="178">
          <cell r="D178" t="str">
            <v>DOPI-MUN-R33-AP-CI-093-2017</v>
          </cell>
          <cell r="T178" t="str">
            <v>KARLA MARIANA</v>
          </cell>
          <cell r="U178" t="str">
            <v>MENDEZ</v>
          </cell>
          <cell r="V178" t="str">
            <v>RODRIGUEZ</v>
          </cell>
          <cell r="W178" t="str">
            <v>GRUPO LA FUENTE, S.A. DE C.V.</v>
          </cell>
          <cell r="X178" t="str">
            <v>GFU021009BC1</v>
          </cell>
          <cell r="AD178">
            <v>42929</v>
          </cell>
          <cell r="AJ178">
            <v>6213192.5999999996</v>
          </cell>
          <cell r="AL178" t="str">
            <v>Perforación de pozo profundo, en la colonia Copalita Poblado, municipio de Zapopan, Jalisco.</v>
          </cell>
          <cell r="AS178" t="str">
            <v>Colonia Copalita Poblado</v>
          </cell>
        </row>
        <row r="179">
          <cell r="D179" t="str">
            <v>DOPI-MUN-R33R-DS-CI-095-2017</v>
          </cell>
          <cell r="T179" t="str">
            <v>MELESIO</v>
          </cell>
          <cell r="U179" t="str">
            <v>HERNÁNDEZ</v>
          </cell>
          <cell r="V179" t="str">
            <v>MARTÍNEZ</v>
          </cell>
          <cell r="W179" t="str">
            <v>CONSTRUCTORA VICO, S.A. DE C.V.</v>
          </cell>
          <cell r="X179" t="str">
            <v>CVI980213UM6</v>
          </cell>
          <cell r="AD179">
            <v>42985</v>
          </cell>
          <cell r="AJ179">
            <v>3643505.99</v>
          </cell>
          <cell r="AL179" t="str">
            <v>Construcción de red de drenaje en las calles: Daniel Macías, Andrés Jiménez, 12 de Octubre y Quirino Rivera en la colonia Villa de Guadalupe, municipio de Zapopan, Jalisco.</v>
          </cell>
          <cell r="AM179">
            <v>42986</v>
          </cell>
          <cell r="AN179">
            <v>43060</v>
          </cell>
          <cell r="AS179" t="str">
            <v>Col. Villa de Guadalupe</v>
          </cell>
        </row>
        <row r="180">
          <cell r="D180" t="str">
            <v>DOPI-MUN-R33-DS-CI-096-2017</v>
          </cell>
          <cell r="T180" t="str">
            <v xml:space="preserve"> BERNARDO </v>
          </cell>
          <cell r="U180" t="str">
            <v xml:space="preserve">SAENZ </v>
          </cell>
          <cell r="V180" t="str">
            <v>BARBA</v>
          </cell>
          <cell r="W180" t="str">
            <v>GRUPO EDIFICADOR MAYAB, S.A. DE C.V.</v>
          </cell>
          <cell r="X180" t="str">
            <v>GEM070112PX8</v>
          </cell>
          <cell r="AD180">
            <v>42929</v>
          </cell>
          <cell r="AJ180">
            <v>4802027.43</v>
          </cell>
          <cell r="AL180" t="str">
            <v>Construcción de Red de Drenaje y Agua potable en las calles de la Colonia Zapote II, municipio de Zapopan, Jalisco.</v>
          </cell>
          <cell r="AS180" t="str">
            <v>Colonia Zapote II</v>
          </cell>
        </row>
        <row r="181">
          <cell r="D181" t="str">
            <v>DOPI-MUN-R33R-DS-CI-097-2017</v>
          </cell>
          <cell r="T181" t="str">
            <v>ELBA</v>
          </cell>
          <cell r="U181" t="str">
            <v xml:space="preserve">GONZÁLEZ </v>
          </cell>
          <cell r="V181" t="str">
            <v>AGUIRRE</v>
          </cell>
          <cell r="W181" t="str">
            <v>GA URBANIZACIÓN, S.A. DE C.V.</v>
          </cell>
          <cell r="X181" t="str">
            <v>GUR120612P22</v>
          </cell>
          <cell r="AD181">
            <v>42985</v>
          </cell>
          <cell r="AJ181">
            <v>2995983.72</v>
          </cell>
          <cell r="AL181" t="str">
            <v>Mejoramiento de Arroyo Seco entre las calles Puerto Tampico y Tezontle y rehabilitación de colector de aguas negras en la colonia Miramar Poniente, municipio de Zapopan, Jalisco.</v>
          </cell>
          <cell r="AM181">
            <v>42986</v>
          </cell>
          <cell r="AN181">
            <v>43060</v>
          </cell>
          <cell r="AS181" t="str">
            <v>Colonia Miramar Poniente</v>
          </cell>
        </row>
        <row r="182">
          <cell r="D182" t="str">
            <v>DOPI-MUN-RM-PAV-CI-098-2017</v>
          </cell>
          <cell r="T182" t="str">
            <v>ANDRES EDUARDO</v>
          </cell>
          <cell r="U182" t="str">
            <v>ACEVES</v>
          </cell>
          <cell r="V182" t="str">
            <v>CASTAÑEDA</v>
          </cell>
          <cell r="W182" t="str">
            <v>SECRI CONSTRUCTORA, S.A. DE C.V.</v>
          </cell>
          <cell r="X182" t="str">
            <v>SCO100609EVA</v>
          </cell>
          <cell r="AD182">
            <v>42929</v>
          </cell>
          <cell r="AJ182">
            <v>5097355.1500000004</v>
          </cell>
          <cell r="AL182" t="str">
            <v>Obra de pavimentación complementaria a solución vial de López Mateos y Periférico Sur, municipio de Zapopan, Jalisco.</v>
          </cell>
          <cell r="AS182" t="str">
            <v>Colonias La Calma, Loma Bonita y Las Aguilas</v>
          </cell>
        </row>
        <row r="183">
          <cell r="D183" t="str">
            <v>DOPI-FED-FORTALECE-PAV-CI-099-2017</v>
          </cell>
          <cell r="T183" t="str">
            <v>JOEL</v>
          </cell>
          <cell r="U183" t="str">
            <v>ZULOAGA</v>
          </cell>
          <cell r="V183" t="str">
            <v>ACEVES</v>
          </cell>
          <cell r="W183" t="str">
            <v>TASUM SOLUCIONES EN CONSTRUCCION, S.A. DE C.V.</v>
          </cell>
          <cell r="X183" t="str">
            <v>TSC100210E48</v>
          </cell>
          <cell r="AD183">
            <v>42929</v>
          </cell>
          <cell r="AJ183">
            <v>4135072.71</v>
          </cell>
          <cell r="AL183" t="str">
            <v>Reencarpetamiento de la calle Prolongación Pino Suárez con asfalto, de Periférico a Boulevard del Rodeo, tramo 1, en la Colonia el Vigía, en el municipio de Zapopan, Jalisco.</v>
          </cell>
          <cell r="AS183" t="str">
            <v>Colonia el Vigía</v>
          </cell>
        </row>
        <row r="184">
          <cell r="D184" t="str">
            <v>DOPI-FED-FORTALECE-PAV-CI-100-2017</v>
          </cell>
          <cell r="T184" t="str">
            <v xml:space="preserve">ARTURO </v>
          </cell>
          <cell r="U184" t="str">
            <v>MONTUFAR</v>
          </cell>
          <cell r="V184" t="str">
            <v>NUÑEZ</v>
          </cell>
          <cell r="W184" t="str">
            <v>VELERO PAVIMENTACION Y CONSTRUCCION S.A. DE C.V.</v>
          </cell>
          <cell r="X184" t="str">
            <v>VPC0012148K0</v>
          </cell>
          <cell r="AD184">
            <v>42929</v>
          </cell>
          <cell r="AJ184">
            <v>2865645.34</v>
          </cell>
          <cell r="AL184" t="str">
            <v>Reencarpetamiento de la calle Melchor Ocampo con asfalto, de Periférico a Boulevard del Rodeo, tramo 1, en la colonia el Vigía, en el municipio de Zapopan, Jalisco.</v>
          </cell>
          <cell r="AS184" t="str">
            <v>Colonia el Vigía</v>
          </cell>
        </row>
        <row r="185">
          <cell r="D185" t="str">
            <v>DOPI-FED-FORTALECE-PAV-CI-101-2017</v>
          </cell>
          <cell r="T185" t="str">
            <v>GUILLERMO</v>
          </cell>
          <cell r="U185" t="str">
            <v>LARA</v>
          </cell>
          <cell r="V185" t="str">
            <v>VARGAS</v>
          </cell>
          <cell r="W185" t="str">
            <v>DESARROLLADORA GLAR, S.A. DE C.V.</v>
          </cell>
          <cell r="X185" t="str">
            <v>DGL060620SUA</v>
          </cell>
          <cell r="AD185">
            <v>42929</v>
          </cell>
          <cell r="AJ185">
            <v>6345107.8499999996</v>
          </cell>
          <cell r="AL185" t="str">
            <v>Construcción de la primera etapa (Reencarpetado) de Av. Acueducto, de Calzada Federalistas a Av. Guadalajara, en la colonia Real del Valle, en el municipio de Zapopan, Jalisco.</v>
          </cell>
          <cell r="AS185" t="str">
            <v>Colonia Real del Valle</v>
          </cell>
        </row>
        <row r="186">
          <cell r="D186" t="str">
            <v>DOPI-FED-FORTALECE-PAV-CI-102-2017</v>
          </cell>
          <cell r="T186" t="str">
            <v>JOSE ANTONIO</v>
          </cell>
          <cell r="U186" t="str">
            <v>ALVAREZ</v>
          </cell>
          <cell r="V186" t="str">
            <v>GARCIA</v>
          </cell>
          <cell r="W186" t="str">
            <v>URCOMA 1970, S.A. DE C.V.</v>
          </cell>
          <cell r="X186" t="str">
            <v>UMN160125869</v>
          </cell>
          <cell r="AD186">
            <v>42929</v>
          </cell>
          <cell r="AJ186">
            <v>6700005.75</v>
          </cell>
          <cell r="AL186" t="str">
            <v>Construcción de la calle Prolongación Acueducto con asfalto de Calzada Federalistas (Av. del Valle) a Calzada Federalistas, en la Zona de Santa Margarita (Segunda Etapa), en el municipio de Zapopan, Jalisco.</v>
          </cell>
          <cell r="AS186" t="str">
            <v>Colonia Santa Margarita</v>
          </cell>
        </row>
        <row r="187">
          <cell r="D187" t="str">
            <v>DOPI-FED-PR-PAV-LP-103-2017</v>
          </cell>
          <cell r="T187" t="str">
            <v>CARLOS ALBERTO</v>
          </cell>
          <cell r="U187" t="str">
            <v>VALENCIA</v>
          </cell>
          <cell r="V187" t="str">
            <v>MENCHACA</v>
          </cell>
          <cell r="W187" t="str">
            <v>CONSTRUCTORA AUTLENSE, S.A. DE C.V.</v>
          </cell>
          <cell r="X187" t="str">
            <v>CAU980304DC0</v>
          </cell>
          <cell r="AD187">
            <v>42972</v>
          </cell>
          <cell r="AJ187">
            <v>3543836.9</v>
          </cell>
          <cell r="AL187" t="str">
            <v>Construcción de la calle Deli con concreto hidráulico de calle Ozomatli a calle Acatl, en la zona de la Mesa Colorada (segunda etapa), en el municipio de Zapopan, Jalisco.</v>
          </cell>
          <cell r="AM187">
            <v>42973</v>
          </cell>
          <cell r="AN187">
            <v>43095</v>
          </cell>
          <cell r="AS187" t="str">
            <v>Col. Mesa Colorada</v>
          </cell>
        </row>
        <row r="188">
          <cell r="D188" t="str">
            <v>DOPI-FED-PR-PAV-LP-104-2017</v>
          </cell>
          <cell r="T188" t="str">
            <v>JUAN JOSÉ</v>
          </cell>
          <cell r="U188" t="str">
            <v>GUTIÉRREZ</v>
          </cell>
          <cell r="V188" t="str">
            <v>CONTRERAS</v>
          </cell>
          <cell r="W188" t="str">
            <v>RENCOIST CONSTRUCCIÓNES, S.A. DE C.V.</v>
          </cell>
          <cell r="X188" t="str">
            <v>RCO130920JX9</v>
          </cell>
          <cell r="AD188">
            <v>42972</v>
          </cell>
          <cell r="AJ188">
            <v>4507662.9800000004</v>
          </cell>
          <cell r="AL188" t="str">
            <v>Construcción de la calle Ocampo con concreto hidráulico de Av. Aviación a calle Independencia, en la zona de San Juan de Ocotan (segunda etapa), en el municipio de Zapopan, Jalisco.</v>
          </cell>
          <cell r="AM188">
            <v>42972</v>
          </cell>
          <cell r="AN188">
            <v>43110</v>
          </cell>
          <cell r="AS188" t="str">
            <v>San Juan de Ocotán</v>
          </cell>
        </row>
        <row r="189">
          <cell r="D189" t="str">
            <v>DOPI-FED-PR-PAV-LP-105-2017</v>
          </cell>
          <cell r="T189" t="str">
            <v>SERGIO CESAR</v>
          </cell>
          <cell r="U189" t="str">
            <v>DÍAZ</v>
          </cell>
          <cell r="V189" t="str">
            <v>QUIROZ</v>
          </cell>
          <cell r="W189" t="str">
            <v>TRANSCRETO S.A. DE C.V.</v>
          </cell>
          <cell r="X189" t="str">
            <v>TRA750528286</v>
          </cell>
          <cell r="AD189">
            <v>42972</v>
          </cell>
          <cell r="AJ189">
            <v>6135004.7999999998</v>
          </cell>
          <cell r="AL189" t="str">
            <v>Pavimentación con concreto hidráulico de la lateral de Avenida Vallarta, entre la Avenida Juan Palomar y Arias y Anillo Periférico, en el municipio de Zapopan, Jalisco.</v>
          </cell>
          <cell r="AM189">
            <v>42973</v>
          </cell>
          <cell r="AN189">
            <v>43095</v>
          </cell>
          <cell r="AS189" t="str">
            <v>Col. Rinconada del Bosque</v>
          </cell>
        </row>
        <row r="190">
          <cell r="D190" t="str">
            <v>DOPI-FED-PR-PAV-LP-106-2017</v>
          </cell>
          <cell r="T190" t="str">
            <v>JAVIER</v>
          </cell>
          <cell r="U190" t="str">
            <v>CAÑEDO</v>
          </cell>
          <cell r="V190" t="str">
            <v>ORTEGA</v>
          </cell>
          <cell r="W190" t="str">
            <v>CONSTRUCCIONES TECNICAS DE OCCIDENTE, S.A. DE C.V.</v>
          </cell>
          <cell r="X190" t="str">
            <v>CTO061116F61</v>
          </cell>
          <cell r="AD190">
            <v>42972</v>
          </cell>
          <cell r="AJ190">
            <v>1074481.03</v>
          </cell>
          <cell r="AL190" t="str">
            <v>Construcción de la calle Ing. Alberto Mora López con concreto hidráulico de calle Elote a calle Ing. Alfonso Padilla, en la zona de la Mesa Colorada (segunda etapa), en el municipio de Zapopan, Jalisco.</v>
          </cell>
          <cell r="AM190">
            <v>42973</v>
          </cell>
          <cell r="AN190">
            <v>43095</v>
          </cell>
          <cell r="AS190" t="str">
            <v>Col. Mesa Colorada</v>
          </cell>
        </row>
        <row r="191">
          <cell r="D191" t="str">
            <v>DOPI-FED-PR-PAV-LP-107-2017</v>
          </cell>
          <cell r="T191" t="str">
            <v>CARLOS IGNACIO</v>
          </cell>
          <cell r="U191" t="str">
            <v>CURIEL</v>
          </cell>
          <cell r="V191" t="str">
            <v>DUEÑAS</v>
          </cell>
          <cell r="W191" t="str">
            <v>CONSTRUCTORA CECUCHI, S.A. DE C.V.</v>
          </cell>
          <cell r="X191" t="str">
            <v>CCE130723IR7</v>
          </cell>
          <cell r="AD191">
            <v>42972</v>
          </cell>
          <cell r="AJ191">
            <v>8061619.2000000002</v>
          </cell>
          <cell r="AL191" t="str">
            <v>Construcción de la calle Prolongación Acueducto con concreto hidráulico de Av. Santa Margarita a Av. Santa Esther, en la zona de Santa Margarita (segunda etapa), en el municipio de Zapopan, Jalisco.</v>
          </cell>
          <cell r="AM191">
            <v>42973</v>
          </cell>
          <cell r="AN191">
            <v>43095</v>
          </cell>
          <cell r="AS191" t="str">
            <v>Col. Santa Margarita</v>
          </cell>
        </row>
        <row r="192">
          <cell r="D192" t="str">
            <v>DOPI-FED-PR-PAV-LP-108-2017</v>
          </cell>
          <cell r="T192" t="str">
            <v>ARTURO</v>
          </cell>
          <cell r="U192" t="str">
            <v>SARMIENTO</v>
          </cell>
          <cell r="V192" t="str">
            <v>SÁNCHEZ</v>
          </cell>
          <cell r="W192" t="str">
            <v>CONSTRUBRAVO, S.A. DE C.V.</v>
          </cell>
          <cell r="X192" t="str">
            <v>CON020208696</v>
          </cell>
          <cell r="AD192">
            <v>42972</v>
          </cell>
          <cell r="AJ192">
            <v>5305113.72</v>
          </cell>
          <cell r="AL192" t="str">
            <v>Construcción de la calle Ozomatli con concreto hidráulico de calle Cholollan a calle Deli, en la zona de la Mesa Colorada (segunda etapa), en el municipio de Zapopan, Jalisco.</v>
          </cell>
          <cell r="AM192">
            <v>42973</v>
          </cell>
          <cell r="AN192">
            <v>43095</v>
          </cell>
          <cell r="AS192" t="str">
            <v>Col. Mesa Colorada</v>
          </cell>
        </row>
        <row r="193">
          <cell r="D193" t="str">
            <v>DOPI-FED-PR-PAV-LP-109-2017</v>
          </cell>
          <cell r="T193" t="str">
            <v>FRANCISCO JAVIER</v>
          </cell>
          <cell r="U193" t="str">
            <v>DÍAZ</v>
          </cell>
          <cell r="V193" t="str">
            <v>RUÍZ</v>
          </cell>
          <cell r="W193" t="str">
            <v>CONSTRUCTORA DIRU, S.A. DE C.V.</v>
          </cell>
          <cell r="X193" t="str">
            <v>CDI950714B79</v>
          </cell>
          <cell r="AD193">
            <v>42972</v>
          </cell>
          <cell r="AJ193">
            <v>4728157.01</v>
          </cell>
          <cell r="AL193" t="str">
            <v>Construcción de la calle Ocampo con concreto hidráulico de calle Independencia a calle Parral, en la zona de San Juan de Ocotan (segunda etapa), en el municipio de Zapopan, Jalisco.</v>
          </cell>
          <cell r="AM193">
            <v>42973</v>
          </cell>
          <cell r="AN193">
            <v>43095</v>
          </cell>
          <cell r="AS193" t="str">
            <v>San Juan de Ocotán</v>
          </cell>
        </row>
        <row r="194">
          <cell r="D194" t="str">
            <v>DOPI-FED-PR-PAV-LP-110-2017</v>
          </cell>
          <cell r="T194" t="str">
            <v>HAYDEE LILIANA</v>
          </cell>
          <cell r="U194" t="str">
            <v>AGUILAR</v>
          </cell>
          <cell r="V194" t="str">
            <v>CASSIAN</v>
          </cell>
          <cell r="W194" t="str">
            <v>EDIFICA 2001, S.A. DE C.V.</v>
          </cell>
          <cell r="X194" t="str">
            <v>EDM970225I68</v>
          </cell>
          <cell r="AD194">
            <v>42972</v>
          </cell>
          <cell r="AJ194">
            <v>4477432.29</v>
          </cell>
          <cell r="AL194" t="str">
            <v>Construcción de la calle Tulipanes con concreto hidráulico de Prolongación Acueducto a Av. Santa Margarita, en la zona de Santa Margarita (segunda etapa), en el municipio de Zapopan, Jalisco.</v>
          </cell>
          <cell r="AM194">
            <v>42973</v>
          </cell>
          <cell r="AN194">
            <v>43095</v>
          </cell>
          <cell r="AS194" t="str">
            <v>Col. Santa Margarita</v>
          </cell>
        </row>
        <row r="195">
          <cell r="D195" t="str">
            <v>DOPI-FED-PR-PAV-LP-111-2017</v>
          </cell>
          <cell r="T195" t="str">
            <v>ANDRÉS EDUARDO</v>
          </cell>
          <cell r="U195" t="str">
            <v>ACEVES</v>
          </cell>
          <cell r="V195" t="str">
            <v>CASTAÑEDA</v>
          </cell>
          <cell r="W195" t="str">
            <v>SECRI CONSTRUCTORA, S.A. DE C.V.</v>
          </cell>
          <cell r="X195" t="str">
            <v>SCO100609EVA</v>
          </cell>
          <cell r="AD195">
            <v>42972</v>
          </cell>
          <cell r="AJ195">
            <v>6757768.5199999996</v>
          </cell>
          <cell r="AL195" t="str">
            <v>Construcción de la calle Magnolia con concreto hidráulico de Prolongación Acueducto a Av. Santa Margarita, en la zona de Santa Margarita (segunda etapa), en el municipio de Zapopan, Jalisco.</v>
          </cell>
          <cell r="AM195">
            <v>42973</v>
          </cell>
          <cell r="AN195">
            <v>43095</v>
          </cell>
          <cell r="AS195" t="str">
            <v>Col. Santa Margarita</v>
          </cell>
        </row>
        <row r="196">
          <cell r="D196" t="str">
            <v>DOPI-MUN-R33R-DS-CI-112-2017</v>
          </cell>
          <cell r="T196" t="str">
            <v>ERICK</v>
          </cell>
          <cell r="U196" t="str">
            <v>VILLASEÑOR</v>
          </cell>
          <cell r="V196" t="str">
            <v>GUTIÉRREZ</v>
          </cell>
          <cell r="W196" t="str">
            <v>PIXIDE CONSTRUCTORA, S.A. DE C.V.</v>
          </cell>
          <cell r="X196" t="str">
            <v>PCO140829425</v>
          </cell>
          <cell r="AD196">
            <v>42985</v>
          </cell>
          <cell r="AJ196">
            <v>2089350.02</v>
          </cell>
          <cell r="AM196">
            <v>42986</v>
          </cell>
          <cell r="AN196">
            <v>43060</v>
          </cell>
          <cell r="AS196" t="str">
            <v>Colonia Pedregal de Milpillas</v>
          </cell>
        </row>
        <row r="197">
          <cell r="D197" t="str">
            <v>DOPI-MUN-R33R-IH-CI-113-2017</v>
          </cell>
          <cell r="T197" t="str">
            <v>ADALBERTO</v>
          </cell>
          <cell r="U197" t="str">
            <v>MEDINA</v>
          </cell>
          <cell r="V197" t="str">
            <v>MORALES</v>
          </cell>
          <cell r="W197" t="str">
            <v>URDEM, S.A. DE C.V.</v>
          </cell>
          <cell r="X197" t="str">
            <v>URD130830U21</v>
          </cell>
          <cell r="AD197">
            <v>42985</v>
          </cell>
          <cell r="AJ197">
            <v>2233095.61</v>
          </cell>
          <cell r="AM197">
            <v>42986</v>
          </cell>
          <cell r="AN197">
            <v>43060</v>
          </cell>
          <cell r="AS197" t="str">
            <v>Colonia Revolución</v>
          </cell>
        </row>
        <row r="198">
          <cell r="D198" t="str">
            <v>DOPI-EST-FOCOCI-IU-LP-114-2017</v>
          </cell>
          <cell r="T198" t="str">
            <v>JOSÉ ANTONIO</v>
          </cell>
          <cell r="U198" t="str">
            <v>CISNEROS</v>
          </cell>
          <cell r="V198" t="str">
            <v>CASTILLO</v>
          </cell>
          <cell r="W198" t="str">
            <v>AXIOMA PROYECTOS E INGENIERIA, S.A. DE C.V.</v>
          </cell>
          <cell r="X198" t="str">
            <v>APE111122MI0</v>
          </cell>
          <cell r="AD198">
            <v>42972</v>
          </cell>
          <cell r="AJ198">
            <v>8779696.0700000003</v>
          </cell>
          <cell r="AL198" t="str">
            <v>Construcción de Centro Comunitario San Juan de Ocotán, en el municipio de Zapopan, Jalisco.</v>
          </cell>
          <cell r="AM198">
            <v>42972</v>
          </cell>
          <cell r="AN198">
            <v>43077</v>
          </cell>
          <cell r="AS198" t="str">
            <v>San Juan de Ocotán</v>
          </cell>
        </row>
        <row r="199">
          <cell r="D199" t="str">
            <v>DOPI-EST-CM-PAV-LP-115-2017</v>
          </cell>
          <cell r="T199" t="str">
            <v>IGNACIO JAVIER</v>
          </cell>
          <cell r="U199" t="str">
            <v>CURIEL</v>
          </cell>
          <cell r="V199" t="str">
            <v>DUEÑAS</v>
          </cell>
          <cell r="W199" t="str">
            <v>TC CONSTRUCCIÓN Y MANTENIMIENTO, S.A. DE C.V.</v>
          </cell>
          <cell r="X199" t="str">
            <v>TCM100915HA1</v>
          </cell>
          <cell r="AD199">
            <v>42972</v>
          </cell>
          <cell r="AJ199">
            <v>15421203.91</v>
          </cell>
          <cell r="AL199" t="str">
            <v>Renovación urbana en área habitacional y de zona comercial de solución vial Parres Arias, en el municipio de Zapopan, Jalisco, frente 1.</v>
          </cell>
          <cell r="AM199">
            <v>42972</v>
          </cell>
          <cell r="AN199">
            <v>43093</v>
          </cell>
          <cell r="AS199" t="str">
            <v>Parque Industrial Los Belenes</v>
          </cell>
        </row>
        <row r="200">
          <cell r="D200" t="str">
            <v>DOPI-EST-CM-PAV-LP-116-2017</v>
          </cell>
          <cell r="T200" t="str">
            <v>RODRIGO</v>
          </cell>
          <cell r="U200" t="str">
            <v>RAMOS</v>
          </cell>
          <cell r="V200" t="str">
            <v>GARIBI</v>
          </cell>
          <cell r="W200" t="str">
            <v>CINCO CONTEMPORANEA, S.A. DE C.V.</v>
          </cell>
          <cell r="X200" t="str">
            <v>CCO990211T64</v>
          </cell>
          <cell r="AD200">
            <v>42972</v>
          </cell>
          <cell r="AJ200">
            <v>15180002.890000001</v>
          </cell>
          <cell r="AL200" t="str">
            <v>Renovación urbana en área habitacional y de zona comercial de solución vial Parres Arias, en el municipio de Zapopan, Jalisco, frente 2.</v>
          </cell>
          <cell r="AM200">
            <v>42972</v>
          </cell>
          <cell r="AN200">
            <v>43093</v>
          </cell>
          <cell r="AS200" t="str">
            <v>Parque Industrial Los Belenes</v>
          </cell>
        </row>
        <row r="201">
          <cell r="D201" t="str">
            <v>DOPI-MUN-R33R-DS-CI-117-2017</v>
          </cell>
          <cell r="T201" t="str">
            <v>VICTOR</v>
          </cell>
          <cell r="U201" t="str">
            <v>ZAYAS</v>
          </cell>
          <cell r="V201" t="str">
            <v>RIQUELME</v>
          </cell>
          <cell r="W201" t="str">
            <v>GEMINIS INTERNACIONAL CONSTRUCTORA, S.A. DE C.V.</v>
          </cell>
          <cell r="X201" t="str">
            <v>GIC810323RA6</v>
          </cell>
          <cell r="AD201">
            <v>42985</v>
          </cell>
          <cell r="AJ201">
            <v>4243025.28</v>
          </cell>
          <cell r="AM201">
            <v>42986</v>
          </cell>
          <cell r="AN201">
            <v>43083</v>
          </cell>
          <cell r="AS201" t="str">
            <v>Colonia Colinas del Rio</v>
          </cell>
        </row>
        <row r="202">
          <cell r="D202" t="str">
            <v>DOPI-MUN-R33R-PAV-CI-118-2017</v>
          </cell>
          <cell r="T202" t="str">
            <v>AARON</v>
          </cell>
          <cell r="U202" t="str">
            <v>AMARAL</v>
          </cell>
          <cell r="V202" t="str">
            <v>LÓPEZ</v>
          </cell>
          <cell r="W202" t="str">
            <v>GLOBAL CONSTRUCCIÓNES Y CONSULTORIA, S.A. DE C.V.</v>
          </cell>
          <cell r="X202" t="str">
            <v>GCC1102098R8</v>
          </cell>
          <cell r="AD202">
            <v>42985</v>
          </cell>
          <cell r="AJ202">
            <v>3570586.87</v>
          </cell>
          <cell r="AM202">
            <v>42986</v>
          </cell>
          <cell r="AN202">
            <v>43075</v>
          </cell>
          <cell r="AS202" t="str">
            <v>Colonia El Fresno</v>
          </cell>
        </row>
        <row r="203">
          <cell r="B203" t="str">
            <v>Licitación por Invitación Restringida</v>
          </cell>
          <cell r="D203" t="str">
            <v>DOPI-MUN-RM-PAV-CI-145-2017</v>
          </cell>
          <cell r="T203" t="str">
            <v>MARIO</v>
          </cell>
          <cell r="U203" t="str">
            <v>BELTRÁN</v>
          </cell>
          <cell r="V203" t="str">
            <v>RODRÍGUEZ Y SUSARREY</v>
          </cell>
          <cell r="W203" t="str">
            <v>CONSTRUCTORA Y DESARROLLADORA BARBA Y ASOCIADOS, S.A. DE C.V.</v>
          </cell>
          <cell r="X203" t="str">
            <v>CDB0506068Z4</v>
          </cell>
          <cell r="AD203">
            <v>42975</v>
          </cell>
          <cell r="AJ203">
            <v>3192151.8</v>
          </cell>
          <cell r="AL203" t="str">
            <v>Programa emergente de bacheo, renivelaciones y sellado en vialidades, Zonas Norte y Centro, municipio de Zapopan, Jalisco.</v>
          </cell>
          <cell r="AM203">
            <v>42975</v>
          </cell>
          <cell r="AN203">
            <v>43035</v>
          </cell>
          <cell r="AS203" t="str">
            <v>Zonas Norte y Centro</v>
          </cell>
        </row>
        <row r="204">
          <cell r="B204" t="str">
            <v>Licitación por Invitación Restringida</v>
          </cell>
          <cell r="D204" t="str">
            <v>DOPI-MUN-RM-PAV-CI-146-2017</v>
          </cell>
          <cell r="T204" t="str">
            <v>ÁNGEL SALOMÓN</v>
          </cell>
          <cell r="U204" t="str">
            <v>RINCÓN</v>
          </cell>
          <cell r="V204" t="str">
            <v>DE LA ROSA</v>
          </cell>
          <cell r="W204" t="str">
            <v>ARO ASFALTOS Y RIEGOS DE OCCIDENTE, S.A. DE C.V.</v>
          </cell>
          <cell r="X204" t="str">
            <v>AAR120507VA9</v>
          </cell>
          <cell r="AD204">
            <v>42975</v>
          </cell>
          <cell r="AJ204">
            <v>3149824.73</v>
          </cell>
          <cell r="AL204" t="str">
            <v>Programa emergente de bacheo, renivelaciones y sellado en vialidades, Zonas Sur y Surponiente, municipio de Zapopan, Jalisco.</v>
          </cell>
          <cell r="AM204">
            <v>42975</v>
          </cell>
          <cell r="AN204">
            <v>43035</v>
          </cell>
          <cell r="AS204" t="str">
            <v>Zonas Sur y Surponiente</v>
          </cell>
        </row>
        <row r="205">
          <cell r="B205" t="str">
            <v>Licitación por Invitación Restringida</v>
          </cell>
          <cell r="D205" t="str">
            <v>DOPI-MUN-RM-PAV-CI-147-2017</v>
          </cell>
          <cell r="T205" t="str">
            <v>RODRIGO</v>
          </cell>
          <cell r="U205" t="str">
            <v>RAMOS</v>
          </cell>
          <cell r="V205" t="str">
            <v>GARIBI</v>
          </cell>
          <cell r="W205" t="str">
            <v>METRO ASFALTOS, S.A. DE C.V.</v>
          </cell>
          <cell r="X205" t="str">
            <v>CMA070307RU6</v>
          </cell>
          <cell r="AD205">
            <v>42975</v>
          </cell>
          <cell r="AJ205">
            <v>2697299.66</v>
          </cell>
          <cell r="AL205" t="str">
            <v>Programa emergente de bacheo, renivelaciones y sellado en vialidades, Zona Poniente, Frente 2, municipio de Zapopan, Jalisco.</v>
          </cell>
          <cell r="AM205">
            <v>42975</v>
          </cell>
          <cell r="AN205">
            <v>43035</v>
          </cell>
          <cell r="AS205" t="str">
            <v>Zona Poniente</v>
          </cell>
        </row>
        <row r="206">
          <cell r="B206" t="str">
            <v>Licitación por Invitación Restringida</v>
          </cell>
          <cell r="D206" t="str">
            <v>DOPI-MUN-RM-PAV-CI-148-2017</v>
          </cell>
          <cell r="T206" t="str">
            <v>JOSÉ DE JESÚS</v>
          </cell>
          <cell r="U206" t="str">
            <v>ROMERO</v>
          </cell>
          <cell r="V206" t="str">
            <v>GARCÍA</v>
          </cell>
          <cell r="W206" t="str">
            <v>URBANIZADORA Y CONSTRUCTORA ROAL, S.A. DE C.V.</v>
          </cell>
          <cell r="X206" t="str">
            <v>URC160310857</v>
          </cell>
          <cell r="AD206">
            <v>42975</v>
          </cell>
          <cell r="AJ206">
            <v>2255906.54</v>
          </cell>
          <cell r="AL206" t="str">
            <v>Programa emergente de bacheo, renivelaciones y sellado en vialidades, Zonas Norte y Norponiente, municipio de Zapopan, Jalisco.</v>
          </cell>
          <cell r="AM206">
            <v>42975</v>
          </cell>
          <cell r="AN206">
            <v>43035</v>
          </cell>
          <cell r="AS206" t="str">
            <v>Zonas Norte y Norponiente</v>
          </cell>
        </row>
        <row r="207">
          <cell r="B207" t="str">
            <v>Licitación por Invitación Restringida</v>
          </cell>
          <cell r="D207" t="str">
            <v>DOPI-MUN-R33R-DS-CI-149-2017</v>
          </cell>
          <cell r="T207" t="str">
            <v>OMAR</v>
          </cell>
          <cell r="U207" t="str">
            <v>MORA</v>
          </cell>
          <cell r="V207" t="str">
            <v>MONTES DE OCA</v>
          </cell>
          <cell r="W207" t="str">
            <v>DOMMONT CONSTRUCCIÓNES, S.A. DE C.V.</v>
          </cell>
          <cell r="X207" t="str">
            <v>DCO130215C16</v>
          </cell>
          <cell r="AD207">
            <v>42975</v>
          </cell>
          <cell r="AJ207">
            <v>4249089</v>
          </cell>
          <cell r="AL207" t="str">
            <v>Construcción de colector de aguas negras sobre arroyo, de calle Cholollán a calle Paseo de las Bugambilias,  construcción de drenaje en la calle Paseo del Manzano y calle Nogal en la colonia Mesa de los Ocotes, municipio de Zapopan, Jalisco.</v>
          </cell>
          <cell r="AM207">
            <v>42975</v>
          </cell>
          <cell r="AN207">
            <v>43079</v>
          </cell>
          <cell r="AR207" t="str">
            <v>Remanentes del FAISM 2010-2015</v>
          </cell>
          <cell r="AS207" t="str">
            <v>Col. Mesa de los Ocotes</v>
          </cell>
        </row>
        <row r="208">
          <cell r="B208" t="str">
            <v>Licitación por Invitación Restringida</v>
          </cell>
          <cell r="D208" t="str">
            <v>DOPI-MUN-R33-DS-CI-150-2017</v>
          </cell>
          <cell r="T208" t="str">
            <v xml:space="preserve">RODOLFO </v>
          </cell>
          <cell r="U208" t="str">
            <v xml:space="preserve">VELAZQUEZ </v>
          </cell>
          <cell r="V208" t="str">
            <v>ORDOÑEZ</v>
          </cell>
          <cell r="W208" t="str">
            <v>VELAZQUEZ INGENIERIA ECOLOGICA, S.A. DE C.V.</v>
          </cell>
          <cell r="X208" t="str">
            <v>VIE110125RL4</v>
          </cell>
          <cell r="AD208">
            <v>42975</v>
          </cell>
          <cell r="AJ208">
            <v>6378234.8399999999</v>
          </cell>
          <cell r="AL208" t="str">
            <v>Construcción de red de agua potable y drenaje sanitario en la colonia Lomas del Centinela 2, municipio de Zapopan, Jalisco. Primera etapa.</v>
          </cell>
          <cell r="AM208">
            <v>42975</v>
          </cell>
          <cell r="AN208">
            <v>43079</v>
          </cell>
          <cell r="AR208" t="str">
            <v>Fondo para la Infraestructura Social Municipal 2017</v>
          </cell>
          <cell r="AS208" t="str">
            <v>Col. Lomas del Centinela 2</v>
          </cell>
        </row>
        <row r="209">
          <cell r="B209" t="str">
            <v>Licitación por Invitación Restringida</v>
          </cell>
          <cell r="D209" t="str">
            <v>DOPI-MUN-R33R-DS-CI-151-2017</v>
          </cell>
          <cell r="T209" t="str">
            <v xml:space="preserve">EDUARDO </v>
          </cell>
          <cell r="U209" t="str">
            <v>CRUZ</v>
          </cell>
          <cell r="V209" t="str">
            <v>MOGUEL</v>
          </cell>
          <cell r="W209" t="str">
            <v>BALKEN, S.A. DE C.V.</v>
          </cell>
          <cell r="X209" t="str">
            <v>BAL990803661</v>
          </cell>
          <cell r="AD209">
            <v>42975</v>
          </cell>
          <cell r="AJ209">
            <v>6048490.1900000004</v>
          </cell>
          <cell r="AL209" t="str">
            <v>Construcción de red de drenaje en las calles Oxtol, Zochiquetzal, Texcoco, Cuaticue, Pachtli y Negri en la colonia Mesa Colorada Poniente, municipio de Zapopan, Jalisco.</v>
          </cell>
          <cell r="AM209">
            <v>42975</v>
          </cell>
          <cell r="AN209">
            <v>43079</v>
          </cell>
          <cell r="AR209" t="str">
            <v>Remanentes del FAISM 2010-2015</v>
          </cell>
          <cell r="AS209" t="str">
            <v>Col. Mesa Colorada</v>
          </cell>
        </row>
        <row r="210">
          <cell r="B210" t="str">
            <v>Licitación por Invitación Restringida</v>
          </cell>
          <cell r="D210" t="str">
            <v>DOPI-MUN-R33R-IH-CI-152-2017</v>
          </cell>
          <cell r="T210" t="str">
            <v xml:space="preserve">EDUARDO </v>
          </cell>
          <cell r="U210" t="str">
            <v>MORA</v>
          </cell>
          <cell r="V210" t="str">
            <v>BLACKALLER</v>
          </cell>
          <cell r="W210" t="str">
            <v>GRUPO CONSTRUCTOR INNOBLACK, S.A. DE C.V.</v>
          </cell>
          <cell r="X210" t="str">
            <v>GCI070523CW4</v>
          </cell>
          <cell r="AD210">
            <v>42975</v>
          </cell>
          <cell r="AJ210">
            <v>2284098.15</v>
          </cell>
          <cell r="AL210" t="str">
            <v>Construcción de línea de conducción del poblado San Rafael hasta el poblado Río Blanco y construcción de línea de conducción del pozo al tanque en el poblado de Río Blanco en la colonia San Rafael y Río Blanco, Municipio de Zapopan, Jalisco.</v>
          </cell>
          <cell r="AM210">
            <v>42975</v>
          </cell>
          <cell r="AN210">
            <v>43079</v>
          </cell>
          <cell r="AR210" t="str">
            <v>Remanentes del FAISM 2010-2015</v>
          </cell>
          <cell r="AS210" t="str">
            <v>Col. San Rafael y Rio Blanco</v>
          </cell>
        </row>
        <row r="211">
          <cell r="B211" t="str">
            <v>Licitación por Invitación Restringida</v>
          </cell>
          <cell r="D211" t="str">
            <v>DOPI-MUN-R33R-IH-CI-153-2017</v>
          </cell>
          <cell r="T211" t="str">
            <v>MIGUEL ÁNGEL</v>
          </cell>
          <cell r="U211" t="str">
            <v>ROMERO</v>
          </cell>
          <cell r="V211" t="str">
            <v>LUGO</v>
          </cell>
          <cell r="W211" t="str">
            <v>OBRAS Y COMERCIALIZACION DE LA CONSTRUCCIÓN, S.A. DE C.V.</v>
          </cell>
          <cell r="X211" t="str">
            <v>OCC940714PB0</v>
          </cell>
          <cell r="AD211">
            <v>42975</v>
          </cell>
          <cell r="AJ211">
            <v>3699901.7</v>
          </cell>
          <cell r="AL211" t="str">
            <v>Construcción de red de agua potable en la calle Garzas entre Cenzontle y carretera Colotlán, calle Canario entre Cenzontle y Carretera Colotlán y calle Gaviotas entre carretera Colotlán y prolongación Garzas en las colonias La Vinatera y Ejido Copalita, municipio de Zapopan, Jalisco.</v>
          </cell>
          <cell r="AM211">
            <v>42975</v>
          </cell>
          <cell r="AN211">
            <v>43079</v>
          </cell>
          <cell r="AR211" t="str">
            <v>Remanentes del FAISM 2010-2015</v>
          </cell>
          <cell r="AS211" t="str">
            <v>Colonias La Vinatera y Ejido Copalita</v>
          </cell>
        </row>
        <row r="212">
          <cell r="B212" t="str">
            <v>Licitación por Invitación Restringida</v>
          </cell>
          <cell r="D212" t="str">
            <v>DOPI-MUN-R33R-PAV-CI-154-2017</v>
          </cell>
          <cell r="T212" t="str">
            <v>EDWIN</v>
          </cell>
          <cell r="U212" t="str">
            <v>AGUIAR</v>
          </cell>
          <cell r="V212" t="str">
            <v>ESCATEL</v>
          </cell>
          <cell r="W212" t="str">
            <v>MANJARREZ URBANIZACIONES, S.A. DE C.V.</v>
          </cell>
          <cell r="X212" t="str">
            <v>MUR090325P33</v>
          </cell>
          <cell r="AD212">
            <v>42975</v>
          </cell>
          <cell r="AJ212">
            <v>3973341.33</v>
          </cell>
          <cell r="AL212" t="str">
            <v>Pavimentación de las calles Cofradía y Panteón, incluye: red de agua potable y de drenaje sanitario en la colonia La Venta del Astillero, municipio de Zapopan, Jalisco.</v>
          </cell>
          <cell r="AM212">
            <v>42975</v>
          </cell>
          <cell r="AN212">
            <v>43079</v>
          </cell>
          <cell r="AR212" t="str">
            <v>Remanentes del FAISM 2010-2015</v>
          </cell>
          <cell r="AS212" t="str">
            <v>Col. Venta del Astillero</v>
          </cell>
        </row>
        <row r="213">
          <cell r="B213" t="str">
            <v>Licitación por Invitación Restringida</v>
          </cell>
          <cell r="D213" t="str">
            <v>DOPI-MUN-R33R-PAV-CI-155-2017</v>
          </cell>
          <cell r="T213" t="str">
            <v xml:space="preserve">MARCO ANTONIO </v>
          </cell>
          <cell r="U213" t="str">
            <v>LOZANO</v>
          </cell>
          <cell r="V213" t="str">
            <v>ESTRADA</v>
          </cell>
          <cell r="W213" t="str">
            <v>DESARROLLADORA FULHAM S. DE R.L. DE C.V.</v>
          </cell>
          <cell r="X213" t="str">
            <v>DFU090928JB5</v>
          </cell>
          <cell r="AD213">
            <v>42975</v>
          </cell>
          <cell r="AJ213">
            <v>4555855.34</v>
          </cell>
          <cell r="AL213" t="str">
            <v>Pavimentación de la calle Manzanos y andadores en la colonia Agua Fría, municipio de Zapopan, Jalisco.</v>
          </cell>
          <cell r="AM213">
            <v>42975</v>
          </cell>
          <cell r="AN213">
            <v>43079</v>
          </cell>
          <cell r="AR213" t="str">
            <v>Remanentes del FAISM 2010-2015</v>
          </cell>
          <cell r="AS213" t="str">
            <v>Col. Agua Fria</v>
          </cell>
        </row>
        <row r="214">
          <cell r="B214" t="str">
            <v>Licitación por Invitación Restringida</v>
          </cell>
          <cell r="D214" t="str">
            <v>DOPI-MUN-R33R-DS-CI-157-2017</v>
          </cell>
          <cell r="T214" t="str">
            <v>CLAUDIO FELIPE</v>
          </cell>
          <cell r="U214" t="str">
            <v>TRUJILLO</v>
          </cell>
          <cell r="V214" t="str">
            <v>GRACIAN</v>
          </cell>
          <cell r="W214" t="str">
            <v>DESARROLLADORA LUMADI, S.A. DE C.V.</v>
          </cell>
          <cell r="X214" t="str">
            <v>DLU100818F46</v>
          </cell>
          <cell r="AD214">
            <v>42975</v>
          </cell>
          <cell r="AJ214">
            <v>4388451.67</v>
          </cell>
          <cell r="AL214" t="str">
            <v>Construcción de Colector y red de drenaje sanitario en las calles Naranjo, Mandarina, Chabacano, Limón, Manzano, Mango, Las Torres, Guamúchil y Capulín en la colonia Colinas del Rio, municipio de Zapopan, Jalisco. Frente 1.</v>
          </cell>
          <cell r="AM214">
            <v>42975</v>
          </cell>
          <cell r="AN214">
            <v>43079</v>
          </cell>
          <cell r="AR214" t="str">
            <v>Remanentes del FAISM 2010-2015</v>
          </cell>
          <cell r="AS214" t="str">
            <v>Col. Colinas del Rio</v>
          </cell>
        </row>
        <row r="215">
          <cell r="B215" t="str">
            <v>Licitación por Invitación Restringida</v>
          </cell>
          <cell r="D215" t="str">
            <v>DOPI-MUN-R33R-PAV-CI-158-2017</v>
          </cell>
          <cell r="T215" t="str">
            <v>JUAN JOSÉ</v>
          </cell>
          <cell r="U215" t="str">
            <v>GUTIÉRREZ</v>
          </cell>
          <cell r="V215" t="str">
            <v>CONTRERAS</v>
          </cell>
          <cell r="W215" t="str">
            <v>RENCOIST CONSTRUCCIÓNES, S.A. DE C.V.</v>
          </cell>
          <cell r="X215" t="str">
            <v>RCO130920JX9</v>
          </cell>
          <cell r="AD215">
            <v>42975</v>
          </cell>
          <cell r="AJ215">
            <v>3902689.29</v>
          </cell>
          <cell r="AL215" t="str">
            <v>Pavimentación con concreto hidráulico y complemento de las redes de agua potable y drenaje sanitario en calles de la colonia El Fresno, incluye: guarniciones, banquetas, servicios complementarios y señalética, en el municipio de Zapopan, Jalisco, primera etapa, frente 1.</v>
          </cell>
          <cell r="AM215">
            <v>42975</v>
          </cell>
          <cell r="AN215">
            <v>43079</v>
          </cell>
          <cell r="AR215" t="str">
            <v>Remanentes del FAISM 2010-2015</v>
          </cell>
          <cell r="AS215" t="str">
            <v>Col. El Fresno</v>
          </cell>
        </row>
        <row r="216">
          <cell r="B216" t="str">
            <v>Licitación por Invitación Restringida</v>
          </cell>
          <cell r="D216" t="str">
            <v>DOPI-MUN-R33R-DS-CI-159-2017</v>
          </cell>
          <cell r="T216" t="str">
            <v>ELVIA ALEJANDRA</v>
          </cell>
          <cell r="U216" t="str">
            <v>TORRES</v>
          </cell>
          <cell r="V216" t="str">
            <v>VILLA</v>
          </cell>
          <cell r="W216" t="str">
            <v>PROCOURZA, S.A. DE C.V.</v>
          </cell>
          <cell r="X216" t="str">
            <v>PRO0205208F2</v>
          </cell>
          <cell r="AD216">
            <v>42975</v>
          </cell>
          <cell r="AJ216">
            <v>4300702.76</v>
          </cell>
          <cell r="AL216" t="str">
            <v>Construcción de Red de drenaje sanitario y línea de alejamiento en calles de la Colonia Rancho El Colorado, municipio de Zapopan, Jalisco. Frente 1.</v>
          </cell>
          <cell r="AM216">
            <v>42975</v>
          </cell>
          <cell r="AN216">
            <v>43079</v>
          </cell>
          <cell r="AR216" t="str">
            <v>Remanentes del FAISM 2010-2015</v>
          </cell>
          <cell r="AS216" t="str">
            <v>Col. Rancho el Colorado</v>
          </cell>
        </row>
        <row r="217">
          <cell r="B217" t="str">
            <v>Licitación por Invitación Restringida</v>
          </cell>
          <cell r="D217" t="str">
            <v>DOPI-MUN-R33R-DS-CI-160-2017</v>
          </cell>
          <cell r="T217" t="str">
            <v>MARÍA ARCELIA</v>
          </cell>
          <cell r="U217" t="str">
            <v>IÑIGUEZ</v>
          </cell>
          <cell r="V217" t="str">
            <v>HERNÁNDEZ</v>
          </cell>
          <cell r="W217" t="str">
            <v>COMERCIALIZADORA POLIGONO, S..A DE C.V.</v>
          </cell>
          <cell r="X217" t="str">
            <v>COP1209104M8</v>
          </cell>
          <cell r="AD217">
            <v>42975</v>
          </cell>
          <cell r="AJ217">
            <v>4367052.4800000004</v>
          </cell>
          <cell r="AL217" t="str">
            <v>Construcción de Red de drenaje sanitario y línea de alejamiento en calles de la Colonia Rancho El Colorado, municipio de Zapopan, Jalisco. Frente 2.</v>
          </cell>
          <cell r="AM217">
            <v>42975</v>
          </cell>
          <cell r="AN217">
            <v>43079</v>
          </cell>
          <cell r="AR217" t="str">
            <v>Remanentes del FAISM 2010-2015</v>
          </cell>
          <cell r="AS217" t="str">
            <v>Col. Rancho el Colorado</v>
          </cell>
        </row>
        <row r="218">
          <cell r="B218" t="str">
            <v>Licitación por Invitación Restringida</v>
          </cell>
          <cell r="D218" t="str">
            <v>DOPI-MUN-R33R-DP-CI-161-2017</v>
          </cell>
          <cell r="T218" t="str">
            <v>JAVIER</v>
          </cell>
          <cell r="U218" t="str">
            <v xml:space="preserve">ÁVILA </v>
          </cell>
          <cell r="V218" t="str">
            <v>FLORES</v>
          </cell>
          <cell r="W218" t="str">
            <v>SAVHO CONSULTORÍA Y CONSTRUCCIÓN, S.A. DE C.V.</v>
          </cell>
          <cell r="X218" t="str">
            <v>SCC060622HZ3</v>
          </cell>
          <cell r="AD218">
            <v>42985</v>
          </cell>
          <cell r="AJ218">
            <v>3237831.14</v>
          </cell>
          <cell r="AL218" t="str">
            <v xml:space="preserve">Construcción de drenaje pluvial en la calle Santa Mercedez de Av. Tesistán a Av. Jesús, colonia Tuzania Ejidal, municipio de Zapopan, Jalisco. </v>
          </cell>
          <cell r="AM218">
            <v>42986</v>
          </cell>
          <cell r="AN218">
            <v>43083</v>
          </cell>
          <cell r="AR218" t="str">
            <v>Remanentes del FAISM 2010-2015</v>
          </cell>
          <cell r="AS218" t="str">
            <v>Colonia Tuzania Ejidal</v>
          </cell>
        </row>
        <row r="219">
          <cell r="B219" t="str">
            <v>Licitación por Invitación Restringida</v>
          </cell>
          <cell r="D219" t="str">
            <v>DOPI-MUN-R33R-IH-CI-162-2017</v>
          </cell>
          <cell r="T219" t="str">
            <v>JAVIER</v>
          </cell>
          <cell r="U219" t="str">
            <v>CHACON</v>
          </cell>
          <cell r="V219" t="str">
            <v>BENAVIDES</v>
          </cell>
          <cell r="W219" t="str">
            <v>CIARCO CONSTRUCTORA, S.A. DE C.V.</v>
          </cell>
          <cell r="X219" t="str">
            <v>CCO9407296S3</v>
          </cell>
          <cell r="AD219">
            <v>42985</v>
          </cell>
          <cell r="AJ219">
            <v>2278926.08</v>
          </cell>
          <cell r="AL219" t="str">
            <v>Construcción de línea de conducción y rehabilitación de tanques en las colonias San Isidro y San Esteban, municipio de Zapopan, Jalisco.</v>
          </cell>
          <cell r="AM219">
            <v>42986</v>
          </cell>
          <cell r="AN219">
            <v>43075</v>
          </cell>
          <cell r="AR219" t="str">
            <v>Remanentes del FAISM 2010-2015</v>
          </cell>
          <cell r="AS219" t="str">
            <v>Colonias San Isidro y San Esteban</v>
          </cell>
        </row>
        <row r="220">
          <cell r="B220" t="str">
            <v>Licitación Pública</v>
          </cell>
          <cell r="D220" t="str">
            <v>DOPI-EST-FOCOCI-IU-LP-164-2017</v>
          </cell>
          <cell r="T220" t="str">
            <v>ERNESTO</v>
          </cell>
          <cell r="U220" t="str">
            <v>OLIVARES</v>
          </cell>
          <cell r="V220" t="str">
            <v>ÁLVAREZ</v>
          </cell>
          <cell r="W220" t="str">
            <v>SERVICIOS METROPOLITANOS DE JALISCO, S.A. DE C.V.</v>
          </cell>
          <cell r="X220" t="str">
            <v>SMJ090317FS9</v>
          </cell>
          <cell r="AD220">
            <v>43014</v>
          </cell>
          <cell r="AJ220">
            <v>13203258.699999999</v>
          </cell>
          <cell r="AL220" t="str">
            <v>Rehabilitación del Parque Unidad de Manejo Ambiental Villa Fantasía, en la colonia Tepeyac, frente 1, (ingreso, cafetería, área lúdica pedagógica y áreas exteriores), en el municipio de Zapopan, Jalisco.</v>
          </cell>
          <cell r="AM220">
            <v>43014</v>
          </cell>
          <cell r="AN220">
            <v>43100</v>
          </cell>
          <cell r="AR220" t="str">
            <v>FONDO COMÚN CONCURSABLE PARA LA INFRAESTRUCTURA 2017</v>
          </cell>
          <cell r="AS220" t="str">
            <v>Colonia Tepeyac</v>
          </cell>
        </row>
        <row r="221">
          <cell r="B221" t="str">
            <v>Licitación Pública</v>
          </cell>
          <cell r="D221" t="str">
            <v>DOPI-EST-FOCOCI-IU-LP-165-2017</v>
          </cell>
          <cell r="T221" t="str">
            <v>IGNACIO JAVIER</v>
          </cell>
          <cell r="U221" t="str">
            <v>CURIEL</v>
          </cell>
          <cell r="V221" t="str">
            <v>DUEÑAS</v>
          </cell>
          <cell r="W221" t="str">
            <v>TC CONSTRUCCIÓN Y MANTENIMIENTO, S.A. DE C.V.</v>
          </cell>
          <cell r="X221" t="str">
            <v>TCM100915HA1</v>
          </cell>
          <cell r="AD221">
            <v>43014</v>
          </cell>
          <cell r="AJ221">
            <v>7332126.9800000004</v>
          </cell>
          <cell r="AL221" t="str">
            <v>Rehabilitación del Parque Unidad de Manejo Ambiental Villa Fantasía, en la colonia Tepeyac, frente 2, (clínica, edificio administrativo y módulo de baños), en el municipio de Zapopan, Jalisco.</v>
          </cell>
          <cell r="AM221">
            <v>43014</v>
          </cell>
          <cell r="AN221">
            <v>43100</v>
          </cell>
          <cell r="AR221" t="str">
            <v>FONDO COMÚN CONCURSABLE PARA LA INFRAESTRUCTURA 2017</v>
          </cell>
          <cell r="AS221" t="str">
            <v>Colonia Tepeyac</v>
          </cell>
        </row>
        <row r="222">
          <cell r="B222" t="str">
            <v>Licitación Pública</v>
          </cell>
          <cell r="D222" t="str">
            <v>DOPI-EST-FOCOCI-IU-LP-166-2017</v>
          </cell>
          <cell r="T222" t="str">
            <v>ERICK</v>
          </cell>
          <cell r="U222" t="str">
            <v>VILLASEÑOR</v>
          </cell>
          <cell r="V222" t="str">
            <v>GUTIÉRREZ</v>
          </cell>
          <cell r="W222" t="str">
            <v>PIXIDE CONSTRUCTORA, S.A. DE C.V.</v>
          </cell>
          <cell r="X222" t="str">
            <v>PCO140829425</v>
          </cell>
          <cell r="AD222">
            <v>43014</v>
          </cell>
          <cell r="AJ222">
            <v>5976486.5099999998</v>
          </cell>
          <cell r="AL222" t="str">
            <v>Rehabilitación del Parque Unidad de Manejo Ambiental Villa Fantasía, en la colonia Tepeyac, frente 3, (hábitats zona 1), en el municipio de Zapopan, Jalisco.</v>
          </cell>
          <cell r="AM222">
            <v>43014</v>
          </cell>
          <cell r="AN222">
            <v>43100</v>
          </cell>
          <cell r="AR222" t="str">
            <v>FONDO COMÚN CONCURSABLE PARA LA INFRAESTRUCTURA 2017</v>
          </cell>
          <cell r="AS222" t="str">
            <v>Colonia Tepeyac</v>
          </cell>
        </row>
        <row r="223">
          <cell r="B223" t="str">
            <v>Licitación Pública</v>
          </cell>
          <cell r="D223" t="str">
            <v>DOPI-EST-FOCOCI-IU-LP-167-2017</v>
          </cell>
          <cell r="T223" t="str">
            <v>CARLOS IGNACIO</v>
          </cell>
          <cell r="U223" t="str">
            <v>CURIEL</v>
          </cell>
          <cell r="V223" t="str">
            <v>DUEÑAS</v>
          </cell>
          <cell r="W223" t="str">
            <v>CONSTRUCTORA CECUCHI, S.A. DE C.V.</v>
          </cell>
          <cell r="X223" t="str">
            <v>CCE130723IR7</v>
          </cell>
          <cell r="AD223">
            <v>43014</v>
          </cell>
          <cell r="AJ223">
            <v>5139138.4800000004</v>
          </cell>
          <cell r="AL223" t="str">
            <v>Rehabilitación del Parque Unidad de Manejo Ambiental Villa Fantasía, en la colonia Tepeyac, frente 4, (hábitats zona 2), en el municipio de Zapopan, Jalisco.</v>
          </cell>
          <cell r="AM223">
            <v>43014</v>
          </cell>
          <cell r="AN223">
            <v>43100</v>
          </cell>
          <cell r="AR223" t="str">
            <v>FONDO COMÚN CONCURSABLE PARA LA INFRAESTRUCTURA 2017</v>
          </cell>
          <cell r="AS223" t="str">
            <v>Colonia Tepeyac</v>
          </cell>
        </row>
        <row r="224">
          <cell r="B224" t="str">
            <v>Licitación Pública</v>
          </cell>
          <cell r="D224" t="str">
            <v>DOPI-EST-CONVSCT-PAV-LP-168-2017</v>
          </cell>
          <cell r="T224" t="str">
            <v>MIGUEL ÁNGEL</v>
          </cell>
          <cell r="U224" t="str">
            <v>ROMERO</v>
          </cell>
          <cell r="V224" t="str">
            <v>LUGO</v>
          </cell>
          <cell r="W224" t="str">
            <v>OBRAS Y COMERCIALIZACION DE LA CONSTRUCCIÓN, S.A. DE C.V.</v>
          </cell>
          <cell r="X224" t="str">
            <v>OCC940714PB0</v>
          </cell>
          <cell r="AD224">
            <v>43014</v>
          </cell>
          <cell r="AJ224">
            <v>16736200.74</v>
          </cell>
          <cell r="AL224" t="str">
            <v>Construcción, cimentación, apoyos y cabezales del retorno elevado en la carretera Guadalajara-Tepic km 11+650, municipio de Zapopan, Jalisco.</v>
          </cell>
          <cell r="AM224">
            <v>43014</v>
          </cell>
          <cell r="AN224">
            <v>43100</v>
          </cell>
          <cell r="AR224" t="str">
            <v>CONVENIO DE COLABORACIÓN MUNICIPIO-ESTADO-SCT</v>
          </cell>
          <cell r="AS224" t="str">
            <v>Colonia Rancho Contento</v>
          </cell>
        </row>
        <row r="225">
          <cell r="B225" t="str">
            <v>Licitación Pública</v>
          </cell>
          <cell r="D225" t="str">
            <v>DOPI-FED-FF-PAV-LP-169-2017</v>
          </cell>
          <cell r="T225" t="str">
            <v>J. GERARDO</v>
          </cell>
          <cell r="U225" t="str">
            <v>NICANOR</v>
          </cell>
          <cell r="V225" t="str">
            <v>MEJIA MARISCAL</v>
          </cell>
          <cell r="W225" t="str">
            <v>INECO CONSTRUYE, S.A. DE C.V.</v>
          </cell>
          <cell r="X225" t="str">
            <v>ICO980722MQ4</v>
          </cell>
          <cell r="AD225">
            <v>43031</v>
          </cell>
          <cell r="AJ225">
            <v>4498449.34</v>
          </cell>
          <cell r="AL225" t="str">
            <v xml:space="preserve">Pavimentación de Av. Guadalajara con concreto hidráulico tramo 1, en la colonia Nuevo México, municipio de Zapopan, Jalisco. </v>
          </cell>
          <cell r="AM225">
            <v>43031</v>
          </cell>
          <cell r="AN225">
            <v>43106</v>
          </cell>
          <cell r="AR225" t="str">
            <v>FONDO PARA EL FORTALECIMIENTO FINANCIERO PARA LA INVERSIÓN (FORTALECIMIENTO) 2017 “D”</v>
          </cell>
          <cell r="AS225" t="str">
            <v>Colonia Nuevo México</v>
          </cell>
        </row>
        <row r="226">
          <cell r="B226" t="str">
            <v>Licitación Pública</v>
          </cell>
          <cell r="D226" t="str">
            <v>DOPI-FED-FF-PAV-LP-170-2017</v>
          </cell>
          <cell r="T226" t="str">
            <v>RICARDO</v>
          </cell>
          <cell r="U226" t="str">
            <v>TECANHUEY</v>
          </cell>
          <cell r="V226" t="str">
            <v>LARIOS</v>
          </cell>
          <cell r="W226" t="str">
            <v>MQ RENTAL, S.A. DE C.V.</v>
          </cell>
          <cell r="X226" t="str">
            <v>MRE151124EK1</v>
          </cell>
          <cell r="AD226">
            <v>43031</v>
          </cell>
          <cell r="AJ226">
            <v>3719168.56</v>
          </cell>
          <cell r="AL226" t="str">
            <v xml:space="preserve">Pavimentación de Av. Guadalajara con concreto hidráulico tramo 2, en la colonia Nuevo México, municipio de Zapopan, Jalisco. </v>
          </cell>
          <cell r="AM226">
            <v>43031</v>
          </cell>
          <cell r="AN226">
            <v>43106</v>
          </cell>
          <cell r="AR226" t="str">
            <v>FONDO PARA EL FORTALECIMIENTO FINANCIERO PARA LA INVERSIÓN (FORTALECIMIENTO) 2017 “D”</v>
          </cell>
          <cell r="AS226" t="str">
            <v>Colonia Nuevo México</v>
          </cell>
        </row>
        <row r="227">
          <cell r="B227" t="str">
            <v>Licitación Pública</v>
          </cell>
          <cell r="D227" t="str">
            <v>DOPI-FED-FF-PAV-LP-171-2017</v>
          </cell>
          <cell r="T227" t="str">
            <v>HAYDEE LILIANA</v>
          </cell>
          <cell r="U227" t="str">
            <v>AGUILAR</v>
          </cell>
          <cell r="V227" t="str">
            <v>CASSIAN</v>
          </cell>
          <cell r="W227" t="str">
            <v>EDIFICA 2001, S.A. DE C.V.</v>
          </cell>
          <cell r="X227" t="str">
            <v>EDM970225I68</v>
          </cell>
          <cell r="AD227">
            <v>43031</v>
          </cell>
          <cell r="AJ227">
            <v>4685823.0999999996</v>
          </cell>
          <cell r="AL227" t="str">
            <v>Pavimentación de conexión vial Centro Cultural Constitución – Auditorio Telmex, con pavimento asfáltico, tramo 1 (Calz. Constituyentes – Calle Obreros de Cananea) en la colonia Constitución, municipio de Zapopan, Jalisco, frente 1.</v>
          </cell>
          <cell r="AM227">
            <v>43031</v>
          </cell>
          <cell r="AN227">
            <v>43106</v>
          </cell>
          <cell r="AR227" t="str">
            <v>FONDO PARA EL FORTALECIMIENTO FINANCIERO PARA LA INVERSIÓN (FORTALECIMIENTO) 2017 “D”</v>
          </cell>
          <cell r="AS227" t="str">
            <v>Colonia Constitución</v>
          </cell>
        </row>
        <row r="228">
          <cell r="B228" t="str">
            <v>Licitación Pública</v>
          </cell>
          <cell r="D228" t="str">
            <v>DOPI-FED-FF-PAV-LP-172-2017</v>
          </cell>
          <cell r="T228" t="str">
            <v>ALEX</v>
          </cell>
          <cell r="U228" t="str">
            <v>MEDINA</v>
          </cell>
          <cell r="V228" t="str">
            <v>GÓMEZ</v>
          </cell>
          <cell r="W228" t="str">
            <v xml:space="preserve">MEDGAR CONSTRUCCIONES, S.A. </v>
          </cell>
          <cell r="X228" t="str">
            <v>MCO150527NY3</v>
          </cell>
          <cell r="AD228">
            <v>43031</v>
          </cell>
          <cell r="AJ228">
            <v>4716160.6900000004</v>
          </cell>
          <cell r="AL228" t="str">
            <v>Pavimentación de conexión vial Centro Cultural Constitución – Auditorio Telmex, con pavimento asfáltico, tramo 1 (Calz. Constituyentes – Calle Obreros de Cananea) en la colonia Constitución, municipio de Zapopan, Jalisco, frente 2.</v>
          </cell>
          <cell r="AM228">
            <v>43031</v>
          </cell>
          <cell r="AN228">
            <v>43106</v>
          </cell>
          <cell r="AR228" t="str">
            <v>FONDO PARA EL FORTALECIMIENTO FINANCIERO PARA LA INVERSIÓN (FORTALECIMIENTO) 2017 “D”</v>
          </cell>
          <cell r="AS228" t="str">
            <v>Colonia Constitución</v>
          </cell>
        </row>
        <row r="229">
          <cell r="B229" t="str">
            <v>Licitación Pública</v>
          </cell>
          <cell r="D229" t="str">
            <v>DOPI-FED-FF-PAV-LP-173-2017</v>
          </cell>
          <cell r="T229" t="str">
            <v>VICTOR MANUEL</v>
          </cell>
          <cell r="U229" t="str">
            <v>JAUREGUI</v>
          </cell>
          <cell r="V229" t="str">
            <v>TORRES</v>
          </cell>
          <cell r="W229" t="str">
            <v>CONSTRUCTORA ERLORT Y ASOCIADOS, S.A. DE C.V.</v>
          </cell>
          <cell r="X229" t="str">
            <v>CEA070208SB1</v>
          </cell>
          <cell r="AD229">
            <v>43031</v>
          </cell>
          <cell r="AJ229">
            <v>4987550.67</v>
          </cell>
          <cell r="AL229" t="str">
            <v>Pavimentación de conexión vial Centro Cultural Constitución – Auditorio Telmex, con pavimento asfáltico, tramo 2 (Calz. Constituyentes – Calle Obreros de Cananea) en la colonia Constitución, municipio de Zapopan, Jalisco, frente 1.</v>
          </cell>
          <cell r="AM229">
            <v>43031</v>
          </cell>
          <cell r="AN229">
            <v>43106</v>
          </cell>
          <cell r="AR229" t="str">
            <v>FONDO PARA EL FORTALECIMIENTO FINANCIERO PARA LA INVERSIÓN (FORTALECIMIENTO) 2017 “D”</v>
          </cell>
          <cell r="AS229" t="str">
            <v>Colonia Constitución</v>
          </cell>
        </row>
        <row r="230">
          <cell r="B230" t="str">
            <v>Licitación Pública</v>
          </cell>
          <cell r="D230" t="str">
            <v>DOPI-FED-FF-PAV-LP-174-2017</v>
          </cell>
          <cell r="T230" t="str">
            <v>CARLOS IGNACIO</v>
          </cell>
          <cell r="U230" t="str">
            <v>CURIEL</v>
          </cell>
          <cell r="V230" t="str">
            <v>DUEÑAS</v>
          </cell>
          <cell r="W230" t="str">
            <v>CONSTRUCTORA CECUCHI, S.A. DE C.V.</v>
          </cell>
          <cell r="X230" t="str">
            <v>CCE130723IR7</v>
          </cell>
          <cell r="AD230">
            <v>43031</v>
          </cell>
          <cell r="AJ230">
            <v>4697747.84</v>
          </cell>
          <cell r="AL230" t="str">
            <v>Pavimentación de conexión vial Centro Cultural Constitución – Auditorio Telmex, con pavimento asfáltico, tramo 2 (Calz. Constituyentes – Calle Obreros de Cananea) en la colonia Constitución, municipio de Zapopan, Jalisco, frente 2.</v>
          </cell>
          <cell r="AM230">
            <v>43031</v>
          </cell>
          <cell r="AN230">
            <v>43106</v>
          </cell>
          <cell r="AR230" t="str">
            <v>FONDO PARA EL FORTALECIMIENTO FINANCIERO PARA LA INVERSIÓN (FORTALECIMIENTO) 2017 “D”</v>
          </cell>
          <cell r="AS230" t="str">
            <v>Colonia Constitución</v>
          </cell>
        </row>
        <row r="231">
          <cell r="B231" t="str">
            <v>Licitación Pública</v>
          </cell>
          <cell r="D231" t="str">
            <v>DOPI-FED-FF-PAV-LP-175-2017</v>
          </cell>
          <cell r="T231" t="str">
            <v>JULIO EDUARDO</v>
          </cell>
          <cell r="U231" t="str">
            <v>LÓPEZ</v>
          </cell>
          <cell r="V231" t="str">
            <v>PÉREZ</v>
          </cell>
          <cell r="W231" t="str">
            <v>PROYECTOS E INSUMOS INDUSTRIALES JELP, S.A. DE C.V.</v>
          </cell>
          <cell r="X231" t="str">
            <v>PEI020208RW0</v>
          </cell>
          <cell r="AD231">
            <v>43031</v>
          </cell>
          <cell r="AJ231">
            <v>4149575.14</v>
          </cell>
          <cell r="AL231" t="str">
            <v>Pavimentación con concreto hidráulico de la Av. Royal Country, segunda etapa, en los fraccionamientos Royal Country, Puerta de Hierro y Puerta Plata, municipio de Zapopan, Jalisco, frente 1.</v>
          </cell>
          <cell r="AM231">
            <v>43031</v>
          </cell>
          <cell r="AN231">
            <v>43106</v>
          </cell>
          <cell r="AR231" t="str">
            <v>FONDO PARA EL FORTALECIMIENTO FINANCIERO PARA LA INVERSIÓN (FORTALECIMIENTO) 2017 “D”</v>
          </cell>
          <cell r="AS231" t="str">
            <v>Colonia Puerta Plata</v>
          </cell>
        </row>
        <row r="232">
          <cell r="B232" t="str">
            <v>Licitación Pública</v>
          </cell>
          <cell r="D232" t="str">
            <v>DOPI-FED-FF-PAV-LP-176-2017</v>
          </cell>
          <cell r="T232" t="str">
            <v>J. GERARDO</v>
          </cell>
          <cell r="U232" t="str">
            <v>NICANOR</v>
          </cell>
          <cell r="V232" t="str">
            <v>MEJIA MARISCAL</v>
          </cell>
          <cell r="W232" t="str">
            <v>INECO CONSTRUYE, S.A. DE C.V.</v>
          </cell>
          <cell r="X232" t="str">
            <v>ICO980722MQ4</v>
          </cell>
          <cell r="AD232">
            <v>43031</v>
          </cell>
          <cell r="AJ232">
            <v>3737898.1</v>
          </cell>
          <cell r="AL232" t="str">
            <v>Pavimentación con concreto hidráulico de la Av. Royal Country, segunda etapa, en los fraccionamientos Royal Country, Puerta de Hierro y Puerta Plata, municipio de Zapopan, Jalisco, frente 2.</v>
          </cell>
          <cell r="AM232">
            <v>43031</v>
          </cell>
          <cell r="AN232">
            <v>43106</v>
          </cell>
          <cell r="AR232" t="str">
            <v>FONDO PARA EL FORTALECIMIENTO FINANCIERO PARA LA INVERSIÓN (FORTALECIMIENTO) 2017 “D”</v>
          </cell>
          <cell r="AS232" t="str">
            <v>Colonia Puerta Plata</v>
          </cell>
        </row>
        <row r="233">
          <cell r="B233" t="str">
            <v>Licitación Pública</v>
          </cell>
          <cell r="D233" t="str">
            <v>DOPI-FED-FF-PAV-LP-177-2017</v>
          </cell>
          <cell r="T233" t="str">
            <v>ERICK</v>
          </cell>
          <cell r="U233" t="str">
            <v>VILLASEÑOR</v>
          </cell>
          <cell r="V233" t="str">
            <v>GUTIÉRREZ</v>
          </cell>
          <cell r="W233" t="str">
            <v>PIXIDE CONSTRUCTORA, S.A. DE C.V.</v>
          </cell>
          <cell r="X233" t="str">
            <v>PCO140829425</v>
          </cell>
          <cell r="AD233">
            <v>43031</v>
          </cell>
          <cell r="AJ233">
            <v>3294425.04</v>
          </cell>
          <cell r="AL233" t="str">
            <v>Pavimentación de vialidad de acceso a la Unidad Deportiva Villa de Guadalupe, calle San Pedro y calle Febronio Lara, en la colonia Villa de Guadalupe, municipio de Zapopan, Jalisco, frente 1.</v>
          </cell>
          <cell r="AM233">
            <v>43031</v>
          </cell>
          <cell r="AN233">
            <v>43106</v>
          </cell>
          <cell r="AR233" t="str">
            <v>FONDO PARA EL FORTALECIMIENTO FINANCIERO PARA LA INVERSIÓN (FORTALECIMIENTO) 2017 “D”</v>
          </cell>
          <cell r="AS233" t="str">
            <v>Colonia Villa de Guadalupe</v>
          </cell>
        </row>
        <row r="234">
          <cell r="B234" t="str">
            <v>Licitación Pública</v>
          </cell>
          <cell r="D234" t="str">
            <v>DOPI-FED-FF-PAV-LP-178-2017</v>
          </cell>
          <cell r="T234" t="str">
            <v>FELIPE DANIEL II</v>
          </cell>
          <cell r="U234" t="str">
            <v>NUÑEZ</v>
          </cell>
          <cell r="V234" t="str">
            <v>PINZON</v>
          </cell>
          <cell r="W234" t="str">
            <v>GRUPO NUVECO, S.A. DE C.V.</v>
          </cell>
          <cell r="X234" t="str">
            <v>GNU120809KX1</v>
          </cell>
          <cell r="AD234">
            <v>43031</v>
          </cell>
          <cell r="AJ234">
            <v>3727363.88</v>
          </cell>
          <cell r="AL234" t="str">
            <v>Pavimentación de vialidad de acceso a la Unidad Deportiva Villa de Guadalupe, calle San Pedro y calle Febronio Lara, en la colonia Villa de Guadalupe, municipio de Zapopan, Jalisco, frente 2.</v>
          </cell>
          <cell r="AM234">
            <v>43031</v>
          </cell>
          <cell r="AN234">
            <v>43106</v>
          </cell>
          <cell r="AR234" t="str">
            <v>FONDO PARA EL FORTALECIMIENTO FINANCIERO PARA LA INVERSIÓN (FORTALECIMIENTO) 2017 “D”</v>
          </cell>
          <cell r="AS234" t="str">
            <v>Colonia Villa de Guadalupe</v>
          </cell>
        </row>
        <row r="235">
          <cell r="B235" t="str">
            <v>Licitación por Invitación Restringida</v>
          </cell>
          <cell r="D235" t="str">
            <v>DOPI-MUN-RM-SP-CI-184-2017</v>
          </cell>
          <cell r="T235" t="str">
            <v>HÉCTOR MARIO</v>
          </cell>
          <cell r="U235" t="str">
            <v xml:space="preserve">CHAVIRA </v>
          </cell>
          <cell r="V235" t="str">
            <v>PEÑA</v>
          </cell>
          <cell r="W235" t="str">
            <v>HEMAC TELEINFORMATICA, S.A DE C.V.</v>
          </cell>
          <cell r="X235" t="str">
            <v>HTE990426RR1</v>
          </cell>
          <cell r="AD235">
            <v>43031</v>
          </cell>
          <cell r="AJ235">
            <v>134997173.33000001</v>
          </cell>
          <cell r="AL235" t="str">
            <v>Elaboración de proyecto, obra complementaria suministro de equipos y puesta en marcha del Centro de comando, control, comunicaciones, cómputo y coordinación del complejo C4 en el Edificio de Seguridad Pública en Zapopan, Jalisco.</v>
          </cell>
          <cell r="AM235">
            <v>43031</v>
          </cell>
          <cell r="AN235">
            <v>43179</v>
          </cell>
          <cell r="AR235" t="str">
            <v>Recurso Propio</v>
          </cell>
          <cell r="AS235" t="str">
            <v>Colonia Villa de los Belenes</v>
          </cell>
        </row>
        <row r="236">
          <cell r="B236" t="str">
            <v>Invitación a Cuando Menos Tres Personas</v>
          </cell>
          <cell r="D236" t="str">
            <v>DOPI-FED-FF-PAV-CI-185-2017</v>
          </cell>
          <cell r="T236" t="str">
            <v>JOSÉ OMAR</v>
          </cell>
          <cell r="U236" t="str">
            <v>FERNÁNDEZ</v>
          </cell>
          <cell r="V236" t="str">
            <v>VÁZQUEZ</v>
          </cell>
          <cell r="W236" t="str">
            <v>EXTRA CONSTRUCCIÓNES, S.A. DE C.V.</v>
          </cell>
          <cell r="X236" t="str">
            <v>ECO0908115Z7</v>
          </cell>
          <cell r="AD236">
            <v>43031</v>
          </cell>
          <cell r="AJ236">
            <v>2964448.14</v>
          </cell>
          <cell r="AL236" t="str">
            <v>Pavimentación de vialidad de acceso al Centro de Desarrollo Comunitario Miramar, calle Prolongación Guadalupe, en las colonias Miramar y Carlos Rivera Aceves, municipio de Zapopan, Jalisco.</v>
          </cell>
          <cell r="AM236">
            <v>43031</v>
          </cell>
          <cell r="AN236">
            <v>43106</v>
          </cell>
          <cell r="AR236" t="str">
            <v>FONDO PARA EL FORTALECIMIENTO FINANCIERO PARA LA INVERSIÓN (FORTALECIMIENTO) 2017 “D”</v>
          </cell>
          <cell r="AS236" t="str">
            <v>Colonia Miramar</v>
          </cell>
        </row>
        <row r="237">
          <cell r="B237" t="str">
            <v>Invitación a Cuando Menos Tres Personas</v>
          </cell>
          <cell r="D237" t="str">
            <v>DOPI-FED-FF-PAV-CI-186-2017</v>
          </cell>
          <cell r="T237" t="str">
            <v>JUAN JOSÉ</v>
          </cell>
          <cell r="U237" t="str">
            <v>GUTIÉRREZ</v>
          </cell>
          <cell r="V237" t="str">
            <v>CONTRERAS</v>
          </cell>
          <cell r="W237" t="str">
            <v>RENCOIST CONSTRUCCIÓNES, S.A. DE C.V.</v>
          </cell>
          <cell r="X237" t="str">
            <v>RCO130920JX9</v>
          </cell>
          <cell r="AD237">
            <v>43031</v>
          </cell>
          <cell r="AJ237">
            <v>3951124.41</v>
          </cell>
          <cell r="AL237" t="str">
            <v>Pavimentación de vialidad de acceso al Centro de Desarrollo Comunitario San Juan de Ocotán, calle 16 de Septiembre, en San Juan de Ocotán, municipio de Zapopan, Jalisco.</v>
          </cell>
          <cell r="AM237">
            <v>43031</v>
          </cell>
          <cell r="AN237">
            <v>43106</v>
          </cell>
          <cell r="AR237" t="str">
            <v>FONDO PARA EL FORTALECIMIENTO FINANCIERO PARA LA INVERSIÓN (FORTALECIMIENTO) 2017 “D”</v>
          </cell>
          <cell r="AS237" t="str">
            <v>San Juan de Ocotán</v>
          </cell>
        </row>
        <row r="238">
          <cell r="B238" t="str">
            <v>Invitación a Cuando Menos Tres Personas</v>
          </cell>
          <cell r="D238" t="str">
            <v>DOPI-FED-FF-PAV-CI-187-2017</v>
          </cell>
          <cell r="T238" t="str">
            <v xml:space="preserve"> BERNARDO </v>
          </cell>
          <cell r="U238" t="str">
            <v xml:space="preserve">SAENZ </v>
          </cell>
          <cell r="V238" t="str">
            <v>BARBA</v>
          </cell>
          <cell r="W238" t="str">
            <v>GRUPO EDIFICADOR MAYAB, S.A. DE C.V.</v>
          </cell>
          <cell r="X238" t="str">
            <v>GEM070112PX8</v>
          </cell>
          <cell r="AD238">
            <v>43031</v>
          </cell>
          <cell r="AJ238">
            <v>3457394.66</v>
          </cell>
          <cell r="AL238" t="str">
            <v>Pavimentación de vialidad de acceso a la Unidad Paseos del Briseño, calle Magnolia, en las colonias Paseos del Briseño y Agrícola, municipio de Zapopan, Jalisco.</v>
          </cell>
          <cell r="AM238">
            <v>43031</v>
          </cell>
          <cell r="AN238">
            <v>43106</v>
          </cell>
          <cell r="AR238" t="str">
            <v>FONDO PARA EL FORTALECIMIENTO FINANCIERO PARA LA INVERSIÓN (FORTALECIMIENTO) 2017 “D”</v>
          </cell>
          <cell r="AS238" t="str">
            <v>Colonias Paseos del Briseño y Agrícola</v>
          </cell>
        </row>
        <row r="239">
          <cell r="B239" t="str">
            <v>Invitación a Cuando Menos Tres Personas</v>
          </cell>
          <cell r="D239" t="str">
            <v>DOPI-FED-FF-PAV-CI-188-2017</v>
          </cell>
          <cell r="T239" t="str">
            <v>ÁNGEL SALOMÓN</v>
          </cell>
          <cell r="U239" t="str">
            <v>RINCÓN</v>
          </cell>
          <cell r="V239" t="str">
            <v>DE LA ROSA</v>
          </cell>
          <cell r="W239" t="str">
            <v>ARO ASFALTOS Y RIEGOS DE OCCIDENTE, S.A. DE C.V.</v>
          </cell>
          <cell r="X239" t="str">
            <v>AAR120507VA9</v>
          </cell>
          <cell r="AD239">
            <v>43031</v>
          </cell>
          <cell r="AJ239">
            <v>3951449.09</v>
          </cell>
          <cell r="AL239" t="str">
            <v>Reencarpetado y peatonalización de vialidad de acceso a la Unidad Deportiva Santa María del Pueblito, calle independencia, en Santa María del Pueblito, municipio de Zapopan, Jalisco.</v>
          </cell>
          <cell r="AM239">
            <v>43031</v>
          </cell>
          <cell r="AN239">
            <v>43106</v>
          </cell>
          <cell r="AR239" t="str">
            <v>FONDO PARA EL FORTALECIMIENTO FINANCIERO PARA LA INVERSIÓN (FORTALECIMIENTO) 2017 “D”</v>
          </cell>
          <cell r="AS239" t="str">
            <v>Colonia Santa Maria del Pueblito</v>
          </cell>
        </row>
        <row r="240">
          <cell r="B240" t="str">
            <v>Invitación a Cuando Menos Tres Personas</v>
          </cell>
          <cell r="D240" t="str">
            <v>DOPI-FED-FF-PAV-CI-189-2017</v>
          </cell>
          <cell r="T240" t="str">
            <v>RODRIGO</v>
          </cell>
          <cell r="U240" t="str">
            <v>RAMOS</v>
          </cell>
          <cell r="V240" t="str">
            <v>GARIBI</v>
          </cell>
          <cell r="W240" t="str">
            <v>METRO ASFALTOS, S.A. DE C.V.</v>
          </cell>
          <cell r="X240" t="str">
            <v>CMA070307RU6</v>
          </cell>
          <cell r="AD240">
            <v>43031</v>
          </cell>
          <cell r="AJ240">
            <v>988095.31</v>
          </cell>
          <cell r="AL240" t="str">
            <v>Reencarpetado y peatonalización de vialidad de acceso a la Unidad Deportiva Santa Margarita, calle Santa Matilde, en la colonia Santa Margarita, municipio de Zapopan, Jalisco.</v>
          </cell>
          <cell r="AM240">
            <v>43031</v>
          </cell>
          <cell r="AN240">
            <v>43106</v>
          </cell>
          <cell r="AR240" t="str">
            <v>FONDO PARA EL FORTALECIMIENTO FINANCIERO PARA LA INVERSIÓN (FORTALECIMIENTO) 2017 “D”</v>
          </cell>
          <cell r="AS240" t="str">
            <v>Colonia Santa Margarita</v>
          </cell>
        </row>
        <row r="241">
          <cell r="B241" t="str">
            <v>Invitación a Cuando Menos Tres Personas</v>
          </cell>
          <cell r="D241" t="str">
            <v>DOPI-FED-FF-DS-CI-190-2017</v>
          </cell>
          <cell r="T241" t="str">
            <v>CARLOS</v>
          </cell>
          <cell r="U241" t="str">
            <v>PÉREZ</v>
          </cell>
          <cell r="V241" t="str">
            <v>CRUZ</v>
          </cell>
          <cell r="W241" t="str">
            <v>CONSTRUCTORA PECRU, S.A. DE C.V.</v>
          </cell>
          <cell r="X241" t="str">
            <v>CPE070123PD4</v>
          </cell>
          <cell r="AD241">
            <v>43031</v>
          </cell>
          <cell r="AJ241">
            <v>3950882.69</v>
          </cell>
          <cell r="AL241" t="str">
            <v>Construcción de colector pluvial sobre la calle Cuarta Poniente, en la colonia Nuevo México, municipio de Zapopan, Jalisco.</v>
          </cell>
          <cell r="AM241">
            <v>43031</v>
          </cell>
          <cell r="AN241">
            <v>43106</v>
          </cell>
          <cell r="AR241" t="str">
            <v>FONDO PARA EL FORTALECIMIENTO FINANCIERO PARA LA INVERSIÓN (FORTALECIMIENTO) 2017 “D”</v>
          </cell>
          <cell r="AS241" t="str">
            <v>Colonia Nuevo México</v>
          </cell>
        </row>
        <row r="242">
          <cell r="B242" t="str">
            <v>Invitación a Cuando Menos Tres Personas</v>
          </cell>
          <cell r="D242" t="str">
            <v>DOPI-FED-FF-DS-CI-191-2017</v>
          </cell>
          <cell r="T242" t="str">
            <v>ALFREDO</v>
          </cell>
          <cell r="U242" t="str">
            <v>AGUIRRE</v>
          </cell>
          <cell r="V242" t="str">
            <v>MONTOYA</v>
          </cell>
          <cell r="W242" t="str">
            <v>TORRES AGUIRRE INGENIEROS, S.A. DE C.V.</v>
          </cell>
          <cell r="X242" t="str">
            <v>TAI920312952</v>
          </cell>
          <cell r="AD242">
            <v>43031</v>
          </cell>
          <cell r="AJ242">
            <v>3993163.18</v>
          </cell>
          <cell r="AL242" t="str">
            <v>Construcción de colector pluvial calle Atotonilco, en la colonia Nuevo México, municipio de Zapopan, Jalisco.</v>
          </cell>
          <cell r="AM242">
            <v>43031</v>
          </cell>
          <cell r="AN242">
            <v>43106</v>
          </cell>
          <cell r="AR242" t="str">
            <v>FONDO PARA EL FORTALECIMIENTO FINANCIERO PARA LA INVERSIÓN (FORTALECIMIENTO) 2017 “D”</v>
          </cell>
          <cell r="AS242" t="str">
            <v>Colonia Nuevo México</v>
          </cell>
        </row>
        <row r="243">
          <cell r="B243" t="str">
            <v>Licitación Pública</v>
          </cell>
          <cell r="D243" t="str">
            <v>DOPI-MUN-CUSMAX-IU-LP-192-2017</v>
          </cell>
          <cell r="T243" t="str">
            <v>EDWIN</v>
          </cell>
          <cell r="U243" t="str">
            <v>AGUIAR</v>
          </cell>
          <cell r="V243" t="str">
            <v>ESCATEL</v>
          </cell>
          <cell r="W243" t="str">
            <v>MANJARREZ URBANIZACIONES, S.A. DE C.V.</v>
          </cell>
          <cell r="X243" t="str">
            <v>MUR090325P33</v>
          </cell>
          <cell r="AD243">
            <v>43047</v>
          </cell>
          <cell r="AJ243">
            <v>6386920.4000000004</v>
          </cell>
          <cell r="AL243" t="str">
            <v>Construcción de Plazoleta sobre Av. Virreyes, Zona Comercial Landmark-Andares, zona Andares, primera etapa: losas de cubierta, ductería eléctrica, ajuste de geometría, adecuaciones hidrosanitarias y pluviales, municipio de Zapopan, Jalisco.</v>
          </cell>
          <cell r="AM243">
            <v>43047</v>
          </cell>
          <cell r="AN243">
            <v>42801</v>
          </cell>
          <cell r="AR243" t="str">
            <v>Cusmax 2017</v>
          </cell>
          <cell r="AS243" t="str">
            <v>Zona Andares</v>
          </cell>
        </row>
        <row r="244">
          <cell r="B244" t="str">
            <v>Licitación Pública</v>
          </cell>
          <cell r="D244" t="str">
            <v>DOPI-MUN-CUSMAX-IU-LP-193-2017</v>
          </cell>
          <cell r="T244" t="str">
            <v>JUAN JOSÉ</v>
          </cell>
          <cell r="U244" t="str">
            <v>GUTIÉRREZ</v>
          </cell>
          <cell r="V244" t="str">
            <v>CONTRERAS</v>
          </cell>
          <cell r="W244" t="str">
            <v>RENCOIST CONSTRUCCIÓNES, S.A. DE C.V.</v>
          </cell>
          <cell r="X244" t="str">
            <v>RCO130920JX9</v>
          </cell>
          <cell r="AD244">
            <v>43047</v>
          </cell>
          <cell r="AJ244">
            <v>9098010.3499999996</v>
          </cell>
          <cell r="AL244" t="str">
            <v>Construcción de Plazoleta sobre Av. Virreyes, Zona Comercial Landmark-Andares, zona Andares, segunda etapa: banquetas, accesibilidad, mobiliario urbano, iluminación y jardinería, municipio de Zapopan, Jalisco.</v>
          </cell>
          <cell r="AM244">
            <v>43047</v>
          </cell>
          <cell r="AN244">
            <v>43166</v>
          </cell>
          <cell r="AR244" t="str">
            <v>Cusmax 2017</v>
          </cell>
          <cell r="AS244" t="str">
            <v>Zona Andares</v>
          </cell>
        </row>
        <row r="245">
          <cell r="B245" t="str">
            <v>Licitación Pública</v>
          </cell>
          <cell r="D245" t="str">
            <v>DOPI-MUN-CUSMAX-IU-LP-194-2017</v>
          </cell>
          <cell r="T245" t="str">
            <v>ENRIQUE CHRISTIAN</v>
          </cell>
          <cell r="U245" t="str">
            <v>ANSHIRO MINAKATA</v>
          </cell>
          <cell r="V245" t="str">
            <v>MORENTIN</v>
          </cell>
          <cell r="W245" t="str">
            <v>CONSTRUCCIÓNES MIROT, S.A. DE C.V.</v>
          </cell>
          <cell r="X245" t="str">
            <v>CMI110222AA0</v>
          </cell>
          <cell r="AD245">
            <v>43047</v>
          </cell>
          <cell r="AJ245">
            <v>11549879.380000001</v>
          </cell>
          <cell r="AL245" t="str">
            <v>Sistema de retención y control de escurrimientos pluviales, Parque Novelistas, municipio de Zapopan, Jalisco.</v>
          </cell>
          <cell r="AM245">
            <v>43047</v>
          </cell>
          <cell r="AN245">
            <v>43166</v>
          </cell>
          <cell r="AR245" t="str">
            <v>Cusmax 2017</v>
          </cell>
          <cell r="AS245" t="str">
            <v>Colonia Jardines Vallarta</v>
          </cell>
        </row>
        <row r="246">
          <cell r="B246" t="str">
            <v>Licitación Pública</v>
          </cell>
          <cell r="D246" t="str">
            <v>DOPI-MUN-CUSMAX-IS-LP-195-2017</v>
          </cell>
          <cell r="T246" t="str">
            <v>ARTURO</v>
          </cell>
          <cell r="U246" t="str">
            <v>SARMIENTO</v>
          </cell>
          <cell r="V246" t="str">
            <v>SÁNCHEZ</v>
          </cell>
          <cell r="W246" t="str">
            <v>CONSTRUBRAVO, S.A. DE C.V.</v>
          </cell>
          <cell r="X246" t="str">
            <v>CON020208696</v>
          </cell>
          <cell r="AD246">
            <v>43047</v>
          </cell>
          <cell r="AJ246">
            <v>4465382.4400000004</v>
          </cell>
          <cell r="AL246" t="str">
            <v>Construcción de Centro de Atención a niños con Autismo, municipio de Zapopan, Jalisco.</v>
          </cell>
          <cell r="AM246">
            <v>43047</v>
          </cell>
          <cell r="AN246">
            <v>43137</v>
          </cell>
          <cell r="AR246" t="str">
            <v>Cusmax 2017</v>
          </cell>
          <cell r="AS246" t="str">
            <v>Zapopan</v>
          </cell>
        </row>
        <row r="247">
          <cell r="B247" t="str">
            <v>Concurso por Invitación</v>
          </cell>
          <cell r="D247" t="str">
            <v>DOPI-EST-CR-BAN-CI-197-2017</v>
          </cell>
          <cell r="T247" t="str">
            <v>JESÚS DAVID</v>
          </cell>
          <cell r="U247" t="str">
            <v xml:space="preserve">GARZA </v>
          </cell>
          <cell r="V247" t="str">
            <v>GARCÍA</v>
          </cell>
          <cell r="W247" t="str">
            <v>CONSTRUCCIÓNES  ELECTRIFICACIONES Y ARRENDAMIENTO DE MAQUINARIA S.A. DE C.V.</v>
          </cell>
          <cell r="X247" t="str">
            <v>CEA010615GT0</v>
          </cell>
          <cell r="AD247">
            <v>43031</v>
          </cell>
          <cell r="AJ247">
            <v>2389794.62</v>
          </cell>
          <cell r="AL247" t="str">
            <v>Peatonalización, construcción de banquetas, sustitución de guarniciones, bolardos, primera etapa en la colonia Santa Margarita, municipio de Zapopan, Jalisco.</v>
          </cell>
          <cell r="AM247">
            <v>43031</v>
          </cell>
          <cell r="AN247">
            <v>43106</v>
          </cell>
          <cell r="AR247" t="str">
            <v>CRÉDITO ESTATAL 92 MDP</v>
          </cell>
          <cell r="AS247" t="str">
            <v>Colonia Santa Margarita</v>
          </cell>
        </row>
        <row r="248">
          <cell r="B248" t="str">
            <v>Concurso por Invitación</v>
          </cell>
          <cell r="D248" t="str">
            <v>DOPI-EST-CR-PAV-CI-198-2017</v>
          </cell>
          <cell r="T248" t="str">
            <v>VICTOR</v>
          </cell>
          <cell r="U248" t="str">
            <v>ZAYAS</v>
          </cell>
          <cell r="V248" t="str">
            <v>RIQUELME</v>
          </cell>
          <cell r="W248" t="str">
            <v>GEMINIS INTERNACIONAL CONSTRUCTORA, S.A. DE C.V.</v>
          </cell>
          <cell r="X248" t="str">
            <v>GIC810323RA6</v>
          </cell>
          <cell r="AD248">
            <v>43031</v>
          </cell>
          <cell r="AJ248">
            <v>2436115.7999999998</v>
          </cell>
          <cell r="AL248" t="str">
            <v>Reencarpetamiento de calles en la colonia Lomas de Tabachines, incluye: guarniciones, banquetas, renivelación de pozos y cajas, señalamiento vertical y horizontal, municipio de Zapopan, Jalisco.</v>
          </cell>
          <cell r="AM248">
            <v>43031</v>
          </cell>
          <cell r="AN248">
            <v>43106</v>
          </cell>
          <cell r="AR248" t="str">
            <v>CRÉDITO ESTATAL 92 MDP</v>
          </cell>
          <cell r="AS248" t="str">
            <v>Colonia Lomas de Tabachines</v>
          </cell>
        </row>
        <row r="249">
          <cell r="B249" t="str">
            <v>Concurso por Invitación</v>
          </cell>
          <cell r="D249" t="str">
            <v>DOPI-EST-CR-PAV-CI-199-2017</v>
          </cell>
          <cell r="T249" t="str">
            <v>GUILLERMO</v>
          </cell>
          <cell r="U249" t="str">
            <v>LARA</v>
          </cell>
          <cell r="V249" t="str">
            <v>VARGAS</v>
          </cell>
          <cell r="W249" t="str">
            <v>DESARROLLADORA GLAR, S.A. DE C.V.</v>
          </cell>
          <cell r="X249" t="str">
            <v>DGL060620SUA</v>
          </cell>
          <cell r="AD249">
            <v>43031</v>
          </cell>
          <cell r="AJ249">
            <v>3601466.96</v>
          </cell>
          <cell r="AL249" t="str">
            <v>Reencarpetamiento de vialidades en la colonia Parque del Auditorio, incluye: guarniciones, banquetas, renivelaciones de pozos y cajas, señalamiento vertical y horizontal, municipio de Zapopan, Jalisco.</v>
          </cell>
          <cell r="AM249">
            <v>43031</v>
          </cell>
          <cell r="AN249">
            <v>43106</v>
          </cell>
          <cell r="AR249" t="str">
            <v>CRÉDITO ESTATAL 92 MDP</v>
          </cell>
          <cell r="AS249" t="str">
            <v>Colonia Parque del Auditorio</v>
          </cell>
        </row>
        <row r="250">
          <cell r="B250" t="str">
            <v>Concurso por Invitación</v>
          </cell>
          <cell r="D250" t="str">
            <v>DOPI-EST-CR-PAV-CI-200-2017</v>
          </cell>
          <cell r="T250" t="str">
            <v>SERGIO ALBERTO</v>
          </cell>
          <cell r="U250" t="str">
            <v>BAYLON</v>
          </cell>
          <cell r="V250" t="str">
            <v>MORENO</v>
          </cell>
          <cell r="W250" t="str">
            <v>EDIFICACIONES ESTRUCTURALES COBAY, S.A. DE C.V.</v>
          </cell>
          <cell r="X250" t="str">
            <v>EEC9909173A7</v>
          </cell>
          <cell r="AD250">
            <v>43031</v>
          </cell>
          <cell r="AJ250">
            <v>2877141.05</v>
          </cell>
          <cell r="AL250" t="str">
            <v>Construcción de la segunda etapa de la calle Hidalgo, con concreto hidráulico en San Juan de Ocotán, incluye: guarniciones, banquetas y alumbrado público, Municipio de Zapopan, Jalisco.</v>
          </cell>
          <cell r="AM250">
            <v>43031</v>
          </cell>
          <cell r="AN250">
            <v>43106</v>
          </cell>
          <cell r="AR250" t="str">
            <v>CRÉDITO ESTATAL 92 MDP</v>
          </cell>
          <cell r="AS250" t="str">
            <v>San Juan de Ocotán</v>
          </cell>
        </row>
        <row r="251">
          <cell r="B251" t="str">
            <v>Concurso por Invitación</v>
          </cell>
          <cell r="D251" t="str">
            <v>DOPI-EST-CM-PAV-CI-201-2017</v>
          </cell>
          <cell r="T251" t="str">
            <v>ANA KARINA</v>
          </cell>
          <cell r="U251" t="str">
            <v>OJEDA</v>
          </cell>
          <cell r="V251" t="str">
            <v>FERRELL</v>
          </cell>
          <cell r="W251" t="str">
            <v>KP CONSTRUCTORA E INMOBILIARIA, S.A. DE C.V.</v>
          </cell>
          <cell r="X251" t="str">
            <v>KCI120928CD5</v>
          </cell>
          <cell r="AD251">
            <v>43031</v>
          </cell>
          <cell r="AJ251">
            <v>3799523.95</v>
          </cell>
          <cell r="AL251" t="str">
            <v>Renovación urbana en área habitacional y de zona comercial de Av. López Mateos, de las Águilas a Plaza del Sol, en el municipio de Zapopan, Jalisco.</v>
          </cell>
          <cell r="AM251">
            <v>43031</v>
          </cell>
          <cell r="AN251">
            <v>43106</v>
          </cell>
          <cell r="AR251" t="str">
            <v>Consejo Metropolitano 2017</v>
          </cell>
          <cell r="AS251" t="str">
            <v>Colonia Las Águilas</v>
          </cell>
        </row>
        <row r="252">
          <cell r="B252" t="str">
            <v>Licitación Pública</v>
          </cell>
          <cell r="D252" t="str">
            <v>DOPI-MUN-CUSMAX-IS-LP-203-2017</v>
          </cell>
          <cell r="T252" t="str">
            <v xml:space="preserve">EDUARDO </v>
          </cell>
          <cell r="U252" t="str">
            <v>CRUZ</v>
          </cell>
          <cell r="V252" t="str">
            <v>MOGUEL</v>
          </cell>
          <cell r="W252" t="str">
            <v>BALKEN, S.A. DE C.V.</v>
          </cell>
          <cell r="X252" t="str">
            <v>BAL990803661</v>
          </cell>
          <cell r="AD252">
            <v>43047</v>
          </cell>
          <cell r="AJ252">
            <v>19280189.670000002</v>
          </cell>
          <cell r="AL252" t="str">
            <v>Construcción de Alberca para Rehabilitación de niños con Fibrosis Muscular, municipio de Zapopan, Jalisco.</v>
          </cell>
          <cell r="AM252">
            <v>43047</v>
          </cell>
          <cell r="AN252">
            <v>43166</v>
          </cell>
          <cell r="AR252" t="str">
            <v>Cusmax 2017</v>
          </cell>
          <cell r="AS252" t="str">
            <v>Zapopan</v>
          </cell>
        </row>
        <row r="253">
          <cell r="B253" t="str">
            <v>Licitación por Invitación Restringida</v>
          </cell>
          <cell r="D253" t="str">
            <v>DOPI-MUN-RM-PAV-CI-216-2017</v>
          </cell>
          <cell r="T253" t="str">
            <v>JUAN</v>
          </cell>
          <cell r="U253" t="str">
            <v>PADILLA</v>
          </cell>
          <cell r="V253" t="str">
            <v>AILHAUD</v>
          </cell>
          <cell r="W253" t="str">
            <v>TRAMA CONSTRUCTORA Y MAQUINARIA, S.A. DE C.V.</v>
          </cell>
          <cell r="X253" t="str">
            <v>TCM0111148H5</v>
          </cell>
          <cell r="AD253">
            <v>43047</v>
          </cell>
          <cell r="AJ253">
            <v>1991192.71</v>
          </cell>
          <cell r="AL253" t="str">
            <v>Pavimentación con concreto hidráulico de calle Ignacio Zaragoza, de calle Vicente Guerrero a calle Justo Sierra, incluye agua potable, drenaje, guarniciones, banquetas, servicios complementarios y señalética, en la colonia Agua Blanca Industrial, primera etapa, municipio de Zapopan, Jalisco.</v>
          </cell>
          <cell r="AM253">
            <v>43047</v>
          </cell>
          <cell r="AN253">
            <v>43133</v>
          </cell>
          <cell r="AR253" t="str">
            <v>Recurso Propio</v>
          </cell>
          <cell r="AS253" t="str">
            <v>Colonia Agua Blanca</v>
          </cell>
        </row>
        <row r="254">
          <cell r="B254" t="str">
            <v>Licitación por Invitación Restringida</v>
          </cell>
          <cell r="D254" t="str">
            <v>DOPI-MUN-R33R-IH-CI-217-2017</v>
          </cell>
          <cell r="T254" t="str">
            <v xml:space="preserve">NÉSTOR </v>
          </cell>
          <cell r="U254" t="str">
            <v>DE LA TORRE</v>
          </cell>
          <cell r="V254" t="str">
            <v>MENCHACA</v>
          </cell>
          <cell r="W254" t="str">
            <v>INGENIEROS DE LA TORRE, S.A. DE C.V.</v>
          </cell>
          <cell r="X254" t="str">
            <v>ITO951005HY5</v>
          </cell>
          <cell r="AD254">
            <v>43047</v>
          </cell>
          <cell r="AJ254">
            <v>2844117.16</v>
          </cell>
          <cell r="AL254" t="str">
            <v>Construcción de red de drenaje en la calle Flor de Lirio de Flor de Orquídeas a Bugambilias, Calle Bugambilias de Flor de Lirio a Flor De Durazno y Calle Flor de Durazno de Bugambilias a Flor de Orquídeas, sobre el arroyo de calle Del Roble a Las Rosas y Calle Las Rosas de Jacarandas a Alcatraz en la colonia Lomas de la Primavera, municipio de Zapopan, Jalisco.</v>
          </cell>
          <cell r="AM254">
            <v>43047</v>
          </cell>
          <cell r="AN254">
            <v>43102</v>
          </cell>
          <cell r="AR254" t="str">
            <v>Fondo para la Infraestructura Social Municipal 2017</v>
          </cell>
          <cell r="AS254" t="str">
            <v>Colonia Lomas de la Primavera</v>
          </cell>
        </row>
        <row r="255">
          <cell r="B255" t="str">
            <v>Licitación por Invitación Restringida</v>
          </cell>
          <cell r="D255" t="str">
            <v>DOPI-MUN-RM-IM-CI-218-2017</v>
          </cell>
          <cell r="T255" t="str">
            <v xml:space="preserve">EDUARDO </v>
          </cell>
          <cell r="U255" t="str">
            <v>CORTES</v>
          </cell>
          <cell r="V255" t="str">
            <v>ALARCON</v>
          </cell>
          <cell r="W255" t="str">
            <v>DISTRIBUIDORA CORALCO, S.A. DE C.V.</v>
          </cell>
          <cell r="X255" t="str">
            <v>DCO160318SK7</v>
          </cell>
          <cell r="AD255">
            <v>43047</v>
          </cell>
          <cell r="AJ255">
            <v>4149119.31</v>
          </cell>
          <cell r="AL255" t="str">
            <v>Construcción de puente peatonal en López Mateos Sur – El Campanario, municipio de Zapopan, Jalisco.</v>
          </cell>
          <cell r="AM255">
            <v>43047</v>
          </cell>
          <cell r="AN255">
            <v>43133</v>
          </cell>
          <cell r="AR255" t="str">
            <v>Recurso Propio</v>
          </cell>
          <cell r="AS255" t="str">
            <v>Colonia El Campanario</v>
          </cell>
        </row>
        <row r="256">
          <cell r="B256" t="str">
            <v>Licitación por Invitación Restringida</v>
          </cell>
          <cell r="D256" t="str">
            <v>DOPI-MUN-FORTA-IM-CI-219-2017</v>
          </cell>
          <cell r="T256" t="str">
            <v xml:space="preserve">EDUARDO </v>
          </cell>
          <cell r="U256" t="str">
            <v>PLASCENCIA</v>
          </cell>
          <cell r="V256" t="str">
            <v>MACIAS</v>
          </cell>
          <cell r="W256" t="str">
            <v>CONSTRUCTORA Y EDIFICADORA PLASMA, S.A. DE C.V.</v>
          </cell>
          <cell r="X256" t="str">
            <v>CEP080129EK6</v>
          </cell>
          <cell r="AD256">
            <v>43047</v>
          </cell>
          <cell r="AJ256">
            <v>2460035.12</v>
          </cell>
          <cell r="AL256" t="str">
            <v>Obra complementaria en la rehabilitación de la Cruz Verde Las Águilas, ubicada en Av. López Mateos y calle Cruz del Sur, en la colonia Las Águilas, municipio de Zapopan, Jalisco.</v>
          </cell>
          <cell r="AM256">
            <v>43047</v>
          </cell>
          <cell r="AN256">
            <v>43133</v>
          </cell>
          <cell r="AR256" t="str">
            <v>Fortamun 2017</v>
          </cell>
          <cell r="AS256" t="str">
            <v>Colonia Las Aguilas</v>
          </cell>
        </row>
        <row r="257">
          <cell r="B257" t="str">
            <v>Licitación por Invitación Restringida</v>
          </cell>
          <cell r="D257" t="str">
            <v>DOPI-MUN-CUSMAX-IE-CI-220-2017</v>
          </cell>
          <cell r="T257" t="str">
            <v>JOSÉ ANTONIO</v>
          </cell>
          <cell r="U257" t="str">
            <v>ÁLVAREZ</v>
          </cell>
          <cell r="V257" t="str">
            <v>ZULOAGA</v>
          </cell>
          <cell r="W257" t="str">
            <v>GRUPO DESARROLLADOR ALZU, S.A. DE C.V.</v>
          </cell>
          <cell r="X257" t="str">
            <v>GDA150928286</v>
          </cell>
          <cell r="AD257">
            <v>43047</v>
          </cell>
          <cell r="AJ257">
            <v>5989642.0700000003</v>
          </cell>
          <cell r="AL257" t="str">
            <v>Estructuras con lonaria para protección de rayos ultravioleta, en Primaria Federal Calmecac Clave: 14DPR1367L, Escuela 1286, Francisco Urquizo Benavides Clave: 14EPR1612E y Secundaria mixta 85 José Rogelio Álvarez Clave: 14EES0100R, municipio de Zapopan, Jalisco.</v>
          </cell>
          <cell r="AM257">
            <v>43047</v>
          </cell>
          <cell r="AN257">
            <v>43161</v>
          </cell>
          <cell r="AR257" t="str">
            <v>Cusmax 2017</v>
          </cell>
        </row>
        <row r="258">
          <cell r="B258" t="str">
            <v>Licitación por Invitación Restringida</v>
          </cell>
          <cell r="D258" t="str">
            <v>DOPI-MUN-CUSMAX-IE-CI-221-2017</v>
          </cell>
          <cell r="T258" t="str">
            <v>ARTURO</v>
          </cell>
          <cell r="U258" t="str">
            <v>BOJORQUEZ</v>
          </cell>
          <cell r="V258" t="str">
            <v>RIZO</v>
          </cell>
          <cell r="W258" t="str">
            <v>EDIFICACIONES Y CONSTRUCCIÓNES LEALES, S.A. DE C.V.</v>
          </cell>
          <cell r="X258" t="str">
            <v>ECL1301313F1</v>
          </cell>
          <cell r="AD258">
            <v>43047</v>
          </cell>
          <cell r="AJ258">
            <v>5991380.2999999998</v>
          </cell>
          <cell r="AL258" t="str">
            <v>Estructuras con lonaria para protección de rayos ultravioleta, en Escuela Ignacio Zaragoza, Clave: 14DPR1389X, Jardín de niños Socorro Jiménez Carrillo, Clave: 14DJN1978V y Escuela Urbana No. 1024 Ricardo Flores Magón, Clave: 14EPR1459A, municipio de Zapopan, Jalisco.</v>
          </cell>
          <cell r="AM258">
            <v>43047</v>
          </cell>
          <cell r="AN258">
            <v>43161</v>
          </cell>
          <cell r="AR258" t="str">
            <v>Cusmax 2017</v>
          </cell>
        </row>
        <row r="259">
          <cell r="B259" t="str">
            <v>Licitación por Invitación Restringida</v>
          </cell>
          <cell r="D259" t="str">
            <v>DOPI-MUN-CUSMAX-IE-CI-222-2017</v>
          </cell>
          <cell r="T259" t="str">
            <v xml:space="preserve">MARCO ANTONIO </v>
          </cell>
          <cell r="U259" t="str">
            <v>LOZANO</v>
          </cell>
          <cell r="V259" t="str">
            <v>ESTRADA</v>
          </cell>
          <cell r="W259" t="str">
            <v>DESARROLLADORA FULHAM S. DE R.L. DE C.V.</v>
          </cell>
          <cell r="X259" t="str">
            <v>DFU090928JB5</v>
          </cell>
          <cell r="AD259">
            <v>43047</v>
          </cell>
          <cell r="AJ259">
            <v>5970323.4800000004</v>
          </cell>
          <cell r="AL259" t="str">
            <v>Estructuras con lonaria para protección de rayos ultravioleta, en Escuela José María Arreola Y Manuel De Jesús Clouthier Del Rincón T/V, Clave: 14EPR1221Q, Secundaria Mixta No. 61 Francisco De Jesús Ayón Zester, Clave: 14EES0065B y Escuela Niños Héroes De Chapultepec, Clave: 14EPR1112J, municipio de Zapopan, Jalisco.</v>
          </cell>
          <cell r="AM259">
            <v>43047</v>
          </cell>
          <cell r="AN259">
            <v>43161</v>
          </cell>
          <cell r="AR259" t="str">
            <v>Cusmax 2017</v>
          </cell>
        </row>
        <row r="260">
          <cell r="B260" t="str">
            <v>Licitación por Invitación Restringida</v>
          </cell>
          <cell r="D260" t="str">
            <v>DOPI-MUN-CUSMAX-DS-CI-224-2017</v>
          </cell>
          <cell r="T260" t="str">
            <v>SERGIO ALBERTO</v>
          </cell>
          <cell r="U260" t="str">
            <v>BAYLON</v>
          </cell>
          <cell r="V260" t="str">
            <v>MORENO</v>
          </cell>
          <cell r="W260" t="str">
            <v>EDIFICACIONES ESTRUCTURALES COBAY, S.A. DE C.V.</v>
          </cell>
          <cell r="X260" t="str">
            <v>EEC9909173A7</v>
          </cell>
          <cell r="AD260">
            <v>43047</v>
          </cell>
          <cell r="AJ260">
            <v>7971544.1399999997</v>
          </cell>
          <cell r="AL260" t="str">
            <v>Construcción de Colector Pluvial en La Venta del Astillero, frente 1, municipio de Zapopan, Jalisco.</v>
          </cell>
          <cell r="AM260">
            <v>43047</v>
          </cell>
          <cell r="AN260">
            <v>43161</v>
          </cell>
          <cell r="AR260" t="str">
            <v>Cusmax 2017</v>
          </cell>
          <cell r="AS260" t="str">
            <v>Localidad La Venta del Astillero</v>
          </cell>
        </row>
        <row r="261">
          <cell r="B261" t="str">
            <v>Licitación por Invitación Restringida</v>
          </cell>
          <cell r="D261" t="str">
            <v>DOPI-MUN-CUSMAX-DS-CI-225-2017</v>
          </cell>
          <cell r="T261" t="str">
            <v xml:space="preserve"> BERNARDO </v>
          </cell>
          <cell r="U261" t="str">
            <v xml:space="preserve">SAENZ </v>
          </cell>
          <cell r="V261" t="str">
            <v>BARBA</v>
          </cell>
          <cell r="W261" t="str">
            <v>GRUPO EDIFICADOR MAYAB, S.A. DE C.V.</v>
          </cell>
          <cell r="X261" t="str">
            <v>GEM070112PX8</v>
          </cell>
          <cell r="AD261">
            <v>43047</v>
          </cell>
          <cell r="AJ261">
            <v>6997515.3200000003</v>
          </cell>
          <cell r="AL261" t="str">
            <v>Construcción de Colector Pluvial en La Venta del Astillero, frente 2, municipio de Zapopan, Jalisco.</v>
          </cell>
          <cell r="AM261">
            <v>43047</v>
          </cell>
          <cell r="AN261">
            <v>43161</v>
          </cell>
          <cell r="AR261" t="str">
            <v>Cusmax 2017</v>
          </cell>
          <cell r="AS261" t="str">
            <v>Localidad La Venta del Astillero</v>
          </cell>
        </row>
        <row r="262">
          <cell r="B262" t="str">
            <v>Licitación por Invitación Restringida</v>
          </cell>
          <cell r="D262" t="str">
            <v>DOPI-MUN-CUSMAX-BAN-CI-226-2017</v>
          </cell>
          <cell r="T262" t="str">
            <v>ADALBERTO</v>
          </cell>
          <cell r="U262" t="str">
            <v>MEDINA</v>
          </cell>
          <cell r="V262" t="str">
            <v>MORALES</v>
          </cell>
          <cell r="W262" t="str">
            <v>URDEM, S.A. DE C.V.</v>
          </cell>
          <cell r="X262" t="str">
            <v>URD130830U21</v>
          </cell>
          <cell r="AD262">
            <v>43047</v>
          </cell>
          <cell r="AJ262">
            <v>1985148.5</v>
          </cell>
          <cell r="AL262" t="str">
            <v>Primera etapa de la peatonalización en la colonia Chapalita de Occidente (incluye: machuelos, banquetas, accesibilidad universal, bolardos y nomenclatura), municipio de Zapopan, Jalisco.</v>
          </cell>
          <cell r="AM262">
            <v>43047</v>
          </cell>
          <cell r="AN262">
            <v>43133</v>
          </cell>
          <cell r="AR262" t="str">
            <v>Cusmax 2017</v>
          </cell>
          <cell r="AS262" t="str">
            <v>Colonia Chapalita de Occidente</v>
          </cell>
        </row>
        <row r="263">
          <cell r="B263" t="str">
            <v>Licitación por Invitación Restringida</v>
          </cell>
          <cell r="D263" t="str">
            <v>DOPI-MUN-CUSMAX-BAN-CI-227-2017</v>
          </cell>
          <cell r="T263" t="str">
            <v xml:space="preserve">GUILLERMO ALBERTO </v>
          </cell>
          <cell r="U263" t="str">
            <v>RODRÍGUEZ</v>
          </cell>
          <cell r="V263" t="str">
            <v>ALLENDE</v>
          </cell>
          <cell r="W263" t="str">
            <v>GRUPO CONSTRUCTOR MR DE JALISCO S.A. DE C.V.</v>
          </cell>
          <cell r="X263" t="str">
            <v>GCM121112J86</v>
          </cell>
          <cell r="AD263">
            <v>43047</v>
          </cell>
          <cell r="AJ263">
            <v>1919195.61</v>
          </cell>
          <cell r="AL263" t="str">
            <v>Primera etapa de la peatonalización en la colonia Jardines de Guadalupe (incluye: machuelos, banquetas, accesibilidad universal, bolardos y nomenclatura), municipio de Zapopan, Jalisco.</v>
          </cell>
          <cell r="AM263">
            <v>43047</v>
          </cell>
          <cell r="AN263">
            <v>43133</v>
          </cell>
          <cell r="AR263" t="str">
            <v>Cusmax 2017</v>
          </cell>
          <cell r="AS263" t="str">
            <v>Colonia Jardines de Guadalupe</v>
          </cell>
        </row>
        <row r="264">
          <cell r="B264" t="str">
            <v>Licitación por Invitación Restringida</v>
          </cell>
          <cell r="D264" t="str">
            <v>DOPI-MUN-CUSMAX-IU-CI-228-2017</v>
          </cell>
          <cell r="T264" t="str">
            <v>CARLOS</v>
          </cell>
          <cell r="U264" t="str">
            <v>PÉREZ</v>
          </cell>
          <cell r="V264" t="str">
            <v>CRUZ</v>
          </cell>
          <cell r="W264" t="str">
            <v>CONSTRUCTORA PECRU, S.A. DE C.V.</v>
          </cell>
          <cell r="X264" t="str">
            <v>CPE070123PD4</v>
          </cell>
          <cell r="AD264">
            <v>43047</v>
          </cell>
          <cell r="AJ264">
            <v>7122671.96</v>
          </cell>
          <cell r="AL264" t="str">
            <v>Construcción de Parque Lineal en la Av. Patria de Av. Acueducto - Eva Briseño-Av. Américas, primera etapa: desazolve y rectificación del cauce, muro de protección, alcantarillas pluviales, estructura para cruce peatonal de alcantarilla pluvial y lavaderos, municipio de Zapopan, Jalisco.</v>
          </cell>
          <cell r="AM264">
            <v>43047</v>
          </cell>
          <cell r="AN264">
            <v>43133</v>
          </cell>
          <cell r="AR264" t="str">
            <v>Cusmax 2017</v>
          </cell>
          <cell r="AS264" t="str">
            <v>Zona Andares</v>
          </cell>
        </row>
        <row r="265">
          <cell r="B265" t="str">
            <v>Licitación por Invitación Restringida</v>
          </cell>
          <cell r="D265" t="str">
            <v>DOPI-MUN-RM-PAV-CI-235-2017</v>
          </cell>
          <cell r="T265" t="str">
            <v>ELVIA ALEJANDRA</v>
          </cell>
          <cell r="U265" t="str">
            <v>TORRES</v>
          </cell>
          <cell r="V265" t="str">
            <v>VILLA</v>
          </cell>
          <cell r="W265" t="str">
            <v>PROCOURZA, S.A. DE C.V.</v>
          </cell>
          <cell r="X265" t="str">
            <v>PRO0205208F2</v>
          </cell>
          <cell r="AD265">
            <v>43047</v>
          </cell>
          <cell r="AJ265">
            <v>6527343.5599999996</v>
          </cell>
          <cell r="AL265" t="str">
            <v>Construcción de vialidad de ingreso a la preparatoria de la Universidad de Guadalajara, incluye: guarniciones, banquetas, red de agua potable y alcantarillado y servicios complementarios, en el Ejido Copalita, municipio de Zapopan, Jalisco, frente 1.</v>
          </cell>
          <cell r="AM265">
            <v>43047</v>
          </cell>
          <cell r="AN265">
            <v>43161</v>
          </cell>
          <cell r="AR265" t="str">
            <v>Recurso Propio</v>
          </cell>
          <cell r="AS265" t="str">
            <v>Ejido Copalita</v>
          </cell>
        </row>
        <row r="266">
          <cell r="B266" t="str">
            <v>Licitación por Invitación Restringida</v>
          </cell>
          <cell r="D266" t="str">
            <v>DOPI-MUN-RM-PAV-CI-236-2017</v>
          </cell>
          <cell r="T266" t="str">
            <v>ANTONIO</v>
          </cell>
          <cell r="U266" t="str">
            <v>CARRILLO</v>
          </cell>
          <cell r="V266" t="str">
            <v>SEGURA</v>
          </cell>
          <cell r="W266" t="str">
            <v>ITERACION, S.A. DE C.V.</v>
          </cell>
          <cell r="X266" t="str">
            <v>ITE080214UD3</v>
          </cell>
          <cell r="AD266">
            <v>43047</v>
          </cell>
          <cell r="AJ266">
            <v>6458330.7999999998</v>
          </cell>
          <cell r="AL266" t="str">
            <v>Construcción de vialidad de ingreso a la preparatoria de la Universidad de Guadalajara, incluye: guarniciones, banquetas, red de agua potable y alcantarillado y servicios complementarios, en el Ejido Copalita, municipio de Zapopan, Jalisco, frente 2.</v>
          </cell>
          <cell r="AM266">
            <v>43047</v>
          </cell>
          <cell r="AN266">
            <v>43161</v>
          </cell>
          <cell r="AR266" t="str">
            <v>Recurso Propio</v>
          </cell>
          <cell r="AS266" t="str">
            <v>Ejido Copalita</v>
          </cell>
        </row>
        <row r="267">
          <cell r="B267" t="str">
            <v>Licitación por Invitación Restringida</v>
          </cell>
          <cell r="D267" t="str">
            <v>DOPI-MUN-CUSMAX-BAN-CI-237-2017</v>
          </cell>
          <cell r="T267" t="str">
            <v>ROBERTO</v>
          </cell>
          <cell r="U267" t="str">
            <v>FLORES</v>
          </cell>
          <cell r="V267" t="str">
            <v>ARREOLA</v>
          </cell>
          <cell r="W267" t="str">
            <v>ESTUDIOS SISTEMAS Y CONSTRUCCIÓNES, S.A. DE C.V.</v>
          </cell>
          <cell r="X267" t="str">
            <v>ESC930617KW9</v>
          </cell>
          <cell r="AD267">
            <v>43047</v>
          </cell>
          <cell r="AJ267">
            <v>1999878.73</v>
          </cell>
          <cell r="AL267" t="str">
            <v>Primera etapa de la peatonalización en la colonia Rinconada del Sol (incluye: machuelos, banquetas, accesibilidad universal, bolardos y nomenclatura), municipio de Zapopan, Jalisco.</v>
          </cell>
          <cell r="AM267">
            <v>43047</v>
          </cell>
          <cell r="AN267">
            <v>43133</v>
          </cell>
          <cell r="AR267" t="str">
            <v>Cusmax 2017</v>
          </cell>
          <cell r="AS267" t="str">
            <v>Colonia Rinconada del Sol</v>
          </cell>
        </row>
        <row r="268">
          <cell r="B268" t="str">
            <v>Licitación por Invitación Restringida</v>
          </cell>
          <cell r="D268" t="str">
            <v>DOPI-MUN-CUSMAX-BAN-CI-238-2017</v>
          </cell>
          <cell r="T268" t="str">
            <v xml:space="preserve">ARTURO </v>
          </cell>
          <cell r="U268" t="str">
            <v>MONTUFAR</v>
          </cell>
          <cell r="V268" t="str">
            <v>NUÑEZ</v>
          </cell>
          <cell r="W268" t="str">
            <v>VELERO PAVIMENTACION Y CONSTRUCCIÓN S.A. DE C.V.</v>
          </cell>
          <cell r="X268" t="str">
            <v>VPC0012148K0</v>
          </cell>
          <cell r="AD268">
            <v>43047</v>
          </cell>
          <cell r="AJ268">
            <v>2499342.11</v>
          </cell>
          <cell r="AL268" t="str">
            <v>Primera etapa de la peatonalización en las colonias Loma Bonita, Loma Bonita Sur y Rinconada de la Calma (incluye: machuelos, banquetas, accesibilidad universal, bolardos y nomenclatura), municipio de Zapopan, Jalisco.</v>
          </cell>
          <cell r="AM268">
            <v>43047</v>
          </cell>
          <cell r="AN268">
            <v>43133</v>
          </cell>
          <cell r="AR268" t="str">
            <v>Cusmax 2017</v>
          </cell>
          <cell r="AS268" t="str">
            <v>Colonias Loma Bonita, Loma Bonita Sur y Rinconada de la Calma</v>
          </cell>
        </row>
        <row r="269">
          <cell r="B269" t="str">
            <v>Licitación por Invitación Restringida</v>
          </cell>
          <cell r="D269" t="str">
            <v>DOPI-MUN-CUSMAX-ID-CI-239-2017</v>
          </cell>
          <cell r="T269" t="str">
            <v>JAIME FERNANDO</v>
          </cell>
          <cell r="U269" t="str">
            <v>ÁLVAREZ</v>
          </cell>
          <cell r="V269" t="str">
            <v>LOZANO</v>
          </cell>
          <cell r="W269" t="str">
            <v>INOVACIONES EN MOBILIARIO URBANO S.A. DE C.V.</v>
          </cell>
          <cell r="X269" t="str">
            <v>IMU120820NM7</v>
          </cell>
          <cell r="AD269">
            <v>43047</v>
          </cell>
          <cell r="AJ269">
            <v>6990218.1900000004</v>
          </cell>
          <cell r="AL269" t="str">
            <v>Construcción de cancha de Futbol Americano, en la Unidad Deportiva Tabachines, municipio de Zapopan, Jalisco.</v>
          </cell>
          <cell r="AM269">
            <v>43047</v>
          </cell>
          <cell r="AN269">
            <v>43133</v>
          </cell>
          <cell r="AR269" t="str">
            <v>Cusmax 2017</v>
          </cell>
          <cell r="AS269" t="str">
            <v>Colonia Tabachines</v>
          </cell>
        </row>
        <row r="270">
          <cell r="B270" t="str">
            <v>Licitación Pública</v>
          </cell>
          <cell r="D270" t="str">
            <v>DOPI-MUN-PP-PAV-LP-254-2017</v>
          </cell>
          <cell r="T270" t="str">
            <v>IGNACIO JAVIER</v>
          </cell>
          <cell r="U270" t="str">
            <v>CURIEL</v>
          </cell>
          <cell r="V270" t="str">
            <v>DUEÑAS</v>
          </cell>
          <cell r="W270" t="str">
            <v>TC CONSTRUCCIÓN Y MANTENIMIENTO, S.A. DE C.V.</v>
          </cell>
          <cell r="X270" t="str">
            <v>TCM100915HA1</v>
          </cell>
          <cell r="AD270">
            <v>43089</v>
          </cell>
          <cell r="AJ270">
            <v>13313205.59</v>
          </cell>
          <cell r="AL270" t="str">
            <v>Pavimentación con concreto hidráulico en la Av. Guadalajara de Av. Juan Gil Preciado a Av. Ángel Leaño primera etapa, incluye: agua potable, drenaje sanitario, drenaje pluvial, guarniciones, banquetas, accesibilidad, media tensión y servicios complementarios, en el municipio de Zapopan, Jalisco, frente 1.</v>
          </cell>
          <cell r="AM270">
            <v>43089</v>
          </cell>
          <cell r="AN270">
            <v>43237</v>
          </cell>
          <cell r="AR270" t="str">
            <v>Presupuesto Participativo</v>
          </cell>
          <cell r="AS270" t="str">
            <v>Colonia Nuevo México</v>
          </cell>
        </row>
        <row r="271">
          <cell r="B271" t="str">
            <v>Licitación Pública</v>
          </cell>
          <cell r="D271" t="str">
            <v>DOPI-MUN-PP-PAV-LP-255-2017</v>
          </cell>
          <cell r="T271" t="str">
            <v>ARTURO</v>
          </cell>
          <cell r="U271" t="str">
            <v>SARMIENTO</v>
          </cell>
          <cell r="V271" t="str">
            <v>SÁNCHEZ</v>
          </cell>
          <cell r="W271" t="str">
            <v>CONSTRUBRAVO, S.A. DE C.V.</v>
          </cell>
          <cell r="X271" t="str">
            <v>CON020208696</v>
          </cell>
          <cell r="AD271">
            <v>43089</v>
          </cell>
          <cell r="AJ271">
            <v>13297445.710000001</v>
          </cell>
          <cell r="AL271" t="str">
            <v>Pavimentación con concreto hidráulico en la Av. Guadalajara de Av. Juan Gil Preciado a Av. Ángel Leaño primera etapa, incluye: agua potable, drenaje sanitario, drenaje pluvial, guarniciones, banquetas, accesibilidad, media tensión y servicios complementarios, en el municipio de Zapopan, Jalisco, frente 2.</v>
          </cell>
          <cell r="AM271">
            <v>43089</v>
          </cell>
          <cell r="AN271">
            <v>43237</v>
          </cell>
          <cell r="AR271" t="str">
            <v>Presupuesto Participativo</v>
          </cell>
          <cell r="AS271" t="str">
            <v>Colonia Nuevo México</v>
          </cell>
        </row>
        <row r="272">
          <cell r="B272" t="str">
            <v>Licitación Pública</v>
          </cell>
          <cell r="D272" t="str">
            <v>DOPI-MUN-PP-PAV-LP-256-2017</v>
          </cell>
          <cell r="T272" t="str">
            <v>ANA KARINA</v>
          </cell>
          <cell r="U272" t="str">
            <v>OJEDA</v>
          </cell>
          <cell r="V272" t="str">
            <v>FERRELL</v>
          </cell>
          <cell r="W272" t="str">
            <v>KP CONSTRUCTORA E INMOBILIARIA, S.A. DE C.V.</v>
          </cell>
          <cell r="X272" t="str">
            <v>KCI120928CD5</v>
          </cell>
          <cell r="AD272">
            <v>43089</v>
          </cell>
          <cell r="AJ272">
            <v>24179375.460000001</v>
          </cell>
          <cell r="AL272" t="str">
            <v>Pavimentación con concreto hidráulico de los carriles centrales en la Av. López Mateos en el tramo de Av. Copérnico a la Av. La Giralda, incluye: infraestructura hidráulica, municipio de Zapopan, Jalisco.</v>
          </cell>
          <cell r="AM272">
            <v>43089</v>
          </cell>
          <cell r="AN272">
            <v>43192</v>
          </cell>
          <cell r="AR272" t="str">
            <v>Presupuesto Participativo</v>
          </cell>
          <cell r="AS272" t="str">
            <v>Colonia La Calma</v>
          </cell>
        </row>
        <row r="273">
          <cell r="B273" t="str">
            <v>Licitación Pública</v>
          </cell>
          <cell r="D273" t="str">
            <v>DOPI-MUN-PP-PAV-LP-257-2017</v>
          </cell>
          <cell r="T273" t="str">
            <v>ALEJANDRO</v>
          </cell>
          <cell r="U273" t="str">
            <v>GUEVARA</v>
          </cell>
          <cell r="V273" t="str">
            <v>CASTELLANOS</v>
          </cell>
          <cell r="W273" t="str">
            <v>URBANIZACION Y CONSTRUCCIÓN AVANZADA, S.A. DE C.V.</v>
          </cell>
          <cell r="X273" t="str">
            <v>UCA0207107X6</v>
          </cell>
          <cell r="AD273">
            <v>43089</v>
          </cell>
          <cell r="AJ273">
            <v>21165119.91</v>
          </cell>
          <cell r="AL273" t="str">
            <v>Pavimentación con concreto hidráulico de los carriles centrales en la Av. López Mateos en el tramo de Av. La Giralda al límite municipal, incluye: infraestructura hidráulica, municipio de Zapopan, Jalisco.</v>
          </cell>
          <cell r="AM273">
            <v>43089</v>
          </cell>
          <cell r="AN273">
            <v>43192</v>
          </cell>
          <cell r="AR273" t="str">
            <v>Presupuesto Participativo</v>
          </cell>
          <cell r="AS273" t="str">
            <v>Colonia Rinconada del Sol</v>
          </cell>
        </row>
        <row r="274">
          <cell r="B274" t="str">
            <v>Licitación Pública</v>
          </cell>
          <cell r="D274" t="str">
            <v>DOPI-MUN-CUSMAX-PAV-LP-258-2017</v>
          </cell>
          <cell r="T274" t="str">
            <v>OMAR</v>
          </cell>
          <cell r="U274" t="str">
            <v>MORA</v>
          </cell>
          <cell r="V274" t="str">
            <v>MONTES DE OCA</v>
          </cell>
          <cell r="W274" t="str">
            <v>DOMMONT CONSTRUCCIÓNES, S.A. DE C.V.</v>
          </cell>
          <cell r="X274" t="str">
            <v>DCO130215C16</v>
          </cell>
          <cell r="AD274">
            <v>43089</v>
          </cell>
          <cell r="AJ274">
            <v>5743782.21</v>
          </cell>
          <cell r="AL274" t="str">
            <v>Construcción de crucero seguro en Av. Patria con Av. Puerta de Hierro - San Florencio -Paseo Royal Country, municipio de Zapopan, Jalisco.</v>
          </cell>
          <cell r="AM274">
            <v>43089</v>
          </cell>
          <cell r="AN274">
            <v>43176</v>
          </cell>
          <cell r="AR274" t="str">
            <v>Cusmax 2017</v>
          </cell>
          <cell r="AS274" t="str">
            <v>Colonia San Bernardo</v>
          </cell>
        </row>
        <row r="275">
          <cell r="B275" t="str">
            <v>Licitación Pública</v>
          </cell>
          <cell r="D275" t="str">
            <v>DOPI-MUN-RM-PAV-LP-259-2017</v>
          </cell>
          <cell r="T275" t="str">
            <v>ALEX</v>
          </cell>
          <cell r="U275" t="str">
            <v>MEDINA</v>
          </cell>
          <cell r="V275" t="str">
            <v>GÓMEZ</v>
          </cell>
          <cell r="W275" t="str">
            <v>MEDGAR CONSTRUCCIONES, S.A. DE C.V.</v>
          </cell>
          <cell r="X275" t="str">
            <v>MCO150527NY3</v>
          </cell>
          <cell r="AD275">
            <v>43089</v>
          </cell>
          <cell r="AJ275">
            <v>6098017.1100000003</v>
          </cell>
          <cell r="AL275" t="str">
            <v>Pavimentación de vialidad Eva Briseño, incluye: guarniciones, banquetas, red de agua potable y alcantarillado y servicios complementarios, en la colonia Santa Fe, municipio de Zapopan, Jalisco. Frente 1.</v>
          </cell>
          <cell r="AM275">
            <v>43089</v>
          </cell>
          <cell r="AN275">
            <v>43222</v>
          </cell>
          <cell r="AR275" t="str">
            <v>Recurso Propio</v>
          </cell>
          <cell r="AS275" t="str">
            <v>Colonia Guadalajarita</v>
          </cell>
        </row>
        <row r="276">
          <cell r="B276" t="str">
            <v>Licitación Pública</v>
          </cell>
          <cell r="D276" t="str">
            <v>DOPI-MUN-RM-PAV-LP-260-2017</v>
          </cell>
          <cell r="T276" t="str">
            <v>ARTURO</v>
          </cell>
          <cell r="U276" t="str">
            <v>SARMIENTO</v>
          </cell>
          <cell r="V276" t="str">
            <v>SÁNCHEZ</v>
          </cell>
          <cell r="W276" t="str">
            <v>CONSTRUBRAVO, S.A. DE C.V.</v>
          </cell>
          <cell r="X276" t="str">
            <v>CON020208696</v>
          </cell>
          <cell r="AD276">
            <v>43089</v>
          </cell>
          <cell r="AJ276">
            <v>6000654.8899999997</v>
          </cell>
          <cell r="AL276" t="str">
            <v>Pavimentación de vialidad Eva Briseño, incluye: guarniciones, banquetas, red de agua potable y alcantarillado y servicios complementarios, en la colonia Santa Fe, municipio de Zapopan, Jalisco. Frente 2.</v>
          </cell>
          <cell r="AM276">
            <v>43089</v>
          </cell>
          <cell r="AN276">
            <v>43253</v>
          </cell>
          <cell r="AR276" t="str">
            <v>Recurso Propio</v>
          </cell>
          <cell r="AS276" t="str">
            <v>Colonia Guadalajarita</v>
          </cell>
        </row>
        <row r="277">
          <cell r="B277" t="str">
            <v>Licitación Pública</v>
          </cell>
          <cell r="D277" t="str">
            <v>DOPI-MUN-RM-PAV-LP-261-2017</v>
          </cell>
          <cell r="T277" t="str">
            <v>CARLOS IGNACIO</v>
          </cell>
          <cell r="U277" t="str">
            <v>CURIEL</v>
          </cell>
          <cell r="V277" t="str">
            <v>DUEÑAS</v>
          </cell>
          <cell r="W277" t="str">
            <v>CONSTRUCTORA CECUCHI, S.A. DE C.V.</v>
          </cell>
          <cell r="X277" t="str">
            <v>CCE130723IR7</v>
          </cell>
          <cell r="AD277">
            <v>43089</v>
          </cell>
          <cell r="AJ277">
            <v>6048432.1399999997</v>
          </cell>
          <cell r="AL277" t="str">
            <v>Pavimentación de vialidad Eva Briseño, incluye: guarniciones, banquetas, red de agua potable y alcantarillado y servicios complementarios, en la colonia Santa Fe, municipio de Zapopan, Jalisco. Frente 3.</v>
          </cell>
          <cell r="AM277">
            <v>43089</v>
          </cell>
          <cell r="AN277">
            <v>43253</v>
          </cell>
          <cell r="AR277" t="str">
            <v>Recurso Propio</v>
          </cell>
          <cell r="AS277" t="str">
            <v>Colonia Guadalajarita</v>
          </cell>
        </row>
        <row r="278">
          <cell r="B278" t="str">
            <v>Licitación Pública</v>
          </cell>
          <cell r="D278" t="str">
            <v>DOPI-MUN-RM-PAV-LP-262-2017</v>
          </cell>
          <cell r="T278" t="str">
            <v>HAYDEE LILIANA</v>
          </cell>
          <cell r="U278" t="str">
            <v>AGUILAR</v>
          </cell>
          <cell r="V278" t="str">
            <v>CASSIAN</v>
          </cell>
          <cell r="W278" t="str">
            <v>EDIFICA 2001, S.A. DE C.V.</v>
          </cell>
          <cell r="X278" t="str">
            <v>EDM970225I68</v>
          </cell>
          <cell r="AD278">
            <v>43089</v>
          </cell>
          <cell r="AJ278">
            <v>6301736.3099999996</v>
          </cell>
          <cell r="AL278" t="str">
            <v>Pavimentación de vialidad 5 de Mayo de Av. Aviación hacía camino Real a Zapopan, incluye: guarniciones, banquetas, red de agua potable y alcantarillado y servicios complementarios, en la colonia San Juan de Ocotán, municipio de Zapopan, Jalisco. Frente 1.</v>
          </cell>
          <cell r="AM278">
            <v>43089</v>
          </cell>
          <cell r="AN278">
            <v>43253</v>
          </cell>
          <cell r="AR278" t="str">
            <v>Recurso Propio</v>
          </cell>
          <cell r="AS278" t="str">
            <v>Colonia San Juan de Ocotán</v>
          </cell>
        </row>
        <row r="279">
          <cell r="B279" t="str">
            <v>Licitación por Invitación Restringida</v>
          </cell>
          <cell r="D279" t="str">
            <v>DOPI-MUN-RM-BAN-CI-267-2017</v>
          </cell>
          <cell r="T279" t="str">
            <v xml:space="preserve">GUILLERMO </v>
          </cell>
          <cell r="U279" t="str">
            <v>RODRÍGUEZ</v>
          </cell>
          <cell r="V279" t="str">
            <v>MEZA</v>
          </cell>
          <cell r="W279" t="str">
            <v>CORPORATIVO ALMIRA DE JALISCO, S.A. DE C.V.</v>
          </cell>
          <cell r="X279" t="str">
            <v>CAJ1208151M8</v>
          </cell>
          <cell r="AD279">
            <v>43056</v>
          </cell>
          <cell r="AJ279">
            <v>2199415.2999999998</v>
          </cell>
          <cell r="AL279" t="str">
            <v>Peatonalización en la Colonia Loma Bonita Residencial, incluye: machuelos, banquetas, accesibilidad, bolardos y nomenclatura, municipio de Zapopan, Jalisco.</v>
          </cell>
          <cell r="AM279">
            <v>43059</v>
          </cell>
          <cell r="AN279">
            <v>43148</v>
          </cell>
          <cell r="AR279" t="str">
            <v>Recurso Propio</v>
          </cell>
          <cell r="AS279" t="str">
            <v>Colonia Loma Bonita Residencial</v>
          </cell>
        </row>
        <row r="280">
          <cell r="B280" t="str">
            <v>Licitación por Invitación Restringida</v>
          </cell>
          <cell r="D280" t="str">
            <v>DOPI-MUN-RM-PAV-CI-268-2017</v>
          </cell>
          <cell r="T280" t="str">
            <v>JOEL</v>
          </cell>
          <cell r="U280" t="str">
            <v>ZULOAGA</v>
          </cell>
          <cell r="V280" t="str">
            <v>ACEVES</v>
          </cell>
          <cell r="W280" t="str">
            <v>TASUM SOLUCIONES EN CONSTRUCCIÓN, S.A. DE C.V.</v>
          </cell>
          <cell r="X280" t="str">
            <v>TSC100210E48</v>
          </cell>
          <cell r="AD280">
            <v>43056</v>
          </cell>
          <cell r="AJ280">
            <v>2482599.62</v>
          </cell>
          <cell r="AL280" t="str">
            <v>Construcción de pavimento de concreto hidráulico, banquetas, adecuaciones de la red sanitaria e hidráulica, en la Av. D, colonia El Tigre II, municipio de Zapopan, Jalisco, tramo 3.</v>
          </cell>
          <cell r="AM280">
            <v>43059</v>
          </cell>
          <cell r="AN280">
            <v>43105</v>
          </cell>
          <cell r="AR280" t="str">
            <v>Recurso Propio</v>
          </cell>
          <cell r="AS280" t="str">
            <v>Colonia El Tigre II</v>
          </cell>
        </row>
        <row r="281">
          <cell r="B281" t="str">
            <v>Licitación por Invitación Restringida</v>
          </cell>
          <cell r="D281" t="str">
            <v>DOPI-MUN-CUSMAX-BAN-CI-269-2017</v>
          </cell>
          <cell r="T281" t="str">
            <v>HÉCTOR MARIO</v>
          </cell>
          <cell r="U281" t="str">
            <v>GÓMEZ</v>
          </cell>
          <cell r="V281" t="str">
            <v>GALVARRIATO FREER</v>
          </cell>
          <cell r="W281" t="str">
            <v>ESPECIALISTAS EN ACABADOS PROFESIONALES, S.A DE C.V.</v>
          </cell>
          <cell r="X281" t="str">
            <v>EAP000106BW7</v>
          </cell>
          <cell r="AD281">
            <v>43056</v>
          </cell>
          <cell r="AJ281">
            <v>1924671.62</v>
          </cell>
          <cell r="AL281" t="str">
            <v>Primera etapa de la peatonalización en la colonia Residencial Victoria (incluye: machuelos, banquetas, accesibilidad universal, bolardos y nomenclatura), municipio de Zapopan, Jalisco.</v>
          </cell>
          <cell r="AM281">
            <v>43059</v>
          </cell>
          <cell r="AN281">
            <v>43148</v>
          </cell>
          <cell r="AR281" t="str">
            <v>Cusmax 2017</v>
          </cell>
          <cell r="AS281" t="str">
            <v>Colonia Residencial Victoria</v>
          </cell>
        </row>
        <row r="282">
          <cell r="B282" t="str">
            <v>Licitación por Invitación Restringida</v>
          </cell>
          <cell r="D282" t="str">
            <v>DOPI-MUN-PP-IU-CI-270-2017</v>
          </cell>
          <cell r="T282" t="str">
            <v>JORGE ALFREDO</v>
          </cell>
          <cell r="U282" t="str">
            <v>OCHOA</v>
          </cell>
          <cell r="V282" t="str">
            <v>GONZÁLEZ</v>
          </cell>
          <cell r="W282" t="str">
            <v>AEDIFICANT, S.A. DE C.V.</v>
          </cell>
          <cell r="X282" t="str">
            <v>AED890925181</v>
          </cell>
          <cell r="AD282">
            <v>43056</v>
          </cell>
          <cell r="AJ282">
            <v>2996415.13</v>
          </cell>
          <cell r="AL282" t="str">
            <v>Rehabilitación del área infantil del Parque Villa Fantasía, municipio de Zapopan, Jalisco. Primera Etapa.</v>
          </cell>
          <cell r="AM282">
            <v>43059</v>
          </cell>
          <cell r="AN282">
            <v>43148</v>
          </cell>
          <cell r="AR282" t="str">
            <v>Presupuesto Participativo</v>
          </cell>
          <cell r="AS282" t="str">
            <v>Colonia Tepeyac</v>
          </cell>
        </row>
        <row r="283">
          <cell r="B283" t="str">
            <v>Licitación por Invitación Restringida</v>
          </cell>
          <cell r="D283" t="str">
            <v>DOPI-MUN-CUSMAX-PAV-CI-271-2017</v>
          </cell>
          <cell r="T283" t="str">
            <v>VICTOR</v>
          </cell>
          <cell r="U283" t="str">
            <v>ZAYAS</v>
          </cell>
          <cell r="V283" t="str">
            <v>RIQUELME</v>
          </cell>
          <cell r="W283" t="str">
            <v>GEMINIS INTERNACIONAL CONSTRUCTORA, S.A. DE C.V.</v>
          </cell>
          <cell r="X283" t="str">
            <v>GIC810323RA6</v>
          </cell>
          <cell r="AD283">
            <v>43056</v>
          </cell>
          <cell r="AJ283">
            <v>3720532.52</v>
          </cell>
          <cell r="AL283" t="str">
            <v>Construcción de Puente Vehicular Colonia La Higuera, municipio de Zapopan, Jalisco.</v>
          </cell>
          <cell r="AM283">
            <v>43059</v>
          </cell>
          <cell r="AN283">
            <v>43148</v>
          </cell>
          <cell r="AR283" t="str">
            <v>Cusmax 2017</v>
          </cell>
          <cell r="AS283" t="str">
            <v>Colonia La Higuera</v>
          </cell>
        </row>
        <row r="284">
          <cell r="B284" t="str">
            <v>Licitación por Invitación Restringida</v>
          </cell>
          <cell r="D284" t="str">
            <v>DOPI-MUN-CUSMAX-PAV-CI-272-2017</v>
          </cell>
          <cell r="T284" t="str">
            <v>JOSÉ OMAR</v>
          </cell>
          <cell r="U284" t="str">
            <v>FERNÁNDEZ</v>
          </cell>
          <cell r="V284" t="str">
            <v>VÁZQUEZ</v>
          </cell>
          <cell r="W284" t="str">
            <v>JOSÉ OMAR FERNÁNDEZ VÁZQUEZ</v>
          </cell>
          <cell r="X284" t="str">
            <v>FEVO740619686</v>
          </cell>
          <cell r="AD284">
            <v>43056</v>
          </cell>
          <cell r="AJ284">
            <v>3805115.17</v>
          </cell>
          <cell r="AL284" t="str">
            <v>Construcción de crucero seguro en Av. Acueducto y Av. Real Acueducto, municipio de Zapopan, Jalisco.</v>
          </cell>
          <cell r="AM284">
            <v>43059</v>
          </cell>
          <cell r="AN284">
            <v>43178</v>
          </cell>
          <cell r="AR284" t="str">
            <v>Cusmax 2017</v>
          </cell>
          <cell r="AS284" t="str">
            <v>Zona Andares</v>
          </cell>
        </row>
        <row r="285">
          <cell r="B285" t="str">
            <v>Licitación por Invitación Restringida</v>
          </cell>
          <cell r="D285" t="str">
            <v>DOPI-MUN-PP-ID-CI-284-2017</v>
          </cell>
          <cell r="T285" t="str">
            <v>MARÍA ARCELIA</v>
          </cell>
          <cell r="U285" t="str">
            <v>IÑIGUEZ</v>
          </cell>
          <cell r="V285" t="str">
            <v>HERNÁNDEZ</v>
          </cell>
          <cell r="W285" t="str">
            <v>INFRAESTRUCTURA RHINO77, S.A. DE C.V.</v>
          </cell>
          <cell r="X285" t="str">
            <v>IRH140924LX3</v>
          </cell>
          <cell r="AD285">
            <v>43082</v>
          </cell>
          <cell r="AJ285">
            <v>2961863.09</v>
          </cell>
          <cell r="AL285" t="str">
            <v>Rehabilitación de las instalaciones y equipamiento deportivo de la Unidad Deportiva Santa Margarita (La Tuzania), ubicada en Av. Periférico Norponiente, municipio de Zapopan, Jalisco.</v>
          </cell>
          <cell r="AM285">
            <v>43082</v>
          </cell>
          <cell r="AN285">
            <v>43171</v>
          </cell>
          <cell r="AR285" t="str">
            <v>Presupuesto Participativo</v>
          </cell>
          <cell r="AS285" t="str">
            <v>Colonia Santa Margarita</v>
          </cell>
        </row>
        <row r="286">
          <cell r="B286" t="str">
            <v>Licitación por Invitación Restringida</v>
          </cell>
          <cell r="D286" t="str">
            <v>DOPI-MUN-RM-RS-CI-285-2017</v>
          </cell>
          <cell r="T286" t="str">
            <v>HÉCTOR</v>
          </cell>
          <cell r="U286" t="str">
            <v>GAYTAN</v>
          </cell>
          <cell r="V286" t="str">
            <v>GALICIA</v>
          </cell>
          <cell r="W286" t="str">
            <v>SECOI CONSTRUCCIÓNES Y SERVICIOS , S.A. DE C.V.</v>
          </cell>
          <cell r="X286" t="str">
            <v>SCS1301173MA</v>
          </cell>
          <cell r="AD286">
            <v>43082</v>
          </cell>
          <cell r="AJ286">
            <v>7954253.4100000001</v>
          </cell>
          <cell r="AL286" t="str">
            <v xml:space="preserve">Construcción de obras de protección pluvial, muros de mampostería, colector pluvial, caseta de control de acceso, oficinas, sanitarios, comedor, área de estacionamiento, segunda fase de equipamiento y obras complementarias en el relleno sanitario Picachos, municipio de Zapopan, Jalisco. </v>
          </cell>
          <cell r="AM286">
            <v>43082</v>
          </cell>
          <cell r="AN286">
            <v>43201</v>
          </cell>
          <cell r="AR286" t="str">
            <v>Recurso Propio</v>
          </cell>
          <cell r="AS286" t="str">
            <v>Relleno Sanitario de Picachos</v>
          </cell>
        </row>
        <row r="287">
          <cell r="B287" t="str">
            <v>Licitación por Invitación Restringida</v>
          </cell>
          <cell r="D287" t="str">
            <v>DOPI-MUN-RM-PAV-CI-286-2017</v>
          </cell>
          <cell r="T287" t="str">
            <v xml:space="preserve">GUILLERMO </v>
          </cell>
          <cell r="U287" t="str">
            <v>SANDOVAL</v>
          </cell>
          <cell r="V287" t="str">
            <v>ALONSO</v>
          </cell>
          <cell r="W287" t="str">
            <v>CONSTRUCTORES  RCS S.A. DE C.V.</v>
          </cell>
          <cell r="X287" t="str">
            <v>CRC091106EUA</v>
          </cell>
          <cell r="AD287">
            <v>43082</v>
          </cell>
          <cell r="AJ287">
            <v>3956619.32</v>
          </cell>
          <cell r="AL287" t="str">
            <v>Obra complementaria para la pavimentación con concreto hidráulico, incluye: agua potable, alcantarillado, guarniciones, banquetas, accesibilidad y servicios complementarios de la calle Laureles en la colonia Lomas de Tabachines, municipio de Zapopan, Jalisco, segunda etapa.</v>
          </cell>
          <cell r="AM287">
            <v>43082</v>
          </cell>
          <cell r="AN287">
            <v>43141</v>
          </cell>
          <cell r="AR287" t="str">
            <v>Recurso Propio</v>
          </cell>
          <cell r="AS287" t="str">
            <v>Colonia Lomas de Tabachines</v>
          </cell>
        </row>
        <row r="288">
          <cell r="B288" t="str">
            <v>Licitación por Invitación Restringida</v>
          </cell>
          <cell r="D288" t="str">
            <v>DOPI-MUN-RM-PAV-CI-287-2017</v>
          </cell>
          <cell r="T288" t="str">
            <v>MARTÍN ALEJANDRO</v>
          </cell>
          <cell r="U288" t="str">
            <v>DIEZ MARINA</v>
          </cell>
          <cell r="V288" t="str">
            <v>INZUNZA</v>
          </cell>
          <cell r="W288" t="str">
            <v>URBANIZACIONES INZUNZA, S.A. DE C.V.</v>
          </cell>
          <cell r="X288" t="str">
            <v>UNI1201115M6</v>
          </cell>
          <cell r="AD288">
            <v>43082</v>
          </cell>
          <cell r="AJ288">
            <v>5195974.71</v>
          </cell>
          <cell r="AL288" t="str">
            <v>Pavimentación con concreto hidráulico de privada Atotonilco, de Av. Aviación al ingreso al fraccionamiento Misión del Valle, incluye: Agua potable, drenaje sanitario, guarniciones, banquetas y alumbrado público, colonia Nuevo México, municipio de Zapopan, Jalisco.</v>
          </cell>
          <cell r="AM288">
            <v>43082</v>
          </cell>
          <cell r="AN288">
            <v>43201</v>
          </cell>
          <cell r="AR288" t="str">
            <v>Recurso Propio</v>
          </cell>
          <cell r="AS288" t="str">
            <v>Colonia Nuevo México</v>
          </cell>
        </row>
        <row r="289">
          <cell r="B289" t="str">
            <v>Licitación por Invitación Restringida</v>
          </cell>
          <cell r="D289" t="str">
            <v>DOPI-MUN-RM-PAV-CI-288-2017</v>
          </cell>
          <cell r="T289" t="str">
            <v>AMALIA</v>
          </cell>
          <cell r="U289" t="str">
            <v>MORENO</v>
          </cell>
          <cell r="V289" t="str">
            <v>MALDONADO</v>
          </cell>
          <cell r="W289" t="str">
            <v>GRUPO CONSTRUCTOR LOS MUROS, S.A. DE C.V.</v>
          </cell>
          <cell r="X289" t="str">
            <v>GCM020226F28</v>
          </cell>
          <cell r="AD289">
            <v>43082</v>
          </cell>
          <cell r="AJ289">
            <v>5748894.1600000001</v>
          </cell>
          <cell r="AL289" t="str">
            <v>Pavimentación con concreto hidráulico de la calle Morelos, de calle Leona Vicario a calle Zaragoza, incluye: Agua potable, drenaje sanitario, guarniciones, banquetas y alumbrado público, en la localidad de Nextipac, municipio de Zapopan, Jalisco.</v>
          </cell>
          <cell r="AM289">
            <v>43082</v>
          </cell>
          <cell r="AN289">
            <v>43201</v>
          </cell>
          <cell r="AR289" t="str">
            <v>Recurso Propio</v>
          </cell>
          <cell r="AS289" t="str">
            <v>Localidad de Nextipac</v>
          </cell>
        </row>
        <row r="290">
          <cell r="B290" t="str">
            <v>Licitación por Invitación Restringida</v>
          </cell>
          <cell r="D290" t="str">
            <v>DOPI-MUN-RM-PAV-CI-290-2017</v>
          </cell>
          <cell r="T290" t="str">
            <v>JESÚS DAVID</v>
          </cell>
          <cell r="U290" t="str">
            <v xml:space="preserve">GARZA </v>
          </cell>
          <cell r="V290" t="str">
            <v>GARCÍA</v>
          </cell>
          <cell r="W290" t="str">
            <v>CONSTRUCCIÓNES  ELECTRIFICACIONES Y ARRENDAMIENTO DE MAQUINARIA S.A. DE C.V.</v>
          </cell>
          <cell r="X290" t="str">
            <v>CEA010615GT0</v>
          </cell>
          <cell r="AD290">
            <v>43082</v>
          </cell>
          <cell r="AJ290">
            <v>2596210.91</v>
          </cell>
          <cell r="AL290" t="str">
            <v>Pavimentación con concreto hidráulico de calle Venustiano Carranza, de calle 2 a Av. Copalita, incluye: Agua potable, drenaje sanitario, guarniciones, banquetas  y alumbrado público, en la colonia Vicente Guerrero, municipio de Zapopan, Jalisco.</v>
          </cell>
          <cell r="AM290">
            <v>43082</v>
          </cell>
          <cell r="AN290">
            <v>43186</v>
          </cell>
          <cell r="AR290" t="str">
            <v>Recurso Propio</v>
          </cell>
          <cell r="AS290" t="str">
            <v>Colonia Vicente Guerrero</v>
          </cell>
        </row>
        <row r="291">
          <cell r="B291" t="str">
            <v>Licitación por Invitación Restringida</v>
          </cell>
          <cell r="D291" t="str">
            <v>DOPI-MUN-RM-PAV-CI-291-2017</v>
          </cell>
          <cell r="T291" t="str">
            <v>JOSÉ</v>
          </cell>
          <cell r="U291" t="str">
            <v xml:space="preserve">GUILLEN </v>
          </cell>
          <cell r="V291" t="str">
            <v xml:space="preserve">DÍAZ  </v>
          </cell>
          <cell r="W291" t="str">
            <v>SERVICIOS PROFESIONALES PARA LA CONSTRUCCIÓN DE OCCIDENTE, S.A. DE C.V.</v>
          </cell>
          <cell r="X291" t="str">
            <v>SPC050127BR0</v>
          </cell>
          <cell r="AD291">
            <v>43082</v>
          </cell>
          <cell r="AJ291">
            <v>6795712.2699999996</v>
          </cell>
          <cell r="AL291" t="str">
            <v>Pavimentación con concreto hidráulico de Av. Jesús, de calle Prol. Acueducto a calle Marina Mazatlan, incluye: Agua potable, drenaje sanitario, guarniciones, banquetas y alumbrado público, en la colonias La Tuzania Ejidal,  Tuzania, La Casita, Las Bóvedas y Santa Margarita Residencial, Frente 1, municipio de Zapopan, Jalisco.</v>
          </cell>
          <cell r="AM291">
            <v>43082</v>
          </cell>
          <cell r="AN291">
            <v>43201</v>
          </cell>
          <cell r="AR291" t="str">
            <v>Recurso Propio</v>
          </cell>
          <cell r="AS291" t="str">
            <v>Colonias La Tuzania Ejidal,  Tuzania, La Casita, Las Bóvedas y Santa Margarita Residencial</v>
          </cell>
        </row>
        <row r="292">
          <cell r="B292" t="str">
            <v>Licitación por Invitación Restringida</v>
          </cell>
          <cell r="D292" t="str">
            <v>DOPI-MUN-RM-PAV-CI-292-2017</v>
          </cell>
          <cell r="T292" t="str">
            <v>JOSÉ DE JESÚS</v>
          </cell>
          <cell r="U292" t="str">
            <v xml:space="preserve">CASTILLO </v>
          </cell>
          <cell r="V292" t="str">
            <v>CARRILLO</v>
          </cell>
          <cell r="W292" t="str">
            <v>MAPA OBRAS Y PAVIMENTOS, S.A. DE C.V.</v>
          </cell>
          <cell r="X292" t="str">
            <v>MOP080610I53</v>
          </cell>
          <cell r="AD292">
            <v>43082</v>
          </cell>
          <cell r="AJ292">
            <v>2345937.4300000002</v>
          </cell>
          <cell r="AL292" t="str">
            <v>Pavimentación con concreto hidráulico de Av. Jesús, de calle Prol. Acueducto a calle Marina Mazatlan, incluye: Agua potable, drenaje sanitario, guarniciones, banquetas y alumbrado público, en la colonias La Tuzania Ejidal,  Tuzania, La Casita, Las Bóvedas y Santa Margarita Residencial, Frente 2, municipio de Zapopan, Jalisco.</v>
          </cell>
          <cell r="AM292">
            <v>43082</v>
          </cell>
          <cell r="AN292">
            <v>43201</v>
          </cell>
          <cell r="AR292" t="str">
            <v>Recurso Propio</v>
          </cell>
          <cell r="AS292" t="str">
            <v>Colonias La Tuzania Ejidal,  Tuzania, La Casita, Las Bóvedas y Santa Margarita Residencial</v>
          </cell>
        </row>
        <row r="293">
          <cell r="B293" t="str">
            <v>Licitación por Invitación Restringida</v>
          </cell>
          <cell r="D293" t="str">
            <v>DOPI-MUN-RM-PAV-CI-293-2017</v>
          </cell>
          <cell r="T293" t="str">
            <v>JUAN PABLO</v>
          </cell>
          <cell r="U293" t="str">
            <v>VERA</v>
          </cell>
          <cell r="V293" t="str">
            <v>TAVARES</v>
          </cell>
          <cell r="W293" t="str">
            <v>LIZETTE CONSTRUCCIÓNES, S.A. DE C.V.</v>
          </cell>
          <cell r="X293" t="str">
            <v>LCO080228DN2</v>
          </cell>
          <cell r="AD293">
            <v>43082</v>
          </cell>
          <cell r="AJ293">
            <v>8493500.0099999998</v>
          </cell>
          <cell r="AL293" t="str">
            <v>Pavimentación con concreto hidráulico de la calle Las Garzas, de carretera Colotlán a calle Pavoreal, incluye: Agua potable, drenaje sanitario, guarniciones, banquetas y alumbrado público, en la vinatera, municipio de Zapopan, Jalisco.</v>
          </cell>
          <cell r="AM293">
            <v>43082</v>
          </cell>
          <cell r="AN293">
            <v>43201</v>
          </cell>
          <cell r="AR293" t="str">
            <v>Recurso Propio</v>
          </cell>
          <cell r="AS293" t="str">
            <v>Colonia La Vinatera</v>
          </cell>
        </row>
        <row r="294">
          <cell r="B294" t="str">
            <v>Licitación por Invitación Restringida</v>
          </cell>
          <cell r="D294" t="str">
            <v>DOPI-MUN-RM-ID-CI-294-2017</v>
          </cell>
          <cell r="T294" t="str">
            <v>CARLOS ALBERTO</v>
          </cell>
          <cell r="U294" t="str">
            <v>VILLASEÑOR</v>
          </cell>
          <cell r="V294" t="str">
            <v>NÚÑEZ</v>
          </cell>
          <cell r="W294" t="str">
            <v>MTQ DE MÉXICO, S.A. DE C.V.</v>
          </cell>
          <cell r="X294" t="str">
            <v>MME011214IV5</v>
          </cell>
          <cell r="AD294">
            <v>43082</v>
          </cell>
          <cell r="AJ294">
            <v>7978305.2699999996</v>
          </cell>
          <cell r="AL294" t="str">
            <v>Rehabilitación de la Unidad Deportiva Paseos de Sol, Frente 1 (rehabilitación de canchas de béisbol, gradas, rehabilitación de baños vestidores,  colocación de back stop), en la colonia Paseos del Sol, municipio de Zapopan, Jalisco.</v>
          </cell>
          <cell r="AM294">
            <v>43082</v>
          </cell>
          <cell r="AN294">
            <v>43186</v>
          </cell>
          <cell r="AR294" t="str">
            <v>Recurso Propio</v>
          </cell>
          <cell r="AS294" t="str">
            <v>Colonia Paseos del Sol</v>
          </cell>
        </row>
        <row r="295">
          <cell r="B295" t="str">
            <v>Licitación por Invitación Restringida</v>
          </cell>
          <cell r="D295" t="str">
            <v>DOPI-MUN-RM-ID-CI-295-2017</v>
          </cell>
          <cell r="T295" t="str">
            <v>RICARDO</v>
          </cell>
          <cell r="U295" t="str">
            <v>HARO</v>
          </cell>
          <cell r="V295" t="str">
            <v>BUGARIN</v>
          </cell>
          <cell r="W295" t="str">
            <v>CENTRAL EDIFICACIONES, S.A. DE C.V.</v>
          </cell>
          <cell r="X295" t="str">
            <v>CED030514T47</v>
          </cell>
          <cell r="AD295">
            <v>43088</v>
          </cell>
          <cell r="AJ295">
            <v>3989821.13</v>
          </cell>
          <cell r="AL295" t="str">
            <v>Rehabilitación de la Unidad Deportiva Paseos de Sol, Frente 2 (cancha de usos múltiples, juegos infantiles, alumbrado y cercado perimetral), en la colonia Paseos del Sol, municipio de Zapopan, Jalisco.</v>
          </cell>
          <cell r="AM295">
            <v>43088</v>
          </cell>
          <cell r="AN295">
            <v>43192</v>
          </cell>
          <cell r="AR295" t="str">
            <v>Recurso Propio</v>
          </cell>
          <cell r="AS295" t="str">
            <v>Colonia Paseos del Sol</v>
          </cell>
        </row>
        <row r="296">
          <cell r="B296" t="str">
            <v>Licitación por Invitación Restringida</v>
          </cell>
          <cell r="D296" t="str">
            <v>DOPI-MUN-RM-BAN-CI-296-2017</v>
          </cell>
          <cell r="T296" t="str">
            <v>IRMA NOEMI</v>
          </cell>
          <cell r="U296" t="str">
            <v>HERNÁNDEZ</v>
          </cell>
          <cell r="V296" t="str">
            <v>ESPINOZA</v>
          </cell>
          <cell r="W296" t="str">
            <v>ARQUITECTOS DEL SUR, S.A. DE C.V.</v>
          </cell>
          <cell r="X296" t="str">
            <v>ASU140117G73</v>
          </cell>
          <cell r="AD296">
            <v>43082</v>
          </cell>
          <cell r="AJ296">
            <v>8241710.4699999997</v>
          </cell>
          <cell r="AL296" t="str">
            <v>Peatonalización en varias colonias y vialidades del municipio (Incluye: machuelos, banquetas, accesibilidad universal y bolardos). Primera Etapa, municipio de Zapopan, Jalisco.</v>
          </cell>
          <cell r="AM296">
            <v>43082</v>
          </cell>
          <cell r="AN296">
            <v>43231</v>
          </cell>
          <cell r="AR296" t="str">
            <v>Recurso Propio</v>
          </cell>
        </row>
        <row r="297">
          <cell r="B297" t="str">
            <v>Licitación por Invitación Restringida</v>
          </cell>
          <cell r="D297" t="str">
            <v>DOPI-MUN-R33-IS-CI-297-2017</v>
          </cell>
          <cell r="T297" t="str">
            <v>OMAR</v>
          </cell>
          <cell r="U297" t="str">
            <v>TORRES</v>
          </cell>
          <cell r="V297" t="str">
            <v>RAMOS</v>
          </cell>
          <cell r="W297" t="str">
            <v>GRUPO CONSTRUCTOR OBINARQ, S.A. DE C.V.</v>
          </cell>
          <cell r="X297" t="str">
            <v>GCO070524GT1</v>
          </cell>
          <cell r="AD297">
            <v>43082</v>
          </cell>
          <cell r="AJ297">
            <v>7996862.4500000002</v>
          </cell>
          <cell r="AL297" t="str">
            <v>Construcción de red de drenaje y red de agua potable de calles de la colonia Lomas del Centinela II, segunda etapa, municipio de Zapopan, Jalisco.</v>
          </cell>
          <cell r="AM297">
            <v>43082</v>
          </cell>
          <cell r="AN297">
            <v>43100</v>
          </cell>
          <cell r="AR297" t="str">
            <v>Fondo para la Infraestructura Social Municipal 2017</v>
          </cell>
          <cell r="AS297" t="str">
            <v>Colonia Lomas del Centinela II</v>
          </cell>
        </row>
        <row r="298">
          <cell r="B298" t="str">
            <v>Licitación por Invitación Restringida</v>
          </cell>
          <cell r="D298" t="str">
            <v>DOPI-MUN-R33-IS-CI-298-2017</v>
          </cell>
          <cell r="T298" t="str">
            <v>DAVID</v>
          </cell>
          <cell r="U298" t="str">
            <v>HERNÁNDEZ</v>
          </cell>
          <cell r="V298" t="str">
            <v>ESQUIVEL</v>
          </cell>
          <cell r="W298" t="str">
            <v>ARQUITECTURA Y ESPACIOS BEDA, S.A. DE C.V.</v>
          </cell>
          <cell r="X298" t="str">
            <v>AEB000705CS2</v>
          </cell>
          <cell r="AD298">
            <v>43082</v>
          </cell>
          <cell r="AJ298">
            <v>5994261</v>
          </cell>
          <cell r="AL298" t="str">
            <v>Construcción de colector y complemento de servicios básicos en la colonia La Magdalena, primera etapa, municipio de Zapopan, Jalisco.</v>
          </cell>
          <cell r="AM298">
            <v>43082</v>
          </cell>
          <cell r="AN298">
            <v>43100</v>
          </cell>
          <cell r="AR298" t="str">
            <v>Fondo para la Infraestructura Social Municipal 2018</v>
          </cell>
          <cell r="AS298" t="str">
            <v>Colonia La Magdalena</v>
          </cell>
        </row>
        <row r="299">
          <cell r="B299" t="str">
            <v>Licitación por Invitación Restringida</v>
          </cell>
          <cell r="D299" t="str">
            <v>DOPI-MUN-CUSMAX-PAV-CI-299-2017</v>
          </cell>
          <cell r="T299" t="str">
            <v>GUSTAVO</v>
          </cell>
          <cell r="U299" t="str">
            <v>DURAN</v>
          </cell>
          <cell r="V299" t="str">
            <v>JIMÉNEZ</v>
          </cell>
          <cell r="W299" t="str">
            <v>DURAN JIMÉNEZ ARQUITECTOS Y ASOCIADOS, S.A. DE C.V.</v>
          </cell>
          <cell r="X299" t="str">
            <v>DJA9405184G7</v>
          </cell>
          <cell r="AD299">
            <v>43082</v>
          </cell>
          <cell r="AJ299">
            <v>5231076.3600000003</v>
          </cell>
          <cell r="AL299" t="str">
            <v>Construcción de Parque Lineal en la Av. Patria, de Av. Acueducto - Eva Briseño-Av. Américas, tercera etapa: cruceros seguros, accesibilidades y semaforización, municipio de Zapopan, Jalisco.</v>
          </cell>
          <cell r="AM299">
            <v>43082</v>
          </cell>
          <cell r="AN299">
            <v>43186</v>
          </cell>
          <cell r="AR299" t="str">
            <v>Cusmax 2017</v>
          </cell>
          <cell r="AS299" t="str">
            <v>Zona Andares</v>
          </cell>
        </row>
        <row r="300">
          <cell r="B300" t="str">
            <v>Licitación por Invitación Restringida</v>
          </cell>
          <cell r="D300" t="str">
            <v>DOPI-MUN-CUSMAX-PAV-CI-300-2017</v>
          </cell>
          <cell r="T300" t="str">
            <v>JOSÉ DE JESÚS</v>
          </cell>
          <cell r="U300" t="str">
            <v>ROMERO</v>
          </cell>
          <cell r="V300" t="str">
            <v>GARCÍA</v>
          </cell>
          <cell r="W300" t="str">
            <v>URBANIZADORA Y CONSTRUCTORA ROAL, S.A. DE C.V.</v>
          </cell>
          <cell r="X300" t="str">
            <v>URC160310857</v>
          </cell>
          <cell r="AD300">
            <v>43082</v>
          </cell>
          <cell r="AJ300">
            <v>4127441.19</v>
          </cell>
          <cell r="AL300" t="str">
            <v>Construcción de crucero seguro en Av. Acueducto y Av. Puerta de Hierro, municipio de Zapopan, Jalisco.</v>
          </cell>
          <cell r="AM300">
            <v>43082</v>
          </cell>
          <cell r="AN300">
            <v>43186</v>
          </cell>
          <cell r="AR300" t="str">
            <v>Cusmax 2017</v>
          </cell>
          <cell r="AS300" t="str">
            <v>Colonia Puertade Hierro</v>
          </cell>
        </row>
        <row r="301">
          <cell r="B301" t="str">
            <v>Licitación por Invitación Restringida</v>
          </cell>
          <cell r="D301" t="str">
            <v>DOPI-MUN-CUSMAX-IE-CI-301-2017</v>
          </cell>
          <cell r="T301" t="str">
            <v xml:space="preserve">RODOLFO </v>
          </cell>
          <cell r="U301" t="str">
            <v xml:space="preserve">PLASCHINSKI </v>
          </cell>
          <cell r="V301" t="str">
            <v>VÁZQUEZ</v>
          </cell>
          <cell r="W301" t="str">
            <v>CONSTRUCTIO GERENS, S.A. DE C.V.</v>
          </cell>
          <cell r="X301" t="str">
            <v>CGE0101209V0</v>
          </cell>
          <cell r="AD301">
            <v>43088</v>
          </cell>
          <cell r="AJ301">
            <v>3696246.86</v>
          </cell>
          <cell r="AL301" t="str">
            <v>Estructura con lonaria y rehabilitación de Infraestructura en la Escuela C.A.M. Juan José Arreola - Roberto Solís Quiroga (pintura en exterior, impermeabilización, adecuación de banquetas y accesibilidad, rehabilitación de baños, pintura en exterior y malla perimetral), colonia Residencial Moctezuma Poniente, municipio de Zapopan, Jalisco.</v>
          </cell>
          <cell r="AM301">
            <v>43088</v>
          </cell>
          <cell r="AN301">
            <v>43177</v>
          </cell>
          <cell r="AR301" t="str">
            <v>Cusmax 2017</v>
          </cell>
          <cell r="AS301" t="str">
            <v>Colonia Residencial Moctezuma Poniente</v>
          </cell>
        </row>
        <row r="302">
          <cell r="B302" t="str">
            <v>Licitación por Invitación Restringida</v>
          </cell>
          <cell r="D302" t="str">
            <v>DOPI-MUN-CUSMAX-ID-CI-302-2017</v>
          </cell>
          <cell r="T302" t="str">
            <v>MARÍA ARCELIA</v>
          </cell>
          <cell r="U302" t="str">
            <v>IÑIGUEZ</v>
          </cell>
          <cell r="V302" t="str">
            <v>HERNÁNDEZ</v>
          </cell>
          <cell r="W302" t="str">
            <v>COMERCIALIZADORA POLIGONO, S..A DE C.V.</v>
          </cell>
          <cell r="X302" t="str">
            <v>COP1209104M8</v>
          </cell>
          <cell r="AD302">
            <v>43082</v>
          </cell>
          <cell r="AJ302">
            <v>5655079.3700000001</v>
          </cell>
          <cell r="AL302" t="str">
            <v>Construcción de Unidad Deportiva Arenales Tapatíos 2da Sección (Alcances: Cancha de Futbol 7 con pasto sintético, módulo de baños, cercado perimetral, andador, juegos infantiles, alumbrado público, banquetas y accesibilidad), primera etapa, municipio de Zapopan, Jalisco.</v>
          </cell>
          <cell r="AM302">
            <v>43082</v>
          </cell>
          <cell r="AN302">
            <v>43201</v>
          </cell>
          <cell r="AR302" t="str">
            <v>Cusmax 2017</v>
          </cell>
          <cell r="AS302" t="str">
            <v>Colonia Arenales Tapatios</v>
          </cell>
        </row>
        <row r="303">
          <cell r="B303" t="str">
            <v>Invitación a Cuando Menos Tres Personas</v>
          </cell>
          <cell r="D303" t="str">
            <v>DOPI-FED-EP-EP-CI-303-2017</v>
          </cell>
          <cell r="T303" t="str">
            <v>ERNESTO</v>
          </cell>
          <cell r="U303" t="str">
            <v>OLIVARES</v>
          </cell>
          <cell r="V303" t="str">
            <v>ÁLVAREZ</v>
          </cell>
          <cell r="W303" t="str">
            <v>SERVICIOS METROPOLITANOS DE JALISCO, S.A. DE C.V.</v>
          </cell>
          <cell r="X303" t="str">
            <v>SMJ090317FS9</v>
          </cell>
          <cell r="AD303">
            <v>43082</v>
          </cell>
          <cell r="AJ303">
            <v>2918783.25</v>
          </cell>
          <cell r="AL303" t="str">
            <v>Mejoramiento físico de espacios públicos, Parque Aurelio Ortega, municipio de Zapopan, Jalisco.</v>
          </cell>
          <cell r="AM303">
            <v>43082</v>
          </cell>
          <cell r="AN303">
            <v>43100</v>
          </cell>
          <cell r="AR303" t="str">
            <v>Espacios Públicos</v>
          </cell>
          <cell r="AS303" t="str">
            <v>Aurelio Ortega</v>
          </cell>
        </row>
        <row r="304">
          <cell r="B304" t="str">
            <v>Licitación por Invitación Restringida</v>
          </cell>
          <cell r="D304" t="str">
            <v>DOPI-MUN-RM-PAV-CI-304-2017</v>
          </cell>
          <cell r="T304" t="str">
            <v>PATRICIA LORENA</v>
          </cell>
          <cell r="U304" t="str">
            <v xml:space="preserve">GARCÍA </v>
          </cell>
          <cell r="V304" t="str">
            <v>MEZA</v>
          </cell>
          <cell r="W304" t="str">
            <v>ARQUITECTOS  Y OBRAS PERDURABLES, S.A. DE C.V.</v>
          </cell>
          <cell r="X304" t="str">
            <v>AOP140117KA2</v>
          </cell>
          <cell r="AD304">
            <v>43133</v>
          </cell>
          <cell r="AJ304">
            <v>6216718.1200000001</v>
          </cell>
          <cell r="AL304" t="str">
            <v>Pavimentación de Av. Copalita, de calle Venustiano Carranza a Av. San Cristóbal Magallanes, incluye: banquetas y señalética horizontal, en la colonia Vicente Guerrero, municipio de Zapopan, Jalisco.</v>
          </cell>
          <cell r="AM304">
            <v>43133</v>
          </cell>
          <cell r="AN304">
            <v>43282</v>
          </cell>
          <cell r="AR304" t="str">
            <v>Recurso Propio</v>
          </cell>
          <cell r="AS304" t="str">
            <v>Colonia Vicente Guerrero</v>
          </cell>
        </row>
        <row r="305">
          <cell r="B305" t="str">
            <v>Licitación por Invitación Restringida</v>
          </cell>
          <cell r="D305" t="str">
            <v>DOPI-MUN-PP-EP-CI-305-2017</v>
          </cell>
          <cell r="T305" t="str">
            <v>JESÚS</v>
          </cell>
          <cell r="U305" t="str">
            <v>ARENAS</v>
          </cell>
          <cell r="V305" t="str">
            <v>BRAVO</v>
          </cell>
          <cell r="W305" t="str">
            <v>SICOSA, S.A. DE C.V.</v>
          </cell>
          <cell r="X305" t="str">
            <v>SIC940317FH7</v>
          </cell>
          <cell r="AD305">
            <v>43088</v>
          </cell>
          <cell r="AJ305">
            <v>3985716.58</v>
          </cell>
          <cell r="AL305" t="str">
            <v>Construcción de Parque para Adultos Mayores en la Colonia La Calma, municipio de Zapopan, Jalisco.</v>
          </cell>
          <cell r="AM305">
            <v>43088</v>
          </cell>
          <cell r="AN305">
            <v>43174</v>
          </cell>
          <cell r="AR305" t="str">
            <v>Presupuesto Participativo</v>
          </cell>
          <cell r="AS305" t="str">
            <v>Colonia La Calma</v>
          </cell>
        </row>
        <row r="306">
          <cell r="B306" t="str">
            <v>Licitación por Invitación Restringida</v>
          </cell>
          <cell r="D306" t="str">
            <v>DOPI-MUN-RM-EP-CI-306-2017</v>
          </cell>
          <cell r="T306" t="str">
            <v>JUAN CARLOS</v>
          </cell>
          <cell r="U306" t="str">
            <v>SUAZO</v>
          </cell>
          <cell r="V306" t="str">
            <v>HERNÁNDEZ</v>
          </cell>
          <cell r="W306" t="str">
            <v>CODIGO A CONSTRUCTORES, S.A. DE C.V.</v>
          </cell>
          <cell r="X306" t="str">
            <v>CCO1304181PA</v>
          </cell>
          <cell r="AD306">
            <v>43088</v>
          </cell>
          <cell r="AJ306">
            <v>5979767.6399999997</v>
          </cell>
          <cell r="AL306" t="str">
            <v>Parque incluyente en Colonia Gustavo Diaz Ordaz, Primera Etapa, municipio de Zapopan, Jalisco.</v>
          </cell>
          <cell r="AM306">
            <v>43088</v>
          </cell>
          <cell r="AN306">
            <v>43174</v>
          </cell>
          <cell r="AR306" t="str">
            <v>Recurso Propio</v>
          </cell>
          <cell r="AS306" t="str">
            <v>Colonia Gustavo Diaz Ordaz</v>
          </cell>
        </row>
        <row r="307">
          <cell r="B307" t="str">
            <v>Licitación por Invitación Restringida</v>
          </cell>
          <cell r="D307" t="str">
            <v>DOPI-MUN-CUSMAX-EP-CI-307-2017</v>
          </cell>
          <cell r="T307" t="str">
            <v>HÉCTOR RUBÉN</v>
          </cell>
          <cell r="U307" t="str">
            <v>PÉREZ</v>
          </cell>
          <cell r="V307" t="str">
            <v>VARGAS</v>
          </cell>
          <cell r="W307" t="str">
            <v>DOS-HB CONSTRUCCIÓN, S.A. DE C.V.</v>
          </cell>
          <cell r="X307" t="str">
            <v>DCO140606CT5</v>
          </cell>
          <cell r="AD307">
            <v>43088</v>
          </cell>
          <cell r="AJ307">
            <v>3998780.69</v>
          </cell>
          <cell r="AL307" t="str">
            <v>Rehabilitación de espacio recreativo, sustitución de losas dañadas y machuelos, cancha de futbol rápido, rehabilitación de jardineras, mobiliario urbano, forestación, accesibilidad e iluminación, colonia San Isidro Ejidal, municipio de Zapopan, Jalisco.</v>
          </cell>
          <cell r="AM307">
            <v>43088</v>
          </cell>
          <cell r="AN307">
            <v>43174</v>
          </cell>
          <cell r="AR307" t="str">
            <v>Cusmax 2017</v>
          </cell>
          <cell r="AS307" t="str">
            <v>Colonia San Isidro Ejidal</v>
          </cell>
        </row>
        <row r="308">
          <cell r="B308" t="str">
            <v>Licitación por Invitación Restringida</v>
          </cell>
          <cell r="D308" t="str">
            <v>DOPI-MUN-CUSMAX-IE-CI-308-2017</v>
          </cell>
          <cell r="T308" t="str">
            <v xml:space="preserve">ISIDRO </v>
          </cell>
          <cell r="U308" t="str">
            <v xml:space="preserve"> ESPINOZA </v>
          </cell>
          <cell r="V308" t="str">
            <v xml:space="preserve"> PERALTA</v>
          </cell>
          <cell r="W308" t="str">
            <v>PROMOTORA Y EDIFICADORA SIERRA BLANCA S.A. DE C.V.</v>
          </cell>
          <cell r="X308" t="str">
            <v>PES1105119J6</v>
          </cell>
          <cell r="AD308">
            <v>43088</v>
          </cell>
          <cell r="AJ308">
            <v>2795892.55</v>
          </cell>
          <cell r="AL308" t="str">
            <v>Rehabilitación de Infraestructura en el Centro de Capacitación Laboral Benito Juárez (rehabilitación de barda, techos, cisterna, estructura con lonaria, construcción de espacio cívico, pintura en exterior, impermeabilización), colonia Unidad Estatuto Jurídico, municipio de Zapopan, Jalisco.</v>
          </cell>
          <cell r="AM308">
            <v>43088</v>
          </cell>
          <cell r="AN308">
            <v>43177</v>
          </cell>
          <cell r="AR308" t="str">
            <v>Cusmax 2017</v>
          </cell>
          <cell r="AS308" t="str">
            <v>Colonia Unidad Estatuto Jurídico</v>
          </cell>
        </row>
        <row r="309">
          <cell r="B309" t="str">
            <v>Licitación por Invitación Restringida</v>
          </cell>
          <cell r="D309" t="str">
            <v>DOPI-MUN-CUSMAX-ID-CI-309-2017</v>
          </cell>
          <cell r="T309" t="str">
            <v>JOAQUIN</v>
          </cell>
          <cell r="U309" t="str">
            <v>RAMÍREZ</v>
          </cell>
          <cell r="V309" t="str">
            <v>GALLARDO</v>
          </cell>
          <cell r="W309" t="str">
            <v>A. &amp; G. URBANIZADORA, S.A. DE C.V.</v>
          </cell>
          <cell r="X309" t="str">
            <v>AUR100826KX0</v>
          </cell>
          <cell r="AD309">
            <v>43088</v>
          </cell>
          <cell r="AJ309">
            <v>3491530.1</v>
          </cell>
          <cell r="AL309" t="str">
            <v>Construcción de la Unidad Deportiva Santa Lucia (Alcances: cancha de futbol 7, gimnasio al aire libre, área de juegos y cercado perimetral, primera etapa, municipio de Zapopan, Jalisco.</v>
          </cell>
          <cell r="AM309">
            <v>43088</v>
          </cell>
          <cell r="AN309">
            <v>43177</v>
          </cell>
          <cell r="AR309" t="str">
            <v>Cusmax 2017</v>
          </cell>
          <cell r="AS309" t="str">
            <v>Colonia Santa Lucia</v>
          </cell>
        </row>
        <row r="310">
          <cell r="B310" t="str">
            <v>Licitación por Invitación Restringida</v>
          </cell>
          <cell r="D310" t="str">
            <v>DOPI-MUN-CUSMAX-EP-CI-310-2017</v>
          </cell>
          <cell r="T310" t="str">
            <v xml:space="preserve">EDUARDO </v>
          </cell>
          <cell r="U310" t="str">
            <v>CRUZ</v>
          </cell>
          <cell r="V310" t="str">
            <v>MOGUEL</v>
          </cell>
          <cell r="W310" t="str">
            <v>BALKEN, S.A. DE C.V.</v>
          </cell>
          <cell r="X310" t="str">
            <v>BAL990803661</v>
          </cell>
          <cell r="AD310">
            <v>43088</v>
          </cell>
          <cell r="AJ310">
            <v>4950060.7300000004</v>
          </cell>
          <cell r="AL310" t="str">
            <v>Construcción del parque incluyente en Carretera a Tesistán (La Loma), primera etapa, municipio de Zapopan, Jalisco.</v>
          </cell>
          <cell r="AM310">
            <v>43088</v>
          </cell>
          <cell r="AN310">
            <v>43177</v>
          </cell>
          <cell r="AR310" t="str">
            <v>Cusmax 2017</v>
          </cell>
          <cell r="AS310" t="str">
            <v>Colonia La Loma</v>
          </cell>
        </row>
        <row r="311">
          <cell r="B311" t="str">
            <v>Licitación por Invitación Restringida</v>
          </cell>
          <cell r="D311" t="str">
            <v>DOPI-MUN-CUSMAX-EP-CI-311-2017</v>
          </cell>
          <cell r="T311" t="str">
            <v>ALEJANDRO</v>
          </cell>
          <cell r="U311" t="str">
            <v>GUEVARA</v>
          </cell>
          <cell r="V311" t="str">
            <v>CASTELLANOS</v>
          </cell>
          <cell r="W311" t="str">
            <v>URBANIZACION Y CONSTRUCCIÓN AVANZADA, S.A. DE C.V.</v>
          </cell>
          <cell r="X311" t="str">
            <v>UCA0207107X6</v>
          </cell>
          <cell r="AD311">
            <v>43088</v>
          </cell>
          <cell r="AJ311">
            <v>3994412.49</v>
          </cell>
          <cell r="AL311" t="str">
            <v>Construcción de terraza para usos múltiples, rehabilitación de alumbrado público, banquetas y accesibilidad en Parque la Calma, municipio de Zapopan, Jalisco.</v>
          </cell>
          <cell r="AM311">
            <v>43088</v>
          </cell>
          <cell r="AN311">
            <v>43177</v>
          </cell>
          <cell r="AR311" t="str">
            <v>Cusmax 2017</v>
          </cell>
          <cell r="AS311" t="str">
            <v>Colonia La Calma</v>
          </cell>
        </row>
        <row r="312">
          <cell r="B312" t="str">
            <v>Licitación por Invitación Restringida</v>
          </cell>
          <cell r="D312" t="str">
            <v>DOPI-MUN-CUSMAX-EP-CI-312-2017</v>
          </cell>
          <cell r="T312" t="str">
            <v>LUIS REYNALDO</v>
          </cell>
          <cell r="U312" t="str">
            <v xml:space="preserve">GALVÁN </v>
          </cell>
          <cell r="V312" t="str">
            <v>BERMEJO</v>
          </cell>
          <cell r="W312" t="str">
            <v>GALJACK ARQUITECTOS Y CONSTRUCCIONES, S.A. DE C.V.</v>
          </cell>
          <cell r="X312" t="str">
            <v>GAC051206TQ3</v>
          </cell>
          <cell r="AD312">
            <v>43088</v>
          </cell>
          <cell r="AJ312">
            <v>2886916.94</v>
          </cell>
          <cell r="AL312" t="str">
            <v>Rehabilitación y Equipamiento del Parque infantil ubicado en la calle Idolina Gaona de Cosío y Octava Oriente, en la colonia Jardines de Nuevo México, municipio de Zapopan, Jalisco.</v>
          </cell>
          <cell r="AM312">
            <v>43088</v>
          </cell>
          <cell r="AN312">
            <v>43177</v>
          </cell>
          <cell r="AR312" t="str">
            <v>Cusmax 2017</v>
          </cell>
          <cell r="AS312" t="str">
            <v>Colonia Jarfdínes de Nuevo México</v>
          </cell>
        </row>
        <row r="313">
          <cell r="B313" t="str">
            <v>Licitación por Invitación Restringida</v>
          </cell>
          <cell r="D313" t="str">
            <v>DOPI-MUN-CUSMAX-ID-CI-313-2017</v>
          </cell>
          <cell r="T313" t="str">
            <v>ADALBERTO</v>
          </cell>
          <cell r="U313" t="str">
            <v>MEDINA</v>
          </cell>
          <cell r="V313" t="str">
            <v>MORALES</v>
          </cell>
          <cell r="W313" t="str">
            <v>URDEM, S.A. DE C.V.</v>
          </cell>
          <cell r="X313" t="str">
            <v>URD130830U21</v>
          </cell>
          <cell r="AD313">
            <v>43088</v>
          </cell>
          <cell r="AJ313">
            <v>5078968.1900000004</v>
          </cell>
          <cell r="AL313" t="str">
            <v>Construcción de la Unidad Deportiva en el fraccionamiento Valle de Los Molinos, primera etapa, municipio de Zapopan, Jalisco.</v>
          </cell>
          <cell r="AM313">
            <v>43088</v>
          </cell>
          <cell r="AN313">
            <v>43177</v>
          </cell>
          <cell r="AR313" t="str">
            <v>Cusmax 2017</v>
          </cell>
          <cell r="AS313" t="str">
            <v>Colonia Valle de los Molinos</v>
          </cell>
        </row>
        <row r="314">
          <cell r="B314" t="str">
            <v>Licitación por Invitación Restringida</v>
          </cell>
          <cell r="D314" t="str">
            <v>DOPI-MUN-CUSMAX-IE-CI-314-2017</v>
          </cell>
          <cell r="T314" t="str">
            <v xml:space="preserve">ARTURO </v>
          </cell>
          <cell r="U314" t="str">
            <v>DISTANCIA</v>
          </cell>
          <cell r="V314" t="str">
            <v>SÁNCHEZ</v>
          </cell>
          <cell r="W314" t="str">
            <v>JAVAX CONSULTORES, S.A. DE C.V.</v>
          </cell>
          <cell r="X314" t="str">
            <v>JCO160413SK4</v>
          </cell>
          <cell r="AD314">
            <v>43088</v>
          </cell>
          <cell r="AJ314">
            <v>1995958</v>
          </cell>
          <cell r="AL314" t="str">
            <v>Rehabilitación de Infraestructura en la Escuela C.A.M. Sabino Cruz López (Rehabilitación de patio cívico, rehabilitación de juegos, reparación de techo, pintura en exterior, impermeabilización, banquetas y accesibilidad), colonia el Vigía, municipio de Zapopan, Jalisco.</v>
          </cell>
          <cell r="AM314">
            <v>43088</v>
          </cell>
          <cell r="AN314">
            <v>43177</v>
          </cell>
          <cell r="AR314" t="str">
            <v>Cusmax 2017</v>
          </cell>
          <cell r="AS314" t="str">
            <v>Colonia El Vigia</v>
          </cell>
        </row>
        <row r="315">
          <cell r="B315" t="str">
            <v>Licitación por Invitación Restringida</v>
          </cell>
          <cell r="D315" t="str">
            <v>DOPI-MUN-CUSMAX-EP-CI-315-2017</v>
          </cell>
          <cell r="T315" t="str">
            <v>JOSÉ DE JESÚS</v>
          </cell>
          <cell r="U315" t="str">
            <v>PALAFOX</v>
          </cell>
          <cell r="V315" t="str">
            <v>VILLEGAS</v>
          </cell>
          <cell r="W315" t="str">
            <v>MEGAENLACE CONSTRUCCIÓNES S.A. DE C.V.</v>
          </cell>
          <cell r="X315" t="str">
            <v>MCO1510113H8</v>
          </cell>
          <cell r="AD315">
            <v>43088</v>
          </cell>
          <cell r="AJ315">
            <v>3925636.16</v>
          </cell>
          <cell r="AL315" t="str">
            <v>Rehabilitación de espacio recreativa, juegos infantiles, gimnasio al aire libre, sustitución de losas dañadas, andadores, banquetas, accesibilidad y alumbrado, Lomas de Atemajac, municipio de Zapopan, Jalisco.</v>
          </cell>
          <cell r="AM315">
            <v>43088</v>
          </cell>
          <cell r="AN315">
            <v>43177</v>
          </cell>
          <cell r="AR315" t="str">
            <v>Cusmax 2017</v>
          </cell>
          <cell r="AS315" t="str">
            <v>Colonia Lomas de Atemajac</v>
          </cell>
        </row>
        <row r="316">
          <cell r="B316" t="str">
            <v>Licitación por Invitación Restringida</v>
          </cell>
          <cell r="D316" t="str">
            <v>DOPI-MUN-CUSMAX-IE-CI-316-2017</v>
          </cell>
          <cell r="T316" t="str">
            <v>LORENA MARGARITA</v>
          </cell>
          <cell r="U316" t="str">
            <v>LIMÓN</v>
          </cell>
          <cell r="V316" t="str">
            <v>GONZÁLEZ</v>
          </cell>
          <cell r="W316" t="str">
            <v>INGENIERIA Y SISTEMAS DE INFRAESTRUCTURA, S.A. DE C.V.</v>
          </cell>
          <cell r="X316" t="str">
            <v>ISI921126N34</v>
          </cell>
          <cell r="AD316">
            <v>43088</v>
          </cell>
          <cell r="AJ316">
            <v>3092973.17</v>
          </cell>
          <cell r="AL316" t="str">
            <v>Estructura con lonaria y rehabilitación de Infraestructura en el C.A.M. CITIA (Centro Interdisciplinario para el Tratamiento e Investigación del Autismo) (rehabilitación de patio cívico, adecuación de banquetas y accesibilidad, impermeabilización, pintura en exteriores), colonia Arboledas, municipio de Zapopan, Jalisco.</v>
          </cell>
          <cell r="AM316">
            <v>43088</v>
          </cell>
          <cell r="AN316">
            <v>43177</v>
          </cell>
          <cell r="AR316" t="str">
            <v>Cusmax 2017</v>
          </cell>
          <cell r="AS316" t="str">
            <v>Colonia Arboledas</v>
          </cell>
        </row>
        <row r="317">
          <cell r="B317" t="str">
            <v>Licitación por Invitación Restringida</v>
          </cell>
          <cell r="D317" t="str">
            <v>DOPI-MUN-CUSMAX-ID-CI-317-2017</v>
          </cell>
          <cell r="T317" t="str">
            <v>JOSÉ LUIS ROBERTO</v>
          </cell>
          <cell r="U317" t="str">
            <v>ULLOA</v>
          </cell>
          <cell r="V317" t="str">
            <v>LEAÑO</v>
          </cell>
          <cell r="W317" t="str">
            <v>EPSIC, ESTUDIOS, PROYECTOS Y SERVICIOS INTEGRADOS PARA LA CONSTRUCCIÓN, S.A. DE C.V.</v>
          </cell>
          <cell r="X317" t="str">
            <v>EEP070913PY4</v>
          </cell>
          <cell r="AD317">
            <v>43088</v>
          </cell>
          <cell r="AJ317">
            <v>5666226.9900000002</v>
          </cell>
          <cell r="AL317" t="str">
            <v>Rehabilitación de la Unidad Deportiva Santa Ana Tepetitlán, (Alcances: construcción de cancha de futbol soccer de pasto sintético), primera etapa, municipio de Zapopan, Jalisco.</v>
          </cell>
          <cell r="AM317">
            <v>43088</v>
          </cell>
          <cell r="AN317">
            <v>43177</v>
          </cell>
          <cell r="AR317" t="str">
            <v>Cusmax 2017</v>
          </cell>
          <cell r="AS317" t="str">
            <v>Colonia Santa Ana Tepetitlán</v>
          </cell>
        </row>
        <row r="318">
          <cell r="B318" t="str">
            <v>Licitación por Invitación Restringida</v>
          </cell>
          <cell r="D318" t="str">
            <v>DOPI-MUN-RM-IM-CI-320-2017</v>
          </cell>
          <cell r="T318" t="str">
            <v>MARÍA DE LOURDES</v>
          </cell>
          <cell r="U318" t="str">
            <v>PARRA</v>
          </cell>
          <cell r="V318" t="str">
            <v>PRECIADO</v>
          </cell>
          <cell r="W318" t="str">
            <v>CONSTRUCTORA CARVGO, S.A. DE C.V.</v>
          </cell>
          <cell r="X318" t="str">
            <v>CCA121113SY9</v>
          </cell>
          <cell r="AD318">
            <v>43088</v>
          </cell>
          <cell r="AJ318">
            <v>5044118.71</v>
          </cell>
          <cell r="AL318" t="str">
            <v>Construcción siete locales comerciales en la localidad de La Venta del Astillero y rehabilitación de bodegas y casa ejidal en la localidad de Santa Lucia, municipio de Zapopan, Jalisco.</v>
          </cell>
          <cell r="AM318">
            <v>43088</v>
          </cell>
          <cell r="AN318">
            <v>43207</v>
          </cell>
          <cell r="AR318" t="str">
            <v>Recurso Propio</v>
          </cell>
          <cell r="AS318" t="str">
            <v>Localidad Santa Lucia</v>
          </cell>
        </row>
        <row r="319">
          <cell r="B319" t="str">
            <v>Licitación por Invitación Restringida</v>
          </cell>
          <cell r="D319" t="str">
            <v>DOPI-MUN-PP-IS-CI-321-2017</v>
          </cell>
          <cell r="T319" t="str">
            <v>JOSÉ GABRIEL</v>
          </cell>
          <cell r="U319" t="str">
            <v xml:space="preserve"> GALLO </v>
          </cell>
          <cell r="V319" t="str">
            <v>GONZÁLEZ</v>
          </cell>
          <cell r="W319" t="str">
            <v>DEINCOKWI, S.A. DE C.V.</v>
          </cell>
          <cell r="X319" t="str">
            <v>DEI071106LKA</v>
          </cell>
          <cell r="AD319">
            <v>43133</v>
          </cell>
          <cell r="AJ319">
            <v>2994664.35</v>
          </cell>
          <cell r="AL319" t="str">
            <v>Construcción de alberca para rehabilitación de niños con fibrosis muscular (recurso municipal), municipio de Zapopan, Jalisco.</v>
          </cell>
          <cell r="AM319">
            <v>43133</v>
          </cell>
          <cell r="AN319">
            <v>43282</v>
          </cell>
          <cell r="AR319" t="str">
            <v>Presupuesto Participativo</v>
          </cell>
          <cell r="AS319" t="str">
            <v>Colonia La Calma</v>
          </cell>
        </row>
        <row r="320">
          <cell r="B320" t="str">
            <v>Licitación Pública</v>
          </cell>
          <cell r="D320" t="str">
            <v>DOPI-MUN-RM-ID-LP-022-2018</v>
          </cell>
          <cell r="T320" t="str">
            <v>JOSÉ ANTONIO</v>
          </cell>
          <cell r="U320" t="str">
            <v>CISNEROS</v>
          </cell>
          <cell r="V320" t="str">
            <v>CASTILLO</v>
          </cell>
          <cell r="W320" t="str">
            <v>AXIOMA PROYECTOS E INGENIERIA, S.A. DE C.V.</v>
          </cell>
          <cell r="X320" t="str">
            <v>APE111122MI0</v>
          </cell>
          <cell r="AD320">
            <v>43245</v>
          </cell>
          <cell r="AJ320">
            <v>4955639.1399999997</v>
          </cell>
          <cell r="AL320" t="str">
            <v>Rehabilitación de la Unidad Deportiva Pádel, primera etapa (rehabilitación de 4 canchas de pádel, rehabilitación de salón de usos múltiples, rehabilitación de cancha de usos múltiples, aparatos de gimnasio al aire libre, ingreso principal, rehabilitación de baños, juegos Infantiles), municipio de Zapopan, Jalisco.</v>
          </cell>
          <cell r="AM320">
            <v>43245</v>
          </cell>
          <cell r="AN320">
            <v>43334</v>
          </cell>
          <cell r="AR320" t="str">
            <v>Recurso Propio</v>
          </cell>
          <cell r="AS320" t="str">
            <v>Colonia Arcos de Guadalupe</v>
          </cell>
        </row>
        <row r="321">
          <cell r="B321" t="str">
            <v>Licitación Pública</v>
          </cell>
          <cell r="D321" t="str">
            <v>DOPI-MUN-RM-ID-LP-023-2018</v>
          </cell>
          <cell r="T321" t="str">
            <v xml:space="preserve">EDUARDO </v>
          </cell>
          <cell r="U321" t="str">
            <v>MERCADO</v>
          </cell>
          <cell r="V321" t="str">
            <v>VÁZQUEZ</v>
          </cell>
          <cell r="W321" t="str">
            <v>ANITSUJ, S.A. DE C.V.</v>
          </cell>
          <cell r="X321" t="str">
            <v>ANI1102217W2</v>
          </cell>
          <cell r="AD321">
            <v>43245</v>
          </cell>
          <cell r="AJ321">
            <v>7136158.7800000003</v>
          </cell>
          <cell r="AL321" t="str">
            <v>Rehabilitación de la Unidad Deportiva Moctezuma Residencial, primera etapa (pista de trote, rehabilitación de cancha de usos múltiples, rehabilitación de cancha de futbol, alumbrado, andadores, ingreso principal y cercado perimetral), municipio de Zapopan, Jalisco.</v>
          </cell>
          <cell r="AM321">
            <v>43245</v>
          </cell>
          <cell r="AN321">
            <v>43334</v>
          </cell>
          <cell r="AR321" t="str">
            <v>Recurso Propio</v>
          </cell>
          <cell r="AS321" t="str">
            <v>Colonia Moctezuma Residencial</v>
          </cell>
        </row>
        <row r="322">
          <cell r="B322" t="str">
            <v>Licitación Pública</v>
          </cell>
          <cell r="D322" t="str">
            <v>DOPI-MUN-RM-PAV-LP-024-2018</v>
          </cell>
          <cell r="T322" t="str">
            <v>JESÚS DAVID</v>
          </cell>
          <cell r="U322" t="str">
            <v xml:space="preserve">GARZA </v>
          </cell>
          <cell r="V322" t="str">
            <v>GARCÍA</v>
          </cell>
          <cell r="W322" t="str">
            <v>CONSTRUCCIÓNES  ELECTRIFICACIONES Y ARRENDAMIENTO DE MAQUINARIA S.A. DE C.V.</v>
          </cell>
          <cell r="X322" t="str">
            <v>CEA010615GT0</v>
          </cell>
          <cell r="AD322">
            <v>43245</v>
          </cell>
          <cell r="AJ322">
            <v>5801401.4000000004</v>
          </cell>
          <cell r="AL322" t="str">
            <v>Pavimentación con concreto hidráulico de la Av. Romanos segunda etapa, incluye agua potable, drenaje, guarniciones, banquetas, servicios complementarios y señalética, en la colonia Altamira, municipio de Zapopan, Jalisco.</v>
          </cell>
          <cell r="AM322">
            <v>43245</v>
          </cell>
          <cell r="AN322">
            <v>43344</v>
          </cell>
          <cell r="AR322" t="str">
            <v>Recurso Propio</v>
          </cell>
          <cell r="AS322" t="str">
            <v>Colonia Altamira</v>
          </cell>
        </row>
        <row r="323">
          <cell r="B323" t="str">
            <v>Licitación Pública</v>
          </cell>
          <cell r="D323" t="str">
            <v>DOPI-MUN-RM-PAV-LP-025-2018</v>
          </cell>
          <cell r="T323" t="str">
            <v>VICTOR MANUEL</v>
          </cell>
          <cell r="U323" t="str">
            <v>JAUREGUI</v>
          </cell>
          <cell r="V323" t="str">
            <v>TORRES</v>
          </cell>
          <cell r="W323" t="str">
            <v>CONSTRUCTORA ERLORT Y ASOCIADOS, S.A. DE C.V.</v>
          </cell>
          <cell r="X323" t="str">
            <v>CEA070208SB1</v>
          </cell>
          <cell r="AD323">
            <v>43245</v>
          </cell>
          <cell r="AJ323">
            <v>10516445.810000001</v>
          </cell>
          <cell r="AL323" t="str">
            <v>Construcción de la Lateral Oriente sobre Periférico Poniente, de calle San Juan a Av. Central, en la colonia Ciudad Granja, segunda etapa etapa, municipio de Zapopan, Jalisco.</v>
          </cell>
          <cell r="AM323">
            <v>43245</v>
          </cell>
          <cell r="AN323">
            <v>43344</v>
          </cell>
          <cell r="AR323" t="str">
            <v>Recurso Propio</v>
          </cell>
          <cell r="AS323" t="str">
            <v>Colonia Ciudad Granja</v>
          </cell>
        </row>
        <row r="324">
          <cell r="B324" t="str">
            <v>Licitación Pública</v>
          </cell>
          <cell r="D324" t="str">
            <v>DOPI-MUN-RM-IH-LP-026-2018</v>
          </cell>
          <cell r="T324" t="str">
            <v>PAOLA ALEJANDRA</v>
          </cell>
          <cell r="U324" t="str">
            <v>DIAZ</v>
          </cell>
          <cell r="V324" t="str">
            <v>RUIZ</v>
          </cell>
          <cell r="W324" t="str">
            <v>OBRAS CIVILES ACUARIO, S.A. DE C.V.</v>
          </cell>
          <cell r="X324" t="str">
            <v>OCA080707FG8</v>
          </cell>
          <cell r="AD324">
            <v>43245</v>
          </cell>
          <cell r="AJ324">
            <v>2211787.67</v>
          </cell>
          <cell r="AL324" t="str">
            <v>Construcción de solución pluvial en la salida del fraccionamiento Bugambilias, sobre la Av. López Mateos Sur, municipio de Zapopan, Jalisco.</v>
          </cell>
          <cell r="AM324">
            <v>43245</v>
          </cell>
          <cell r="AN324">
            <v>43334</v>
          </cell>
          <cell r="AR324" t="str">
            <v>Recurso Propio</v>
          </cell>
          <cell r="AS324" t="str">
            <v>Colonia Bugambilias</v>
          </cell>
        </row>
        <row r="325">
          <cell r="B325" t="str">
            <v>Licitación Pública</v>
          </cell>
          <cell r="D325" t="str">
            <v>DOPI-MUN-RM-PAV-LP-027-2018</v>
          </cell>
          <cell r="T325" t="str">
            <v>ERICK</v>
          </cell>
          <cell r="U325" t="str">
            <v>VILLASEÑOR</v>
          </cell>
          <cell r="V325" t="str">
            <v>GUTIÉRREZ</v>
          </cell>
          <cell r="W325" t="str">
            <v>PIXIDE CONSTRUCTORA, S.A. DE C.V.</v>
          </cell>
          <cell r="X325" t="str">
            <v>PCO140829425</v>
          </cell>
          <cell r="AD325">
            <v>43245</v>
          </cell>
          <cell r="AJ325">
            <v>2478487.17</v>
          </cell>
          <cell r="AL325" t="str">
            <v>Pavimentación con concreto hidráulico de calle Ignacio Zaragoza, de calle Vicente Guerrero a calle Justo Sierra, incluye agua potable, drenaje, guarniciones, banquetas, alumbrado y señalética, en la colonia Agua Blanca Industrial, Municipio de Zapopan, Jalisco, segunda etapa.</v>
          </cell>
          <cell r="AM325">
            <v>43245</v>
          </cell>
          <cell r="AN325">
            <v>43319</v>
          </cell>
          <cell r="AR325" t="str">
            <v>Recurso Propio</v>
          </cell>
          <cell r="AS325" t="str">
            <v>Colonia Agua Blanca Industrial</v>
          </cell>
        </row>
        <row r="326">
          <cell r="B326" t="str">
            <v>Licitación Pública</v>
          </cell>
          <cell r="D326" t="str">
            <v>DOPI-MUN-RM-PAV-LP-028-2018</v>
          </cell>
          <cell r="T326" t="str">
            <v>SERGIO CESAR</v>
          </cell>
          <cell r="U326" t="str">
            <v>DÍAZ</v>
          </cell>
          <cell r="V326" t="str">
            <v>QUIROZ</v>
          </cell>
          <cell r="W326" t="str">
            <v>GRUPO UNICRETO DE MÉXICO S.A. DE C.V.</v>
          </cell>
          <cell r="X326" t="str">
            <v>GUM111201IA5</v>
          </cell>
          <cell r="AD326">
            <v>43245</v>
          </cell>
          <cell r="AJ326">
            <v>1852180.07</v>
          </cell>
          <cell r="AL326" t="str">
            <v>Pavimentación con concreto hidráulico de calle Francisco I. Madero, de calle Vicente Guerrero a calle Justo Sierra, incluye agua potable, drenaje, guarniciones, banquetas, alumbrado y señalética, en la colonia Agua Blanca Industrial, Municipio de Zapopan, Jalisco, primera etapa.</v>
          </cell>
          <cell r="AM326">
            <v>43245</v>
          </cell>
          <cell r="AN326">
            <v>43319</v>
          </cell>
          <cell r="AR326" t="str">
            <v>Recurso Propio</v>
          </cell>
          <cell r="AS326" t="str">
            <v>Colonia Agua Blanca Industrial</v>
          </cell>
        </row>
        <row r="327">
          <cell r="B327" t="str">
            <v>Licitación Pública</v>
          </cell>
          <cell r="D327" t="str">
            <v>DOPI-MUN-R33-ELE-LP-029-2018</v>
          </cell>
          <cell r="T327" t="str">
            <v>DARIO</v>
          </cell>
          <cell r="U327" t="str">
            <v>HURTADO</v>
          </cell>
          <cell r="V327" t="str">
            <v>SERRANO</v>
          </cell>
          <cell r="W327" t="str">
            <v>EDH INGENIERIA Y DISEÑO, S.A. DE C.V.</v>
          </cell>
          <cell r="X327" t="str">
            <v>EID120425SQ2</v>
          </cell>
          <cell r="AD327">
            <v>43245</v>
          </cell>
          <cell r="AJ327">
            <v>1749224.76</v>
          </cell>
          <cell r="AL327" t="str">
            <v>Complemento de electrificación y alumbrado público en la colonia Jardines del Vergel 1ra Sección, municipio de Zapopan, Jalisco.</v>
          </cell>
          <cell r="AM327">
            <v>43245</v>
          </cell>
          <cell r="AN327">
            <v>43334</v>
          </cell>
          <cell r="AR327" t="str">
            <v>Fondo para la Infraestructura Social Municipal 2018</v>
          </cell>
          <cell r="AS327" t="str">
            <v>Colonia Jardines del Vergen 1ra sección</v>
          </cell>
        </row>
        <row r="328">
          <cell r="B328" t="str">
            <v>Licitación Pública</v>
          </cell>
          <cell r="D328" t="str">
            <v>DOPI-MUN-R33-ELE-LP-030-2018</v>
          </cell>
          <cell r="T328" t="str">
            <v xml:space="preserve">JAVIER HIPÓLITO </v>
          </cell>
          <cell r="U328" t="str">
            <v xml:space="preserve">COVARRUBIAS </v>
          </cell>
          <cell r="V328" t="str">
            <v xml:space="preserve"> QUEZADA</v>
          </cell>
          <cell r="W328" t="str">
            <v>JAVIER HIPÓLITO COVARRUBIAS QUEZADA</v>
          </cell>
          <cell r="X328" t="str">
            <v>COQJ630927QF8</v>
          </cell>
          <cell r="AD328">
            <v>43245</v>
          </cell>
          <cell r="AJ328">
            <v>2562170.13</v>
          </cell>
          <cell r="AL328" t="str">
            <v>Complemento de electrificación en la colonia Lomas de la Mesa Colorada, municipio de Zapopan, Jalisco.</v>
          </cell>
          <cell r="AM328">
            <v>43245</v>
          </cell>
          <cell r="AN328">
            <v>43334</v>
          </cell>
          <cell r="AR328" t="str">
            <v>Fondo para la Infraestructura Social Municipal 2018</v>
          </cell>
          <cell r="AS328" t="str">
            <v>Colonia Lomas de la Mesa Colorada</v>
          </cell>
        </row>
        <row r="329">
          <cell r="B329" t="str">
            <v>Licitación Pública</v>
          </cell>
          <cell r="D329" t="str">
            <v>DOPI-MUN-R33-ELE-LP-031-2018</v>
          </cell>
          <cell r="T329" t="str">
            <v>DARIO</v>
          </cell>
          <cell r="U329" t="str">
            <v>HURTADO</v>
          </cell>
          <cell r="V329" t="str">
            <v>SERRANO</v>
          </cell>
          <cell r="W329" t="str">
            <v>EDH INGENIERIA Y DISEÑO, S.A. DE C.V.</v>
          </cell>
          <cell r="X329" t="str">
            <v>EID120425SQ2</v>
          </cell>
          <cell r="AD329">
            <v>43245</v>
          </cell>
          <cell r="AJ329">
            <v>2259333.02</v>
          </cell>
          <cell r="AL329" t="str">
            <v>Red de electrificación y alumbrado público en la colonia Valle de Los Robles, municipio de Zapopan, Jalisco.</v>
          </cell>
          <cell r="AM329">
            <v>43245</v>
          </cell>
          <cell r="AN329">
            <v>43334</v>
          </cell>
          <cell r="AR329" t="str">
            <v>Fondo para la Infraestructura Social Municipal 2018</v>
          </cell>
          <cell r="AS329" t="str">
            <v>Colonia Valle de Los Robles</v>
          </cell>
        </row>
        <row r="330">
          <cell r="B330" t="str">
            <v>Licitación Pública</v>
          </cell>
          <cell r="D330" t="str">
            <v>DOPI-MUN-R33-ELE-LP-032-2018</v>
          </cell>
          <cell r="T330" t="str">
            <v>SERGIO</v>
          </cell>
          <cell r="U330" t="str">
            <v>RIOS</v>
          </cell>
          <cell r="V330" t="str">
            <v>CORONADO</v>
          </cell>
          <cell r="W330" t="str">
            <v>E.S. GRUPO CONSTRUCTOR, S.A. DE C.V.</v>
          </cell>
          <cell r="X330" t="str">
            <v>EGC030102TA7</v>
          </cell>
          <cell r="AD330">
            <v>43245</v>
          </cell>
          <cell r="AJ330">
            <v>2655743.23</v>
          </cell>
          <cell r="AL330" t="str">
            <v>Electrificación y servicios complementarios en el Ejido Nuevo San Martín, municipio de Zapopan, Jalisco, frente 1.</v>
          </cell>
          <cell r="AM330">
            <v>43245</v>
          </cell>
          <cell r="AN330">
            <v>43334</v>
          </cell>
          <cell r="AR330" t="str">
            <v>Fondo para la Infraestructura Social Municipal 2018</v>
          </cell>
          <cell r="AS330" t="str">
            <v>Ejido Nuevo San Martín</v>
          </cell>
        </row>
        <row r="331">
          <cell r="B331" t="str">
            <v>Licitación Pública</v>
          </cell>
          <cell r="D331" t="str">
            <v>DOPI-MUN-R33-ELE-LP-033-2018</v>
          </cell>
          <cell r="T331" t="str">
            <v>MARÍA CAROLINA</v>
          </cell>
          <cell r="U331" t="str">
            <v>SERRANO</v>
          </cell>
          <cell r="V331" t="str">
            <v>CONTRERAS</v>
          </cell>
          <cell r="W331" t="str">
            <v>ELEMENTO 83 CONSTRUCCIONES Y SERVICIOS, S.A. DE C.V.</v>
          </cell>
          <cell r="X331" t="str">
            <v>EOT171027QE9</v>
          </cell>
          <cell r="AD331">
            <v>43245</v>
          </cell>
          <cell r="AJ331">
            <v>2131389.02</v>
          </cell>
          <cell r="AL331" t="str">
            <v>Electrificación y servicios complementarios en el Ejido Nuevo San Martín, municipio de Zapopan, Jalisco, frente 2.</v>
          </cell>
          <cell r="AM331">
            <v>43245</v>
          </cell>
          <cell r="AN331">
            <v>43334</v>
          </cell>
          <cell r="AR331" t="str">
            <v>Fondo para la Infraestructura Social Municipal 2018</v>
          </cell>
          <cell r="AS331" t="str">
            <v>Ejido Nuevo San Martín</v>
          </cell>
        </row>
        <row r="332">
          <cell r="B332" t="str">
            <v>Licitación Pública</v>
          </cell>
          <cell r="D332" t="str">
            <v>DOPI-MUN-R33-ELE-LP-034-2018</v>
          </cell>
          <cell r="T332" t="str">
            <v xml:space="preserve">JAVIER HIPÓLITO </v>
          </cell>
          <cell r="U332" t="str">
            <v xml:space="preserve">COVARRUBIAS </v>
          </cell>
          <cell r="V332" t="str">
            <v xml:space="preserve"> QUEZADA</v>
          </cell>
          <cell r="W332" t="str">
            <v>JAVIER HIPÓLITO COVARRUBIAS QUEZADA</v>
          </cell>
          <cell r="X332" t="str">
            <v>COQJ630927QF8</v>
          </cell>
          <cell r="AD332">
            <v>43245</v>
          </cell>
          <cell r="AJ332">
            <v>2083343.03</v>
          </cell>
          <cell r="AL332" t="str">
            <v>Electrificación y servicios complementarios en el poblado San Miguel Tateposco, municipio de Zapopan, Jalisco.</v>
          </cell>
          <cell r="AM332">
            <v>43245</v>
          </cell>
          <cell r="AN332">
            <v>43334</v>
          </cell>
          <cell r="AR332" t="str">
            <v>Fondo para la Infraestructura Social Municipal 2018</v>
          </cell>
          <cell r="AS332" t="str">
            <v>Poblado San Miguel Tateposco</v>
          </cell>
        </row>
        <row r="333">
          <cell r="B333" t="str">
            <v>Licitación Pública</v>
          </cell>
          <cell r="D333" t="str">
            <v>DOPI-MUN-R33-APDS-LP-035-2018</v>
          </cell>
          <cell r="T333" t="str">
            <v>LAURA LILIA</v>
          </cell>
          <cell r="U333" t="str">
            <v>ARELLANO</v>
          </cell>
          <cell r="V333" t="str">
            <v>CERNA</v>
          </cell>
          <cell r="W333" t="str">
            <v>CONSTRUCCIÓNES E INGENIERIA EL CIPRES, S.A. DE C.V.</v>
          </cell>
          <cell r="X333" t="str">
            <v>CEI120724PR2</v>
          </cell>
          <cell r="AD333">
            <v>43245</v>
          </cell>
          <cell r="AJ333">
            <v>2655429.86</v>
          </cell>
          <cell r="AL333" t="str">
            <v>Construcción de línea de drenaje y agua potable en la colonia Mesa Colorada Poniente, frente 1, municipio de Zapopan, Jalisco.</v>
          </cell>
          <cell r="AM333">
            <v>43245</v>
          </cell>
          <cell r="AN333">
            <v>43334</v>
          </cell>
          <cell r="AR333" t="str">
            <v>Fondo para la Infraestructura Social Municipal 2018</v>
          </cell>
          <cell r="AS333" t="str">
            <v>Colonia Mesa Colorada Poniente</v>
          </cell>
        </row>
        <row r="334">
          <cell r="B334" t="str">
            <v>Licitación Pública</v>
          </cell>
          <cell r="D334" t="str">
            <v>DOPI-MUN-R33-APDS-LP-036-2018</v>
          </cell>
          <cell r="T334" t="str">
            <v>FELIPE DANIEL II</v>
          </cell>
          <cell r="U334" t="str">
            <v>NUÑEZ</v>
          </cell>
          <cell r="V334" t="str">
            <v>PINZON</v>
          </cell>
          <cell r="W334" t="str">
            <v>GRUPO NUVECO, S.A. DE C.V.</v>
          </cell>
          <cell r="X334" t="str">
            <v>GNU120809KX1</v>
          </cell>
          <cell r="AD334">
            <v>43245</v>
          </cell>
          <cell r="AJ334">
            <v>2395857.0299999998</v>
          </cell>
          <cell r="AL334" t="str">
            <v>Construcción de línea de drenaje y agua potable en la colonia Mesa Colorada Poniente, frente 2, municipio de Zapopan, Jalisco.</v>
          </cell>
          <cell r="AM334">
            <v>43245</v>
          </cell>
          <cell r="AN334">
            <v>43319</v>
          </cell>
          <cell r="AR334" t="str">
            <v>Fondo para la Infraestructura Social Municipal 2018</v>
          </cell>
          <cell r="AS334" t="str">
            <v>Colonia Mesa Colorada Poniente</v>
          </cell>
        </row>
        <row r="335">
          <cell r="B335" t="str">
            <v>Licitación Pública</v>
          </cell>
          <cell r="D335" t="str">
            <v>DOPI-MUN-R33-APDS-LP-037-2018</v>
          </cell>
          <cell r="T335" t="str">
            <v>ERNESTO</v>
          </cell>
          <cell r="U335" t="str">
            <v>OLIVARES</v>
          </cell>
          <cell r="V335" t="str">
            <v>ÁLVAREZ</v>
          </cell>
          <cell r="W335" t="str">
            <v xml:space="preserve">METRICA INFRAESTRUCTURA, S.A. DE C.V. </v>
          </cell>
          <cell r="X335" t="str">
            <v>MIN170819GG1</v>
          </cell>
          <cell r="AD335">
            <v>43245</v>
          </cell>
          <cell r="AJ335">
            <v>2759769.39</v>
          </cell>
          <cell r="AL335" t="str">
            <v>Construcción de línea de drenaje y agua potable en la colonia Mesa Colorada Poniente, frente 3, municipio de Zapopan, Jalisco.</v>
          </cell>
          <cell r="AM335">
            <v>43245</v>
          </cell>
          <cell r="AN335">
            <v>43319</v>
          </cell>
          <cell r="AR335" t="str">
            <v>Fondo para la Infraestructura Social Municipal 2018</v>
          </cell>
          <cell r="AS335" t="str">
            <v>Colonia Mesa Colorada Poniente</v>
          </cell>
        </row>
        <row r="336">
          <cell r="B336" t="str">
            <v>Licitación Pública</v>
          </cell>
          <cell r="D336" t="str">
            <v>DOPI-MUN-R33-PAV-LP-038-2018</v>
          </cell>
          <cell r="T336" t="str">
            <v>JAVIER</v>
          </cell>
          <cell r="U336" t="str">
            <v>CAÑEDO</v>
          </cell>
          <cell r="V336" t="str">
            <v>ORTEGA</v>
          </cell>
          <cell r="W336" t="str">
            <v>CONSTRUCCIONES TECNICAS DE OCCIDENTE, S.A. DE C.V.</v>
          </cell>
          <cell r="X336" t="str">
            <v>CTO061116F61</v>
          </cell>
          <cell r="AD336">
            <v>43245</v>
          </cell>
          <cell r="AJ336">
            <v>3320082.26</v>
          </cell>
          <cell r="AL336" t="str">
            <v>Pavimentación con concreto hidráulico en la colonia Fresno (calle Palmas de Eucalipto a cerrada, calle Eucalipto de Pirul a Encino y calle Encino de Eucalipto a Pino), municipio de Zapopan, Jalisco.</v>
          </cell>
          <cell r="AM336">
            <v>43245</v>
          </cell>
          <cell r="AN336">
            <v>43319</v>
          </cell>
          <cell r="AR336" t="str">
            <v>Fondo para la Infraestructura Social Municipal 2018</v>
          </cell>
          <cell r="AS336" t="str">
            <v>Colonia El Fresno</v>
          </cell>
        </row>
        <row r="337">
          <cell r="B337" t="str">
            <v>Licitación Pública</v>
          </cell>
          <cell r="D337" t="str">
            <v>DOPI-MUN-R33-APDS-LP-039-2018</v>
          </cell>
          <cell r="T337" t="str">
            <v>ERICK</v>
          </cell>
          <cell r="U337" t="str">
            <v>VILLASEÑOR</v>
          </cell>
          <cell r="V337" t="str">
            <v>GUTIÉRREZ</v>
          </cell>
          <cell r="W337" t="str">
            <v>PIXIDE CONSTRUCTORA, S.A. DE C.V.</v>
          </cell>
          <cell r="X337" t="str">
            <v>PCO140829425</v>
          </cell>
          <cell r="AD337">
            <v>43245</v>
          </cell>
          <cell r="AJ337">
            <v>3193010.78</v>
          </cell>
          <cell r="AL337" t="str">
            <v>Construcción de red de drenaje y agua potable en la colonia San José Ejidal, municipio de Zapopan, Jalisco.</v>
          </cell>
          <cell r="AM337">
            <v>43245</v>
          </cell>
          <cell r="AN337">
            <v>43319</v>
          </cell>
          <cell r="AR337" t="str">
            <v>Fondo para la Infraestructura Social Municipal 2018</v>
          </cell>
          <cell r="AS337" t="str">
            <v>Colonia San José Ejidal</v>
          </cell>
        </row>
        <row r="338">
          <cell r="B338" t="str">
            <v>Licitación Pública</v>
          </cell>
          <cell r="D338" t="str">
            <v>DOPI-FED-PR-PAV-LP-040-2018</v>
          </cell>
          <cell r="T338" t="str">
            <v>SERGIO CESAR</v>
          </cell>
          <cell r="U338" t="str">
            <v>DÍAZ</v>
          </cell>
          <cell r="V338" t="str">
            <v>QUIROZ</v>
          </cell>
          <cell r="W338" t="str">
            <v>TRANSCRETO S.A. DE C.V.</v>
          </cell>
          <cell r="X338" t="str">
            <v>TRA750528286</v>
          </cell>
          <cell r="AD338">
            <v>43245</v>
          </cell>
          <cell r="AJ338">
            <v>8163546.4699999997</v>
          </cell>
          <cell r="AL338" t="str">
            <v>Construcción de Avenida El Collí con concreto hidráulico entre la calle Roble y Las Torres, en la colonia Paraísos del Collí, municipio de Zapopan, Jalisco.</v>
          </cell>
          <cell r="AM338">
            <v>43245</v>
          </cell>
          <cell r="AN338">
            <v>43344</v>
          </cell>
          <cell r="AR338" t="str">
            <v>Proyectos de Desarrollo Regional 2018</v>
          </cell>
          <cell r="AS338" t="str">
            <v>Colonia Paraisos del Colli</v>
          </cell>
        </row>
        <row r="339">
          <cell r="B339" t="str">
            <v>Licitación Pública</v>
          </cell>
          <cell r="D339" t="str">
            <v>DOPI-FED-PR-PAV-LP-041-2018</v>
          </cell>
          <cell r="T339" t="str">
            <v>JOSÉ ANTONIO</v>
          </cell>
          <cell r="U339" t="str">
            <v>CERECER</v>
          </cell>
          <cell r="V339" t="str">
            <v>RODRÍGUEZ</v>
          </cell>
          <cell r="W339" t="str">
            <v>GRUPO CONSTRUCTOR DE LA REGION, S.A. DE C.V.</v>
          </cell>
          <cell r="X339" t="str">
            <v>GCR030911B99</v>
          </cell>
          <cell r="AD339">
            <v>43245</v>
          </cell>
          <cell r="AJ339">
            <v>8630561.4700000007</v>
          </cell>
          <cell r="AL339" t="str">
            <v>Construcción de Av. Palmira y Av. Las Torres con concreto hidráulico, entre la calle Jardín y Privada Bugambilias, en las colonias Los Cajetes y Palmira, municipio de Zapopan, Jalisco.</v>
          </cell>
          <cell r="AM339">
            <v>43245</v>
          </cell>
          <cell r="AN339">
            <v>43344</v>
          </cell>
          <cell r="AR339" t="str">
            <v>Proyectos de Desarrollo Regional 2018</v>
          </cell>
          <cell r="AS339" t="str">
            <v>Colonias Los Cajetes y Palmira</v>
          </cell>
        </row>
        <row r="340">
          <cell r="B340" t="str">
            <v>Licitación Pública</v>
          </cell>
          <cell r="D340" t="str">
            <v>DOPI-FED-PR-PAV-LP-042-2018</v>
          </cell>
          <cell r="T340" t="str">
            <v>ROBERTO</v>
          </cell>
          <cell r="U340" t="str">
            <v>SILVA</v>
          </cell>
          <cell r="V340" t="str">
            <v>VARGAS</v>
          </cell>
          <cell r="W340" t="str">
            <v>WERK Y CONSTRUCCIONES, S.A. DE C.V.</v>
          </cell>
          <cell r="X340" t="str">
            <v>WCO1701106T6</v>
          </cell>
          <cell r="AD340">
            <v>43245</v>
          </cell>
          <cell r="AJ340">
            <v>8365621.0199999996</v>
          </cell>
          <cell r="AL340" t="str">
            <v>Construcción de calle 16 de Septiembre con concreto hidráulico, entre la calle Ocampo y 5 de Mayo, en la colonia de San Juan de Ocotán, municipio de Zapopan, Jalisco.</v>
          </cell>
          <cell r="AM340">
            <v>43245</v>
          </cell>
          <cell r="AN340">
            <v>43344</v>
          </cell>
          <cell r="AR340" t="str">
            <v>Proyectos de Desarrollo Regional 2018</v>
          </cell>
          <cell r="AS340" t="str">
            <v>Colonia San Juan de Ocotán</v>
          </cell>
        </row>
        <row r="341">
          <cell r="B341" t="str">
            <v>Licitación Pública</v>
          </cell>
          <cell r="D341" t="str">
            <v>DOPI-FED-PR-PAV-LP-043-2018</v>
          </cell>
          <cell r="T341" t="str">
            <v>SERGIO CESAR</v>
          </cell>
          <cell r="U341" t="str">
            <v>DÍAZ</v>
          </cell>
          <cell r="V341" t="str">
            <v>QUIROZ</v>
          </cell>
          <cell r="W341" t="str">
            <v>TRANSCRETO S.A. DE C.V.</v>
          </cell>
          <cell r="X341" t="str">
            <v>TRA750528286</v>
          </cell>
          <cell r="AD341">
            <v>43245</v>
          </cell>
          <cell r="AJ341">
            <v>7826903.2800000003</v>
          </cell>
          <cell r="AL341" t="str">
            <v>Construcción de la calle Arenales con concreto hidráulico entre la calle Oro y la calle Mica, en la colonia Arenales Tapatíos, municipio de Zapopan, Jalisco.</v>
          </cell>
          <cell r="AM341">
            <v>43245</v>
          </cell>
          <cell r="AN341">
            <v>43344</v>
          </cell>
          <cell r="AR341" t="str">
            <v>Proyectos de Desarrollo Regional 2018</v>
          </cell>
          <cell r="AS341" t="str">
            <v>Colonia Arenales Tapatios</v>
          </cell>
        </row>
        <row r="342">
          <cell r="B342" t="str">
            <v>Licitación Pública</v>
          </cell>
          <cell r="D342" t="str">
            <v>DOPI-FED-PR-PAV-LP-044-2018</v>
          </cell>
          <cell r="T342" t="str">
            <v>J. GERARDO</v>
          </cell>
          <cell r="U342" t="str">
            <v>NICANOR</v>
          </cell>
          <cell r="V342" t="str">
            <v>MEJIA MARISCAL</v>
          </cell>
          <cell r="W342" t="str">
            <v>INECO CONSTRUYE, S.A. DE C.V.</v>
          </cell>
          <cell r="X342" t="str">
            <v>ICO980722MQ4</v>
          </cell>
          <cell r="AD342">
            <v>43245</v>
          </cell>
          <cell r="AJ342">
            <v>8616632.8100000005</v>
          </cell>
          <cell r="AL342" t="str">
            <v>Construcción de la calle Guadalupe Victoria con concreto hidráulico entre la calle Juárez y 15 de Septiembre, en la colonia Santa María del Pueblito, municipio de Zapopan, Jalisco.</v>
          </cell>
          <cell r="AM342">
            <v>43245</v>
          </cell>
          <cell r="AN342">
            <v>43344</v>
          </cell>
          <cell r="AR342" t="str">
            <v>Proyectos de Desarrollo Regional 2018</v>
          </cell>
          <cell r="AS342" t="str">
            <v>Colonia Santa Maria del Pueblito</v>
          </cell>
        </row>
        <row r="343">
          <cell r="B343" t="str">
            <v>Licitación Pública</v>
          </cell>
          <cell r="D343" t="str">
            <v>DOPI-FED-PR-PAV-LP-045-2018</v>
          </cell>
          <cell r="T343" t="str">
            <v>JULIO EDUARDO</v>
          </cell>
          <cell r="U343" t="str">
            <v>LÓPEZ</v>
          </cell>
          <cell r="V343" t="str">
            <v>PÉREZ</v>
          </cell>
          <cell r="W343" t="str">
            <v>PROYECTOS E INSUMOS INDUSTRIALES JELP, S.A. DE C.V.</v>
          </cell>
          <cell r="X343" t="str">
            <v>PEI020208RW0</v>
          </cell>
          <cell r="AD343">
            <v>43245</v>
          </cell>
          <cell r="AJ343">
            <v>5335680.71</v>
          </cell>
          <cell r="AL343" t="str">
            <v>Construcción de calle López Cotilla con concreto hidráulico entre la calle Zaragoza y Avenida Vallarta, en la colonia Jocotán, municipio de Zapopan, Jalisco.</v>
          </cell>
          <cell r="AM343">
            <v>43245</v>
          </cell>
          <cell r="AN343">
            <v>43344</v>
          </cell>
          <cell r="AR343" t="str">
            <v>Proyectos de Desarrollo Regional 2018</v>
          </cell>
          <cell r="AS343" t="str">
            <v>Colonia Jocotán</v>
          </cell>
        </row>
        <row r="344">
          <cell r="B344" t="str">
            <v>Licitación Pública</v>
          </cell>
          <cell r="D344" t="str">
            <v>DOPI-FED-PR-PAV-LP-046-2018</v>
          </cell>
          <cell r="T344" t="str">
            <v xml:space="preserve">ADRIANA ISABEL </v>
          </cell>
          <cell r="U344" t="str">
            <v xml:space="preserve">MONTAÑEZ </v>
          </cell>
          <cell r="V344" t="str">
            <v>ZAMORA</v>
          </cell>
          <cell r="W344" t="str">
            <v>GRUPO CONSTRUCTOR TZOE, S.A. DE C.V.</v>
          </cell>
          <cell r="X344" t="str">
            <v>GCT12060233A</v>
          </cell>
          <cell r="AD344">
            <v>43245</v>
          </cell>
          <cell r="AJ344">
            <v>8175270.79</v>
          </cell>
          <cell r="AL344" t="str">
            <v>Construcción de la calle Puerto Manzanillo con concreto hidráulico entre la calle Puerto México y Prolongación Tepeyac, en la colonia Miramar, municipio de Zapopan, Jalisco.</v>
          </cell>
          <cell r="AM344">
            <v>43245</v>
          </cell>
          <cell r="AN344">
            <v>43344</v>
          </cell>
          <cell r="AR344" t="str">
            <v>Proyectos de Desarrollo Regional 2018</v>
          </cell>
          <cell r="AS344" t="str">
            <v>Colonia Miramar</v>
          </cell>
        </row>
        <row r="345">
          <cell r="B345" t="str">
            <v>Licitación Pública</v>
          </cell>
          <cell r="D345" t="str">
            <v>DOPI-FED-PR-PAV-LP-047-2018</v>
          </cell>
          <cell r="T345" t="str">
            <v>MA. LUIZA</v>
          </cell>
          <cell r="U345" t="str">
            <v>MARTÍNEZ</v>
          </cell>
          <cell r="V345" t="str">
            <v>ALMARAZ</v>
          </cell>
          <cell r="W345" t="str">
            <v>J&amp;L ASESORIA Y SERVICIOS, S.A. DE C.V.</v>
          </cell>
          <cell r="X345" t="str">
            <v>JAS170622TX0</v>
          </cell>
          <cell r="AD345">
            <v>43245</v>
          </cell>
          <cell r="AJ345">
            <v>3193802.75</v>
          </cell>
          <cell r="AL345" t="str">
            <v>Construcción de la calle Ramón Corona con concreto hidráulico entre la calle Manuel M. Diéguez y López Cotilla, en la colonia Jocotán, municipio de Zapopan, Jalisco.</v>
          </cell>
          <cell r="AM345">
            <v>43245</v>
          </cell>
          <cell r="AN345">
            <v>43344</v>
          </cell>
          <cell r="AR345" t="str">
            <v>Proyectos de Desarrollo Regional 2018</v>
          </cell>
          <cell r="AS345" t="str">
            <v>Colonia Jocotán</v>
          </cell>
        </row>
        <row r="346">
          <cell r="B346" t="str">
            <v>Licitación Pública</v>
          </cell>
          <cell r="D346" t="str">
            <v>DOPI-FED-PR-PAV-LP-048-2018</v>
          </cell>
          <cell r="T346" t="str">
            <v>HAYDEE LILIANA</v>
          </cell>
          <cell r="U346" t="str">
            <v>AGUILAR</v>
          </cell>
          <cell r="V346" t="str">
            <v>CASSIAN</v>
          </cell>
          <cell r="W346" t="str">
            <v>EDIFICA 2001, S.A. DE C.V.</v>
          </cell>
          <cell r="X346" t="str">
            <v>EDM970225I68</v>
          </cell>
          <cell r="AD346">
            <v>43245</v>
          </cell>
          <cell r="AJ346">
            <v>8453090.6600000001</v>
          </cell>
          <cell r="AL346" t="str">
            <v>Construcción de calle Calzada Norte con empedrado tradicional y huellas de concreto hidráulico entre la calle Calzada Central y calle Calzada de Los Álamos, en la colonia Ciudad Granja, municipio de Zapopan, Jalisco.</v>
          </cell>
          <cell r="AM346">
            <v>43245</v>
          </cell>
          <cell r="AN346">
            <v>43344</v>
          </cell>
          <cell r="AR346" t="str">
            <v>Proyectos de Desarrollo Regional 2018</v>
          </cell>
          <cell r="AS346" t="str">
            <v>Colonia Ciudad Granja</v>
          </cell>
        </row>
        <row r="347">
          <cell r="B347" t="str">
            <v>Licitación Pública</v>
          </cell>
          <cell r="D347" t="str">
            <v>DOPI-MUN-RM-ID-LP-049-2018</v>
          </cell>
          <cell r="T347" t="str">
            <v>OMAR</v>
          </cell>
          <cell r="U347" t="str">
            <v>MORA</v>
          </cell>
          <cell r="V347" t="str">
            <v>MONTES DE OCA</v>
          </cell>
          <cell r="W347" t="str">
            <v>DOMMONT CONSTRUCCIÓNES, S.A. DE C.V.</v>
          </cell>
          <cell r="X347" t="str">
            <v>DCO130215C16</v>
          </cell>
          <cell r="AD347">
            <v>43245</v>
          </cell>
          <cell r="AJ347">
            <v>5427047.8300000001</v>
          </cell>
          <cell r="AL347" t="str">
            <v>Rehabilitación de la Unidad Deportiva República, primera etapa (ingreso Principal, rehabilitación de dos canchas de usos múltiples, rehabilitación de gradas, alumbrado, rehabilitación de cancha de futbol, skatepark y cercado perimetral), municipio de Zapopan, Jalisco.</v>
          </cell>
          <cell r="AM347">
            <v>43245</v>
          </cell>
          <cell r="AN347">
            <v>43334</v>
          </cell>
          <cell r="AR347" t="str">
            <v>Recurso Propio</v>
          </cell>
          <cell r="AS347" t="str">
            <v>Colonia San Francisco</v>
          </cell>
        </row>
        <row r="348">
          <cell r="B348" t="str">
            <v>Concurso por Invitación</v>
          </cell>
          <cell r="D348" t="str">
            <v>DOPI-EST-FOCOCI-PAV-CI-050-2018</v>
          </cell>
          <cell r="T348" t="str">
            <v xml:space="preserve">EDUARDO </v>
          </cell>
          <cell r="U348" t="str">
            <v>CRUZ</v>
          </cell>
          <cell r="V348" t="str">
            <v>MOGUEL</v>
          </cell>
          <cell r="W348" t="str">
            <v>BALKEN, S.A. DE C.V.</v>
          </cell>
          <cell r="X348" t="str">
            <v>BAL990803661</v>
          </cell>
          <cell r="AD348">
            <v>43248</v>
          </cell>
          <cell r="AJ348">
            <v>4892294.8099999996</v>
          </cell>
          <cell r="AL348" t="str">
            <v>Pavimentación con concreto hidráulico en la Av. Palmira incluye: drenaje sanitario, agua potable, drenaje pluvial, banquetas, peatonalización, señalamiento y obras complementarias, en las colonias Palmira y Florida, en el municipio de Zapopan, Jalisco.</v>
          </cell>
          <cell r="AM348">
            <v>43248</v>
          </cell>
          <cell r="AN348">
            <v>43352</v>
          </cell>
          <cell r="AR348" t="str">
            <v>Fondo Común Concursable para Infraestructura 2018</v>
          </cell>
          <cell r="AS348" t="str">
            <v>Colonias Palmira y Florida</v>
          </cell>
        </row>
        <row r="349">
          <cell r="B349" t="str">
            <v>Concurso por Invitación</v>
          </cell>
          <cell r="D349" t="str">
            <v>DOPI-EST-FOCOCI-IM-CI-051-2018</v>
          </cell>
          <cell r="T349" t="str">
            <v>JOSÉ ANTONIO</v>
          </cell>
          <cell r="U349" t="str">
            <v>CISNEROS</v>
          </cell>
          <cell r="V349" t="str">
            <v>CASTILLO</v>
          </cell>
          <cell r="W349" t="str">
            <v>AXIOMA PROYECTOS E INGENIERIA, S.A. DE C.V.</v>
          </cell>
          <cell r="X349" t="str">
            <v>APE111122MI0</v>
          </cell>
          <cell r="AD349">
            <v>43248</v>
          </cell>
          <cell r="AJ349">
            <v>4901568.4000000004</v>
          </cell>
          <cell r="AL349" t="str">
            <v>Construcción de Centro Comunitario San Juan de Ocotán, segunda etapa, en el municipio de Zapopan, Jalisco, frente 1.</v>
          </cell>
          <cell r="AM349">
            <v>43248</v>
          </cell>
          <cell r="AN349">
            <v>43347</v>
          </cell>
          <cell r="AR349" t="str">
            <v>Fondo Común Concursable para Infraestructura 2018</v>
          </cell>
          <cell r="AS349" t="str">
            <v>Colonia San Juan de Ocotán</v>
          </cell>
        </row>
        <row r="350">
          <cell r="B350" t="str">
            <v>Concurso por Invitación</v>
          </cell>
          <cell r="D350" t="str">
            <v>DOPI-EST-FOCOCI-IM-CI-052-2018</v>
          </cell>
          <cell r="T350" t="str">
            <v>JUAN JOSÉ</v>
          </cell>
          <cell r="U350" t="str">
            <v>GUTIÉRREZ</v>
          </cell>
          <cell r="V350" t="str">
            <v>CONTRERAS</v>
          </cell>
          <cell r="W350" t="str">
            <v>RENCOIST CONSTRUCCIÓNES, S.A. DE C.V.</v>
          </cell>
          <cell r="X350" t="str">
            <v>RCO130920JX9</v>
          </cell>
          <cell r="AD350">
            <v>43248</v>
          </cell>
          <cell r="AJ350">
            <v>4893781.5199999996</v>
          </cell>
          <cell r="AL350" t="str">
            <v>Construcción de Centro Comunitario San Juan de Ocotán, segunda etapa, en el municipio de Zapopan, Jalisco, frente 2.</v>
          </cell>
          <cell r="AM350">
            <v>43248</v>
          </cell>
          <cell r="AN350">
            <v>43347</v>
          </cell>
          <cell r="AR350" t="str">
            <v>Fondo Común Concursable para Infraestructura 2018</v>
          </cell>
          <cell r="AS350" t="str">
            <v>Colonia San Juan de Ocotán</v>
          </cell>
        </row>
        <row r="351">
          <cell r="B351" t="str">
            <v>Concurso por Invitación</v>
          </cell>
          <cell r="D351" t="str">
            <v>DOPI-EST-FOCOCI-PAV-CI-053-2018</v>
          </cell>
          <cell r="T351" t="str">
            <v>SERGIO CESAR</v>
          </cell>
          <cell r="U351" t="str">
            <v>DÍAZ</v>
          </cell>
          <cell r="V351" t="str">
            <v>QUIROZ</v>
          </cell>
          <cell r="W351" t="str">
            <v>GRUPO UNICRETO DE MÉXICO S.A. DE C.V.</v>
          </cell>
          <cell r="X351" t="str">
            <v>GUM111201IA5</v>
          </cell>
          <cell r="AD351">
            <v>43248</v>
          </cell>
          <cell r="AJ351">
            <v>3037461.07</v>
          </cell>
          <cell r="AL351" t="str">
            <v>Ampliación lateral Oriente Camino a Bosques de San Isidro, incluye: drenaje sanitario, agua potable, guarniciones, banquetas, y señalamiento, en la colonia San José del Bajío, municipio de Zapopan, Jalisco.</v>
          </cell>
          <cell r="AM351">
            <v>43248</v>
          </cell>
          <cell r="AN351">
            <v>43337</v>
          </cell>
          <cell r="AR351" t="str">
            <v>Fondo Común Concursable para Infraestructura 2018</v>
          </cell>
          <cell r="AS351" t="str">
            <v>Colonia San José del Bajío</v>
          </cell>
        </row>
        <row r="352">
          <cell r="B352" t="str">
            <v>Concurso por Invitación</v>
          </cell>
          <cell r="D352" t="str">
            <v>DOPI-EST-FOCOCI-PAV-CI-054-2018</v>
          </cell>
          <cell r="T352" t="str">
            <v>DAVID EDUARDO</v>
          </cell>
          <cell r="U352" t="str">
            <v>LARA</v>
          </cell>
          <cell r="V352" t="str">
            <v>OCHOA</v>
          </cell>
          <cell r="W352" t="str">
            <v xml:space="preserve">CONSTRUCCIONES ICU, S.A. DE C.V. </v>
          </cell>
          <cell r="X352" t="str">
            <v>CIC080626ER2</v>
          </cell>
          <cell r="AD352">
            <v>43248</v>
          </cell>
          <cell r="AJ352">
            <v>4093790.32</v>
          </cell>
          <cell r="AL352" t="str">
            <v>Reconstrucción del puente que cruza el arroyo La Culebra por la calle San Florencio, dentro del fraccionamiento Residencial Colomos Patria.</v>
          </cell>
          <cell r="AM352">
            <v>43248</v>
          </cell>
          <cell r="AN352">
            <v>43337</v>
          </cell>
          <cell r="AR352" t="str">
            <v>Fondo Común Concursable para Infraestructura 2018</v>
          </cell>
          <cell r="AS352" t="str">
            <v>Fraccionamiento Residencial Colomos Patria</v>
          </cell>
        </row>
        <row r="353">
          <cell r="B353" t="str">
            <v>Concurso por Invitación</v>
          </cell>
          <cell r="D353" t="str">
            <v>DOPI-EST-FOCOCI-ID-CI-055-2018</v>
          </cell>
          <cell r="T353" t="str">
            <v>ERICK</v>
          </cell>
          <cell r="U353" t="str">
            <v>VILLASEÑOR</v>
          </cell>
          <cell r="V353" t="str">
            <v>GUTIÉRREZ</v>
          </cell>
          <cell r="W353" t="str">
            <v>PIXIDE CONSTRUCTORA, S.A. DE C.V.</v>
          </cell>
          <cell r="X353" t="str">
            <v>PCO140829425</v>
          </cell>
          <cell r="AD353">
            <v>43248</v>
          </cell>
          <cell r="AJ353">
            <v>6169958.46</v>
          </cell>
          <cell r="AL353" t="str">
            <v>Rehabilitación del parque unidad de manejo ambiental Villa Fantasía, en la colonia Tepeyac, Segunda etapa, frente 1.</v>
          </cell>
          <cell r="AM353">
            <v>43248</v>
          </cell>
          <cell r="AN353">
            <v>43354</v>
          </cell>
          <cell r="AR353" t="str">
            <v>Fondo Común Concursable para Infraestructura 2018</v>
          </cell>
          <cell r="AS353" t="str">
            <v>Colonia Tepeyac</v>
          </cell>
        </row>
        <row r="354">
          <cell r="B354" t="str">
            <v>Concurso por Invitación</v>
          </cell>
          <cell r="D354" t="str">
            <v>DOPI-EST-FOCOCI-ID-CI-056-2018</v>
          </cell>
          <cell r="T354" t="str">
            <v>OMAR</v>
          </cell>
          <cell r="U354" t="str">
            <v>MORA</v>
          </cell>
          <cell r="V354" t="str">
            <v>MONTES DE OCA</v>
          </cell>
          <cell r="W354" t="str">
            <v>DOMMONT CONSTRUCCIÓNES, S.A. DE C.V.</v>
          </cell>
          <cell r="X354" t="str">
            <v>DCO130215C16</v>
          </cell>
          <cell r="AD354">
            <v>43248</v>
          </cell>
          <cell r="AJ354">
            <v>5840791.5999999996</v>
          </cell>
          <cell r="AL354" t="str">
            <v>Rehabilitación del parque unidad de manejo ambiental Villa Fantasía, en la colonia Tepeyac, Segunda etapa, frente 2.</v>
          </cell>
          <cell r="AM354">
            <v>43248</v>
          </cell>
          <cell r="AN354">
            <v>43354</v>
          </cell>
          <cell r="AR354" t="str">
            <v>Fondo Común Concursable para Infraestructura 2018</v>
          </cell>
          <cell r="AS354" t="str">
            <v>Colonia Tepeyac</v>
          </cell>
        </row>
        <row r="355">
          <cell r="B355" t="str">
            <v>Concurso por Invitación</v>
          </cell>
          <cell r="D355" t="str">
            <v>DOPI-EST-FOCOCI-ID-CI-057-2018</v>
          </cell>
          <cell r="T355" t="str">
            <v>ERNESTO</v>
          </cell>
          <cell r="U355" t="str">
            <v>OLIVARES</v>
          </cell>
          <cell r="V355" t="str">
            <v>ÁLVAREZ</v>
          </cell>
          <cell r="W355" t="str">
            <v xml:space="preserve">METRICA INFRAESTRUCTURA, S.A. DE C.V. </v>
          </cell>
          <cell r="X355" t="str">
            <v>MIN170819GG1</v>
          </cell>
          <cell r="AD355">
            <v>43248</v>
          </cell>
          <cell r="AJ355">
            <v>3157700.74</v>
          </cell>
          <cell r="AL355" t="str">
            <v>Rehabilitación del parque unidad de manejo ambiental Villa Fantasía, en la colonia Tepeyac, Segunda etapa, frente 3.</v>
          </cell>
          <cell r="AM355">
            <v>43248</v>
          </cell>
          <cell r="AN355">
            <v>43354</v>
          </cell>
          <cell r="AR355" t="str">
            <v>Fondo Común Concursable para Infraestructura 2018</v>
          </cell>
          <cell r="AS355" t="str">
            <v>Colonia Tepeyac</v>
          </cell>
        </row>
        <row r="356">
          <cell r="B356" t="str">
            <v>Licitación por Invitación Restringida</v>
          </cell>
          <cell r="D356" t="str">
            <v>DOPI-MUN-CUSMAX-IE-CI-058-2018</v>
          </cell>
          <cell r="T356" t="str">
            <v xml:space="preserve">FELIPE DE JESÚS </v>
          </cell>
          <cell r="U356" t="str">
            <v>DE LA CRUZ</v>
          </cell>
          <cell r="V356" t="str">
            <v>REYES</v>
          </cell>
          <cell r="W356" t="str">
            <v>MADISON CONSTRUCTORES, S.A. DE C.V.</v>
          </cell>
          <cell r="X356" t="str">
            <v>MCO1005204Z5</v>
          </cell>
          <cell r="AD356">
            <v>43248</v>
          </cell>
          <cell r="AJ356">
            <v>3080060.64</v>
          </cell>
          <cell r="AL356" t="str">
            <v>Estructura con lonaria y rehabilitación de Infraestructura en la Escuela C.A.M. 16 Niños Héroes (pintura en exterior, reparación de banquetas y barandales en patio cívico, impermeabilización), colonia Mariano Otero, municipio de Zapopan, Jalisco.</v>
          </cell>
          <cell r="AM356">
            <v>43248</v>
          </cell>
          <cell r="AN356">
            <v>43337</v>
          </cell>
          <cell r="AR356" t="str">
            <v>Cusmax 2017</v>
          </cell>
          <cell r="AS356" t="str">
            <v>Colonia Mariano Otero</v>
          </cell>
        </row>
        <row r="357">
          <cell r="B357" t="str">
            <v>Licitación por Invitación Restringida</v>
          </cell>
          <cell r="D357" t="str">
            <v>DOPI-MUN-RM-IE-CI-059-2018</v>
          </cell>
          <cell r="T357" t="str">
            <v xml:space="preserve"> MARTHA </v>
          </cell>
          <cell r="U357" t="str">
            <v>JIMÉNEZ</v>
          </cell>
          <cell r="V357" t="str">
            <v>LÓPEZ</v>
          </cell>
          <cell r="W357" t="str">
            <v>INMOBILIARIA BOCHUM S. DE R.L. DE C.V.</v>
          </cell>
          <cell r="X357" t="str">
            <v>IBO090918ET9</v>
          </cell>
          <cell r="AD357">
            <v>43248</v>
          </cell>
          <cell r="AJ357">
            <v>5391810.3799999999</v>
          </cell>
          <cell r="AL357" t="str">
            <v>Estructura con lonaria en CDI No. 3 Irene Robledo (Laureles) y en el CDI No. 2 Pablo Casals y en el CDI No. 7 Tepeyac, municipio de Zapopan, Jalisco.</v>
          </cell>
          <cell r="AM357">
            <v>43248</v>
          </cell>
          <cell r="AN357">
            <v>43337</v>
          </cell>
          <cell r="AR357" t="str">
            <v>Recurso Propio</v>
          </cell>
          <cell r="AS357" t="str">
            <v>Colonias Laureles y Tepeyac</v>
          </cell>
        </row>
        <row r="358">
          <cell r="B358" t="str">
            <v>Licitación por Invitación Restringida</v>
          </cell>
          <cell r="D358" t="str">
            <v>DOPI-MUN-RM-IE-CI-060-2018</v>
          </cell>
          <cell r="T358" t="str">
            <v>JOSÉ DE JESÚS</v>
          </cell>
          <cell r="U358" t="str">
            <v>ROMERO</v>
          </cell>
          <cell r="V358" t="str">
            <v>GARCÍA</v>
          </cell>
          <cell r="W358" t="str">
            <v>ALIANZA CONSTRUCTIVA KAMIR, S.A. DE C.V.</v>
          </cell>
          <cell r="X358" t="str">
            <v>ACK170710KI3</v>
          </cell>
          <cell r="AD358">
            <v>43248</v>
          </cell>
          <cell r="AJ358">
            <v>5161116.47</v>
          </cell>
          <cell r="AL358" t="str">
            <v>Estructura con lonaria en CDI No. 10 Mercado del Mar y en el CDC Santa Ana Tepetitlán y en el CDC Santa Lucia, municipio de Zapopan, Jalisco.</v>
          </cell>
          <cell r="AM358">
            <v>43248</v>
          </cell>
          <cell r="AN358">
            <v>43337</v>
          </cell>
          <cell r="AR358" t="str">
            <v>Recurso Propio</v>
          </cell>
          <cell r="AS358" t="str">
            <v>Colonias El Vigia, Santa Ana Tepetitlán y Santa Lucia</v>
          </cell>
        </row>
        <row r="359">
          <cell r="B359" t="str">
            <v>Licitación por Invitación Restringida</v>
          </cell>
          <cell r="D359" t="str">
            <v>DOPI-MUN-RM-IM-CI-061-2018</v>
          </cell>
          <cell r="T359" t="str">
            <v>ALFREDO</v>
          </cell>
          <cell r="U359" t="str">
            <v>FLORES</v>
          </cell>
          <cell r="V359" t="str">
            <v>CHÁVEZ</v>
          </cell>
          <cell r="W359" t="str">
            <v>ALFREDO FLORES CHÁVEZ</v>
          </cell>
          <cell r="X359" t="str">
            <v>FOCA830904HT8</v>
          </cell>
          <cell r="AD359">
            <v>43248</v>
          </cell>
          <cell r="AJ359">
            <v>3752646.72</v>
          </cell>
          <cell r="AL359" t="str">
            <v>Rehabilitación de planta baja de la Procuraduría de Protección a Niños, Niñas y Adolescentes, municipio de Zapopan, Jalisco.</v>
          </cell>
          <cell r="AM359">
            <v>43248</v>
          </cell>
          <cell r="AN359">
            <v>43337</v>
          </cell>
          <cell r="AR359" t="str">
            <v>Recurso Propio</v>
          </cell>
          <cell r="AS359" t="str">
            <v>Colonia Ladrón de Guevara</v>
          </cell>
        </row>
        <row r="360">
          <cell r="B360" t="str">
            <v>Licitación por Invitación Restringida</v>
          </cell>
          <cell r="D360" t="str">
            <v>DOPI-MUN-RM-ID-CI-063-2018</v>
          </cell>
          <cell r="T360" t="str">
            <v>MARÍA ARCELIA</v>
          </cell>
          <cell r="U360" t="str">
            <v>IÑIGUEZ</v>
          </cell>
          <cell r="V360" t="str">
            <v>HERNÁNDEZ</v>
          </cell>
          <cell r="W360" t="str">
            <v>COMERCIALIZADORA POLIGONO, S..A DE C.V.</v>
          </cell>
          <cell r="X360" t="str">
            <v>COP1209104M8</v>
          </cell>
          <cell r="AD360">
            <v>43248</v>
          </cell>
          <cell r="AJ360">
            <v>4478596.3499999996</v>
          </cell>
          <cell r="AL360" t="str">
            <v>Rehabilitación de la Unidad Deportiva Casino Tepeyac, primera etapa(rehabilitación de cancha de usos múltiples, rehabilitación de cancha de tenis, alumbrado, modulo de baños, ingreso principal y cercado perimetral), municipio de Zapopan, Jalisco.</v>
          </cell>
          <cell r="AM360">
            <v>43248</v>
          </cell>
          <cell r="AN360">
            <v>43354</v>
          </cell>
          <cell r="AR360" t="str">
            <v>Recurso Propio</v>
          </cell>
          <cell r="AS360" t="str">
            <v>Colonia Tepeyac Casino</v>
          </cell>
        </row>
        <row r="361">
          <cell r="B361" t="str">
            <v>Licitación por Invitación Restringida</v>
          </cell>
          <cell r="D361" t="str">
            <v>DOPI-MUN-RM-IE-CI-064-2018</v>
          </cell>
          <cell r="T361" t="str">
            <v>ARTURO</v>
          </cell>
          <cell r="U361" t="str">
            <v>BOJORQUEZ</v>
          </cell>
          <cell r="V361" t="str">
            <v>RIZO</v>
          </cell>
          <cell r="W361" t="str">
            <v>EDIFICACIONES Y CONSTRUCCIÓNES LEALES, S.A. DE C.V.</v>
          </cell>
          <cell r="X361" t="str">
            <v>ECL1301313F1</v>
          </cell>
          <cell r="AD361">
            <v>43262</v>
          </cell>
          <cell r="AJ361">
            <v>3295056.61</v>
          </cell>
          <cell r="AL361" t="str">
            <v>Estructura con lonaria, rehabilitación de cancha de usos múltiples, peatonalización y obra complementaria en la Escuela Secundaria Francisco, Márquez, Calle Sayil, Colonia la Tuzanía, y en la en la Escuela Primaria Alfredo V. Bonifil, Calle Río Tomatlán, Colonia Loma Bonita Ejidal, Clave: 14EPR1115G. Clave: 14DES0079F, municipio de Zapopan, Jalisco.</v>
          </cell>
          <cell r="AM361">
            <v>43262</v>
          </cell>
          <cell r="AN361">
            <v>43351</v>
          </cell>
          <cell r="AR361" t="str">
            <v>Recurso Propio</v>
          </cell>
          <cell r="AS361" t="str">
            <v>Colonias La Tuzania y Loma Bonita Ejidal</v>
          </cell>
        </row>
        <row r="362">
          <cell r="B362" t="str">
            <v>Licitación por Invitación Restringida</v>
          </cell>
          <cell r="D362" t="str">
            <v>DOPI-MUN-RM-IE-CI-065-2018</v>
          </cell>
          <cell r="T362" t="str">
            <v>JESÚS</v>
          </cell>
          <cell r="U362" t="str">
            <v>ARENAS</v>
          </cell>
          <cell r="V362" t="str">
            <v>BRAVO</v>
          </cell>
          <cell r="W362" t="str">
            <v>SICOSA, S.A. DE C.V.</v>
          </cell>
          <cell r="X362" t="str">
            <v>SIC940317FH7</v>
          </cell>
          <cell r="AD362">
            <v>43248</v>
          </cell>
          <cell r="AJ362">
            <v>4406553.7699999996</v>
          </cell>
          <cell r="AL362" t="str">
            <v>Estructura con lonaria, rehabilitación de cancha de usos múltiples, peatonalización y obra complementaria en la Escuela Pedro Moreno, en la localidad de Tesistán, y en la Escuela República Mexicana, Urbana 1155, Av. San Antonio No., Colonia San José Ejidal, Clave: 14EPR0931J, municipio de Zapopan, Jalisco.</v>
          </cell>
          <cell r="AM362">
            <v>43248</v>
          </cell>
          <cell r="AN362">
            <v>43337</v>
          </cell>
          <cell r="AR362" t="str">
            <v>Recurso Propio</v>
          </cell>
          <cell r="AS362" t="str">
            <v>Localidad de Tesitán y Colonia San José Ejidal</v>
          </cell>
        </row>
        <row r="363">
          <cell r="B363" t="str">
            <v>Licitación por Invitación Restringida</v>
          </cell>
          <cell r="D363" t="str">
            <v>DOPI-MUN-RM-IE-CI-066-2018</v>
          </cell>
          <cell r="T363" t="str">
            <v>MIGUEL ÁNGEL</v>
          </cell>
          <cell r="U363" t="str">
            <v>ROMERO</v>
          </cell>
          <cell r="V363" t="str">
            <v>LUGO</v>
          </cell>
          <cell r="W363" t="str">
            <v>OBRAS Y COMERCIALIZACION DE LA CONSTRUCCIÓN, S.A. DE C.V.</v>
          </cell>
          <cell r="X363" t="str">
            <v>OCC940714PB0</v>
          </cell>
          <cell r="AD363">
            <v>43248</v>
          </cell>
          <cell r="AJ363">
            <v>3842378.3</v>
          </cell>
          <cell r="AL363" t="str">
            <v>Estructura con lonaria, rehabilitación de cancha de usos múltiples, peatonalización y obra complementaria Escuela Lázaro Cárdenas del Río, Calle Lázaro Cárdenas, Colonia Ejido Copalita, Clave: 14DPR0456Y, y en el Preescolar Jardín de Niños Xuchitla, Calle 20 de Enero No. 22, Colonia Indígena de San Juan de Ocotán, Clave 14DJN1802G, municipio de Zapopan, Jalisco.</v>
          </cell>
          <cell r="AM363">
            <v>43248</v>
          </cell>
          <cell r="AN363">
            <v>43337</v>
          </cell>
          <cell r="AR363" t="str">
            <v>Recurso Propio</v>
          </cell>
          <cell r="AS363" t="str">
            <v>Ejido Copalita y San Juan de Ocotán</v>
          </cell>
        </row>
        <row r="364">
          <cell r="B364" t="str">
            <v>Licitación por Invitación Restringida</v>
          </cell>
          <cell r="D364" t="str">
            <v>DOPI-MUN-RM-IE-CI-067-2018</v>
          </cell>
          <cell r="T364" t="str">
            <v>JOSÉ OMAR</v>
          </cell>
          <cell r="U364" t="str">
            <v>FERNÁNDEZ</v>
          </cell>
          <cell r="V364" t="str">
            <v>VÁZQUEZ</v>
          </cell>
          <cell r="W364" t="str">
            <v>EXTRA CONSTRUCCIÓNES, S.A. DE C.V.</v>
          </cell>
          <cell r="X364" t="str">
            <v>ECO0908115Z7</v>
          </cell>
          <cell r="AD364">
            <v>43248</v>
          </cell>
          <cell r="AJ364">
            <v>3589645.62</v>
          </cell>
          <cell r="AL364" t="str">
            <v>Estructura con lonaria, rehabilitación de cancha de usos múltiples, peatonalización y obra complementaria en el Preescolar Jardín de Niños Juan de la Barrera, Av. Las Palmas, Colonia Héroes Nacionales, Clave: 14DJN1856K, y en el Preescolar Jardín de Niños Ovidio Decroly, Calle Rubén Darío, Colonia La Coronilla, Clave: 14DJN0430Z, municipio de Zapopan, Jalisco.</v>
          </cell>
          <cell r="AM364">
            <v>43248</v>
          </cell>
          <cell r="AN364">
            <v>43337</v>
          </cell>
          <cell r="AR364" t="str">
            <v>Recurso Propio</v>
          </cell>
          <cell r="AS364" t="str">
            <v>Colonias Héroes Nacionales y La Coronilla</v>
          </cell>
        </row>
        <row r="365">
          <cell r="B365" t="str">
            <v>Licitación por Invitación Restringida</v>
          </cell>
          <cell r="D365" t="str">
            <v>DOPI-MUN-RM-IE-CI-068-2018</v>
          </cell>
          <cell r="T365" t="str">
            <v>JOEL RICARDO</v>
          </cell>
          <cell r="U365" t="str">
            <v>RINCÓN</v>
          </cell>
          <cell r="V365" t="str">
            <v>SALIDO</v>
          </cell>
          <cell r="W365" t="str">
            <v>DISEÑO E INGENIERÍA DE PAVIMENTOS DIP, S.A. DE C.V.</v>
          </cell>
          <cell r="X365" t="str">
            <v>DIP1509086G7</v>
          </cell>
          <cell r="AD365">
            <v>43248</v>
          </cell>
          <cell r="AJ365">
            <v>4787818.92</v>
          </cell>
          <cell r="AL365" t="str">
            <v>Estructura con lonaria, rehabilitación de cancha de usos múltiples, peatonalización y obra complementaria en la Escuela Nicolás Copérnico, Calle de Enero No. 135, Clave: 14EES0508F, y  en la Escuela Secundaria Mixta66, Calle Octava Oriente No. 421, Colonia Nuevo México, Clave: 14EES0067Z, municipio de Zapopan, Jalisco.</v>
          </cell>
          <cell r="AM365">
            <v>43248</v>
          </cell>
          <cell r="AN365">
            <v>43337</v>
          </cell>
          <cell r="AR365" t="str">
            <v>Recurso Propio</v>
          </cell>
          <cell r="AS365" t="str">
            <v>Colonia Nuevo México</v>
          </cell>
        </row>
        <row r="366">
          <cell r="B366" t="str">
            <v>Licitación por Invitación Restringida</v>
          </cell>
          <cell r="D366" t="str">
            <v>DOPI-MUN-RM-IE-CI-069-2018</v>
          </cell>
          <cell r="T366" t="str">
            <v>JOSÉ DE JESÚS</v>
          </cell>
          <cell r="U366" t="str">
            <v>MARQUEZ</v>
          </cell>
          <cell r="V366" t="str">
            <v>ÁVILA</v>
          </cell>
          <cell r="W366" t="str">
            <v>FUTUROBRAS, S.A. DE C.V.</v>
          </cell>
          <cell r="X366" t="str">
            <v>FUT1110275V9</v>
          </cell>
          <cell r="AD366">
            <v>43248</v>
          </cell>
          <cell r="AJ366">
            <v>2533967.48</v>
          </cell>
          <cell r="AL366" t="str">
            <v>Estructura con lonaria, rehabilitación de cancha de usos múltiples, peatonalización y obra complementaria en la Escuela Primitivo Tolentino, Calle 5 de Mayo No. 35, Colonia El Briseño, Clave: 14EPR1300C, municipio de Zapopan, Jalisco.</v>
          </cell>
          <cell r="AM366">
            <v>43248</v>
          </cell>
          <cell r="AN366">
            <v>43337</v>
          </cell>
          <cell r="AR366" t="str">
            <v>Recurso Propio</v>
          </cell>
          <cell r="AS366" t="str">
            <v>Colonia El Briseño</v>
          </cell>
        </row>
        <row r="367">
          <cell r="B367" t="str">
            <v>Licitación por Invitación Restringida</v>
          </cell>
          <cell r="D367" t="str">
            <v>DOPI-MUN-R33-APDS-CI-070-2018</v>
          </cell>
          <cell r="T367" t="str">
            <v xml:space="preserve"> BERNARDO </v>
          </cell>
          <cell r="U367" t="str">
            <v xml:space="preserve">SAENZ </v>
          </cell>
          <cell r="V367" t="str">
            <v>BARBA</v>
          </cell>
          <cell r="W367" t="str">
            <v>GRUPO EDIFICADOR MAYAB, S.A. DE C.V.</v>
          </cell>
          <cell r="X367" t="str">
            <v>GEM070112PX8</v>
          </cell>
          <cell r="AD367">
            <v>43248</v>
          </cell>
          <cell r="AJ367">
            <v>3372619.43</v>
          </cell>
          <cell r="AL367" t="str">
            <v>Construcción de la tercera etapa de red de agua potable y drenaje en la colonia Lomas del Centinela II, municipio de Zapopan, Jalisco, frente 1.</v>
          </cell>
          <cell r="AM367">
            <v>43248</v>
          </cell>
          <cell r="AN367">
            <v>43352</v>
          </cell>
          <cell r="AR367" t="str">
            <v>Fondo para la Infraestructura Social Municipal 2018</v>
          </cell>
          <cell r="AS367" t="str">
            <v>Colonia Lomas del Centinela II</v>
          </cell>
        </row>
        <row r="368">
          <cell r="B368" t="str">
            <v>Licitación por Invitación Restringida</v>
          </cell>
          <cell r="D368" t="str">
            <v>DOPI-MUN-R33-APDS-CI-071-2018</v>
          </cell>
          <cell r="T368" t="str">
            <v>MARTÍN ALEJANDRO</v>
          </cell>
          <cell r="U368" t="str">
            <v>DIEZ MARINA</v>
          </cell>
          <cell r="V368" t="str">
            <v>INZUNZA</v>
          </cell>
          <cell r="W368" t="str">
            <v>URBANIZACIONES INZUNZA, S.A. DE C.V.</v>
          </cell>
          <cell r="X368" t="str">
            <v>UNI1201115M6</v>
          </cell>
          <cell r="AD368">
            <v>43248</v>
          </cell>
          <cell r="AJ368">
            <v>3114032.1</v>
          </cell>
          <cell r="AL368" t="str">
            <v>Construcción de la tercera etapa de red de agua potable y drenaje en la colonia Lomas del Centinela II, municipio de Zapopan, Jalisco, frente 2.</v>
          </cell>
          <cell r="AM368">
            <v>43248</v>
          </cell>
          <cell r="AN368">
            <v>43352</v>
          </cell>
          <cell r="AR368" t="str">
            <v>Fondo para la Infraestructura Social Municipal 2018</v>
          </cell>
          <cell r="AS368" t="str">
            <v>Colonia Lomas del Centinela II</v>
          </cell>
        </row>
        <row r="369">
          <cell r="B369" t="str">
            <v>Licitación por Invitación Restringida</v>
          </cell>
          <cell r="D369" t="str">
            <v>DOPI-MUN-R33-PAV-CI-072-2018</v>
          </cell>
          <cell r="T369" t="str">
            <v>PAOLA ALEJANDRA</v>
          </cell>
          <cell r="U369" t="str">
            <v>DIAZ</v>
          </cell>
          <cell r="V369" t="str">
            <v>RUIZ</v>
          </cell>
          <cell r="W369" t="str">
            <v>OBRAS CIVILES ACUARIO, S.A. DE C.V.</v>
          </cell>
          <cell r="X369" t="str">
            <v>OCA080707FG8</v>
          </cell>
          <cell r="AD369">
            <v>43248</v>
          </cell>
          <cell r="AJ369">
            <v>3526999.86</v>
          </cell>
          <cell r="AL369" t="str">
            <v>Pavimentación con concreto hidráulico en la colonia El Zapote II, segunda etapa, municipio de Zapopan, Jalisco.</v>
          </cell>
          <cell r="AM369">
            <v>43248</v>
          </cell>
          <cell r="AN369">
            <v>43347</v>
          </cell>
          <cell r="AR369" t="str">
            <v>Fondo para la Infraestructura Social Municipal 2018</v>
          </cell>
          <cell r="AS369" t="str">
            <v>Colonia El Zapote II</v>
          </cell>
        </row>
        <row r="370">
          <cell r="B370" t="str">
            <v>Licitación por Invitación Restringida</v>
          </cell>
          <cell r="D370" t="str">
            <v>DOPI-MUN-R33-PAV-CI-074-2018</v>
          </cell>
          <cell r="T370" t="str">
            <v>ALEX</v>
          </cell>
          <cell r="U370" t="str">
            <v>MEDINA</v>
          </cell>
          <cell r="V370" t="str">
            <v>GÓMEZ</v>
          </cell>
          <cell r="W370" t="str">
            <v>MEDGAR CONSTRUCCIONES, S.A. DE C.V.</v>
          </cell>
          <cell r="X370" t="str">
            <v>MCO150527NY3</v>
          </cell>
          <cell r="AD370">
            <v>43248</v>
          </cell>
          <cell r="AJ370">
            <v>2862961.14</v>
          </cell>
          <cell r="AL370" t="str">
            <v>Pavimentación con concreto hidráulico en la colonia Palmira (calle Miguel Alemán de Av. Palmira a calle Fresno), municipio de Zapopan, Jalisco, frente 1.</v>
          </cell>
          <cell r="AM370">
            <v>43248</v>
          </cell>
          <cell r="AN370">
            <v>43337</v>
          </cell>
          <cell r="AR370" t="str">
            <v>Fondo para la Infraestructura Social Municipal 2018</v>
          </cell>
          <cell r="AS370" t="str">
            <v>Colonia Palmira</v>
          </cell>
        </row>
        <row r="371">
          <cell r="B371" t="str">
            <v>Licitación por Invitación Restringida</v>
          </cell>
          <cell r="D371" t="str">
            <v>DOPI-MUN-R33-PAV-CI-075-2018</v>
          </cell>
          <cell r="T371" t="str">
            <v>HAYDEE LILIANA</v>
          </cell>
          <cell r="U371" t="str">
            <v>AGUILAR</v>
          </cell>
          <cell r="V371" t="str">
            <v>CASSIAN</v>
          </cell>
          <cell r="W371" t="str">
            <v>EDIFICA 2001, S.A. DE C.V.</v>
          </cell>
          <cell r="X371" t="str">
            <v>EDM970225I68</v>
          </cell>
          <cell r="AD371">
            <v>43248</v>
          </cell>
          <cell r="AJ371">
            <v>2637972.83</v>
          </cell>
          <cell r="AL371" t="str">
            <v>Pavimentación con concreto hidráulico en la colonia Palmira (calle Miguel Alemán de Av. Palmira a calle Fresno), municipio de Zapopan, Jalisco, frente 2.</v>
          </cell>
          <cell r="AM371">
            <v>43248</v>
          </cell>
          <cell r="AN371">
            <v>43337</v>
          </cell>
          <cell r="AR371" t="str">
            <v>Fondo para la Infraestructura Social Municipal 2018</v>
          </cell>
          <cell r="AS371" t="str">
            <v>Colonia Palmira</v>
          </cell>
        </row>
        <row r="372">
          <cell r="B372" t="str">
            <v>Licitación por Invitación Restringida</v>
          </cell>
          <cell r="D372" t="str">
            <v>DOPI-MUN-R33-APDS-CI-076-2018</v>
          </cell>
          <cell r="T372" t="str">
            <v>ANA KARINA</v>
          </cell>
          <cell r="U372" t="str">
            <v>OJEDA</v>
          </cell>
          <cell r="V372" t="str">
            <v>FERRELL</v>
          </cell>
          <cell r="W372" t="str">
            <v>KP CONSTRUCTORA E INMOBILIARIA, S.A. DE C.V.</v>
          </cell>
          <cell r="X372" t="str">
            <v>KCI120928CD5</v>
          </cell>
          <cell r="AD372">
            <v>43248</v>
          </cell>
          <cell r="AJ372">
            <v>3153474.35</v>
          </cell>
          <cell r="AL372" t="str">
            <v>Construcción de colector pluvial y sustitución de redes de agua potable y drenaje sanitario, en la colonia La Magdalena (calle Bugambilias de Tulipán a Hidalgo), municipio de Zapopan, Jalisco.</v>
          </cell>
          <cell r="AM372">
            <v>43248</v>
          </cell>
          <cell r="AN372">
            <v>43317</v>
          </cell>
          <cell r="AR372" t="str">
            <v>Fondo para la Infraestructura Social Municipal 2018</v>
          </cell>
          <cell r="AS372" t="str">
            <v>Colonia La Magdalena</v>
          </cell>
        </row>
        <row r="373">
          <cell r="B373" t="str">
            <v>Licitación por Invitación Restringida</v>
          </cell>
          <cell r="D373" t="str">
            <v>DOPI-MUN-R33-PAV-CI-077-2018</v>
          </cell>
          <cell r="T373" t="str">
            <v>MARIO</v>
          </cell>
          <cell r="U373" t="str">
            <v>BELTRÁN</v>
          </cell>
          <cell r="V373" t="str">
            <v>RODRÍGUEZ Y SUSARREY</v>
          </cell>
          <cell r="W373" t="str">
            <v>CONSTRUCTORA Y DESARROLLADORA BARBA Y ASOCIADOS, S.A. DE C.V.</v>
          </cell>
          <cell r="X373" t="str">
            <v>CDB0506068Z4</v>
          </cell>
          <cell r="AD373">
            <v>43248</v>
          </cell>
          <cell r="AJ373">
            <v>3093567.18</v>
          </cell>
          <cell r="AL373" t="str">
            <v>Pavimentación con concreto hidráulico en la colonia La Magdalena (calle Bugambilias de Tulipán a Hidalgo), municipio de Zapopan, Jalisco, frente 1.</v>
          </cell>
          <cell r="AM373">
            <v>43248</v>
          </cell>
          <cell r="AN373">
            <v>43347</v>
          </cell>
          <cell r="AR373" t="str">
            <v>Fondo para la Infraestructura Social Municipal 2018</v>
          </cell>
          <cell r="AS373" t="str">
            <v>Colonia La Magdalena</v>
          </cell>
        </row>
        <row r="374">
          <cell r="B374" t="str">
            <v>Licitación por Invitación Restringida</v>
          </cell>
          <cell r="D374" t="str">
            <v>DOPI-MUN-R33-PAV-CI-078-2018</v>
          </cell>
          <cell r="T374" t="str">
            <v>DANIEL</v>
          </cell>
          <cell r="U374" t="str">
            <v>PARRA</v>
          </cell>
          <cell r="V374" t="str">
            <v>RIVERA</v>
          </cell>
          <cell r="W374" t="str">
            <v>CONSTRUMAQ, S.A. DE C.V.</v>
          </cell>
          <cell r="X374" t="str">
            <v>CON970514LY1</v>
          </cell>
          <cell r="AD374">
            <v>43248</v>
          </cell>
          <cell r="AJ374">
            <v>3023327.58</v>
          </cell>
          <cell r="AL374" t="str">
            <v>Pavimentación con concreto hidráulico en la colonia La Magdalena (calle Bugambilias de Tulipán a Hidalgo), municipio de Zapopan, Jalisco, frente 2.</v>
          </cell>
          <cell r="AM374">
            <v>43248</v>
          </cell>
          <cell r="AN374">
            <v>43347</v>
          </cell>
          <cell r="AR374" t="str">
            <v>Fondo para la Infraestructura Social Municipal 2018</v>
          </cell>
          <cell r="AS374" t="str">
            <v>Colonia La Magdalena</v>
          </cell>
        </row>
        <row r="375">
          <cell r="B375" t="str">
            <v>Licitación por Invitación Restringida</v>
          </cell>
          <cell r="D375" t="str">
            <v>DOPI-MUN-FORTA-ID-CI-079-2018</v>
          </cell>
          <cell r="T375" t="str">
            <v>JAIME FERNANDO</v>
          </cell>
          <cell r="U375" t="str">
            <v>ÁLVAREZ</v>
          </cell>
          <cell r="V375" t="str">
            <v>LOZANO</v>
          </cell>
          <cell r="W375" t="str">
            <v>INOVACIONES EN MOBILIARIO URBANO S.A. DE C.V.</v>
          </cell>
          <cell r="X375" t="str">
            <v>IMU120820NM7</v>
          </cell>
          <cell r="AD375">
            <v>43248</v>
          </cell>
          <cell r="AJ375">
            <v>6995751.1699999999</v>
          </cell>
          <cell r="AL375" t="str">
            <v>Construcción de ingreso principal, estructura con lonaria, rehabilitación de canchas de usos múltiples, andadores y alumbrado en el Parque de la Estrella, ubicado en la colonia Arcos de Zapopan, municipio de Zapopan, Jalisco.</v>
          </cell>
          <cell r="AM375">
            <v>43248</v>
          </cell>
          <cell r="AN375">
            <v>43337</v>
          </cell>
          <cell r="AR375" t="str">
            <v>Fortamun 2018</v>
          </cell>
          <cell r="AS375" t="str">
            <v>Colonia Arcos de Zapopan</v>
          </cell>
        </row>
        <row r="376">
          <cell r="B376" t="str">
            <v>Licitación por Invitación Restringida</v>
          </cell>
          <cell r="D376" t="str">
            <v>DOPI-MUN-FORTA-ID-CI-080-2018</v>
          </cell>
          <cell r="T376" t="str">
            <v>HÉCTOR MAURICIO</v>
          </cell>
          <cell r="U376" t="str">
            <v>GRAMILLO</v>
          </cell>
          <cell r="V376" t="str">
            <v>GONZÁLEZ</v>
          </cell>
          <cell r="W376" t="str">
            <v>DESARROLLOS ECOLÓGICOS DE MÉXICO, S.A. DE C.V.</v>
          </cell>
          <cell r="X376" t="str">
            <v>DED100816GB1</v>
          </cell>
          <cell r="AD376">
            <v>43248</v>
          </cell>
          <cell r="AJ376">
            <v>7790298.79</v>
          </cell>
          <cell r="AL376" t="str">
            <v>Unidad Deportiva Tecolandia (rehabilitación de cancha de pasto sintético, construcción de cancha de futbol 7, cercado perimetral y construcción de barda, reparación de banquetas), municipio de Zapopan, Jalisco.</v>
          </cell>
          <cell r="AM376">
            <v>43248</v>
          </cell>
          <cell r="AN376">
            <v>43353</v>
          </cell>
          <cell r="AR376" t="str">
            <v>Fortamun 2018</v>
          </cell>
          <cell r="AS376" t="str">
            <v>Colonia Real del Parque</v>
          </cell>
        </row>
        <row r="377">
          <cell r="B377" t="str">
            <v>Licitación por Invitación Restringida</v>
          </cell>
          <cell r="D377" t="str">
            <v>DOPI-MUN-FORTA-ID-CI-081-2018</v>
          </cell>
          <cell r="T377" t="str">
            <v>LUIS ARMANDO</v>
          </cell>
          <cell r="U377" t="str">
            <v>LINARES</v>
          </cell>
          <cell r="V377" t="str">
            <v>CACHO</v>
          </cell>
          <cell r="W377" t="str">
            <v>EDIFICACIONES CALIA, S.A. DE C.V.</v>
          </cell>
          <cell r="X377" t="str">
            <v>ECA170620KA6</v>
          </cell>
          <cell r="AD377">
            <v>43248</v>
          </cell>
          <cell r="AJ377">
            <v>7150930.79</v>
          </cell>
          <cell r="AL377" t="str">
            <v>Unidad Deportiva Tecolandia (rehabilitación de 6 canchas de usos múltiples, techado de cancha de usos múltiples y construcción de centro de usos múltiples en la planta alta), municipio de Zapopan, Jalisco.</v>
          </cell>
          <cell r="AM377">
            <v>43248</v>
          </cell>
          <cell r="AN377">
            <v>43353</v>
          </cell>
          <cell r="AR377" t="str">
            <v>Fortamun 2018</v>
          </cell>
          <cell r="AS377" t="str">
            <v>Colonia Real del Parque</v>
          </cell>
        </row>
        <row r="378">
          <cell r="B378" t="str">
            <v>Licitación por Invitación Restringida</v>
          </cell>
          <cell r="D378" t="str">
            <v>DOPI-MUN-FORTA-BAN-CI-082-2018</v>
          </cell>
          <cell r="T378" t="str">
            <v>CLAUDIA NOEMI</v>
          </cell>
          <cell r="U378" t="str">
            <v>GARCÍA</v>
          </cell>
          <cell r="V378" t="str">
            <v>CASILLAS</v>
          </cell>
          <cell r="W378" t="str">
            <v>PARQUES Y JARDINES URBANOS, S.A. DE C.V.</v>
          </cell>
          <cell r="X378" t="str">
            <v>PJU150305K8A</v>
          </cell>
          <cell r="AD378">
            <v>43248</v>
          </cell>
          <cell r="AJ378">
            <v>3604330.24</v>
          </cell>
          <cell r="AL378" t="str">
            <v>Remozamiento de camellón en la intersección de Av. Vallarta y Calzada Lázaro Cárdenas, en el nodo víal Los Cubos, colonia Prados Vallarta, municipio de Zapopan, Jalisco.</v>
          </cell>
          <cell r="AM378">
            <v>43248</v>
          </cell>
          <cell r="AN378">
            <v>43337</v>
          </cell>
          <cell r="AR378" t="str">
            <v>Fortamun 2018</v>
          </cell>
          <cell r="AS378" t="str">
            <v>Colonia Prados Vallarta</v>
          </cell>
        </row>
        <row r="379">
          <cell r="B379" t="str">
            <v>Licitación por Invitación Restringida</v>
          </cell>
          <cell r="D379" t="str">
            <v>DOPI-MUN-FORTA-IE-CI-083-2018</v>
          </cell>
          <cell r="T379" t="str">
            <v>DAVID</v>
          </cell>
          <cell r="U379" t="str">
            <v>PENILLA</v>
          </cell>
          <cell r="V379" t="str">
            <v>GONZÁLEZ</v>
          </cell>
          <cell r="W379" t="str">
            <v>CONSORCIO CONSTRUCTOR CACEB, S.A. DE C.V.</v>
          </cell>
          <cell r="X379" t="str">
            <v>CCC050411DA3</v>
          </cell>
          <cell r="AD379">
            <v>43248</v>
          </cell>
          <cell r="AJ379">
            <v>2729400.56</v>
          </cell>
          <cell r="AL379" t="str">
            <v>Estructuras con lonaria, rehabilitación de cancha de usos múltiples, peatonalización y obra complementaria en la Escuela Primaria Urbana 1249 Antonio Gómez Robledo, ubicada en Marina Vallarta S/N, Colonia Residencial Santa Margarita, Clave: 14EPR1425K, y en la Escuela Primaria Elena Poniatowska Amor, ubicada en Valle De Atemajac, Col. Valle de Los Molinos, Clave: 14EPR1617Z municipio de Zapopan, Jalisco.</v>
          </cell>
          <cell r="AM379">
            <v>43248</v>
          </cell>
          <cell r="AN379">
            <v>43337</v>
          </cell>
          <cell r="AR379" t="str">
            <v>Fortamun 2018</v>
          </cell>
          <cell r="AS379" t="str">
            <v>Colonias Resindencial Santa Margarita y Valle de los Molinos</v>
          </cell>
        </row>
        <row r="380">
          <cell r="B380" t="str">
            <v>Licitación por Invitación Restringida</v>
          </cell>
          <cell r="D380" t="str">
            <v>DOPI-MUN-FORTA-IE-CI-084-2018</v>
          </cell>
          <cell r="T380" t="str">
            <v>MARIA NELBA</v>
          </cell>
          <cell r="U380" t="str">
            <v xml:space="preserve">FONSECA </v>
          </cell>
          <cell r="V380" t="str">
            <v>GUTIERREZ</v>
          </cell>
          <cell r="W380" t="str">
            <v>FG CONSTRUCCIONES Y PAVIMENTACIONES, S.A. DE C.V.</v>
          </cell>
          <cell r="X380" t="str">
            <v>FCP100909B70</v>
          </cell>
          <cell r="AD380">
            <v>43248</v>
          </cell>
          <cell r="AJ380">
            <v>4080048.8</v>
          </cell>
          <cell r="AL380" t="str">
            <v>Estructuras con lonaria, rehabilitación de cancha de usos múltiples, peatonalización y obra complementaria en la Escuela Primaria José López Portillo y Rojas, ubicada en Calle Río Cihuatlán No.2763, Colonia Las Águilas, Clave: 14DPR2452P, y en la Escuela Primaria Federal Francisco I. Madero, ubicada en Av. Prolongación Gpe. No. 23, Colonia Arenales Tapatíos, Clave: 14DPR0083W, municipio de Zapopan, Jalisco.</v>
          </cell>
          <cell r="AM380">
            <v>43248</v>
          </cell>
          <cell r="AN380">
            <v>43337</v>
          </cell>
          <cell r="AR380" t="str">
            <v>Fortamun 2018</v>
          </cell>
          <cell r="AS380" t="str">
            <v>Colonias Las Aguilas y Arenales Tapatios</v>
          </cell>
        </row>
        <row r="381">
          <cell r="B381" t="str">
            <v>Licitación por Invitación Restringida</v>
          </cell>
          <cell r="D381" t="str">
            <v>DOPI-MUN-FORTA-IE-CI-085-2018</v>
          </cell>
          <cell r="T381" t="str">
            <v>CLARISSA GABRIELA</v>
          </cell>
          <cell r="U381" t="str">
            <v>VALDEZ</v>
          </cell>
          <cell r="V381" t="str">
            <v>MANJARREZ</v>
          </cell>
          <cell r="W381" t="str">
            <v>TEKTON GRUPO EMPRESARIAL, S.A. DE C.V.</v>
          </cell>
          <cell r="X381" t="str">
            <v>TGE101215JI6</v>
          </cell>
          <cell r="AD381">
            <v>43248</v>
          </cell>
          <cell r="AJ381">
            <v>4990994.08</v>
          </cell>
          <cell r="AL381" t="str">
            <v>Estructuras con lonaria, rehabilitación de cancha de usos múltiples, peatonalización y obra complementaria en la Escuela Primaria Pensador Mexicano, ubicada en la Calle San Miguel No. 2005, Colonia La Palmira, Clave: 14DPR4072U, y en la Escuela Primaria Urbana 1248, Benemérito de las Américas, ubicada en la Calle Palmas, Colonia El Fresno, Clave: 14DPR1283C municipio de Zapopan, Jalisco.</v>
          </cell>
          <cell r="AM381">
            <v>43248</v>
          </cell>
          <cell r="AN381">
            <v>43337</v>
          </cell>
          <cell r="AR381" t="str">
            <v>Fortamun 2018</v>
          </cell>
          <cell r="AS381" t="str">
            <v>Colonias La Palmira y El Fresno</v>
          </cell>
        </row>
        <row r="382">
          <cell r="B382" t="str">
            <v>Licitación por Invitación Restringida</v>
          </cell>
          <cell r="D382" t="str">
            <v>DOPI-MUN-FORTA-IE-CI-086-2018</v>
          </cell>
          <cell r="T382" t="str">
            <v>EDWIN</v>
          </cell>
          <cell r="U382" t="str">
            <v>AGUIAR</v>
          </cell>
          <cell r="V382" t="str">
            <v>ESCATEL</v>
          </cell>
          <cell r="W382" t="str">
            <v>MANJARREZ URBANIZACIONES, S.A. DE C.V.</v>
          </cell>
          <cell r="X382" t="str">
            <v>MUR090325P33</v>
          </cell>
          <cell r="AD382">
            <v>43248</v>
          </cell>
          <cell r="AJ382">
            <v>2392648.62</v>
          </cell>
          <cell r="AL382" t="str">
            <v>Estructuras con lonaria, rehabilitación de cancha de usos múltiples, peatonalización y obra complementaria en el Preescolar Jardín De Niños María Guadalupe Palafox Ornelas, ubicado en la Calle López Portillo, Colonia Jardines Del Ixtepete, Clave: 14DJN1398O, y en la Escuela Primaria Juan Rulfo, ubicada en la Calle Viña del Mar, Colonia Miramar, Clave: 14EPR1546W municipio de Zapopan, Jalisco.</v>
          </cell>
          <cell r="AM382">
            <v>43248</v>
          </cell>
          <cell r="AN382">
            <v>43337</v>
          </cell>
          <cell r="AR382" t="str">
            <v>Fortamun 2018</v>
          </cell>
          <cell r="AS382" t="str">
            <v>Colonias Jardines del Ixtepete y Miramar</v>
          </cell>
        </row>
        <row r="383">
          <cell r="B383" t="str">
            <v>Licitación por Invitación Restringida</v>
          </cell>
          <cell r="D383" t="str">
            <v>DOPI-MUN-FORTA-IE-CI-087-2018</v>
          </cell>
          <cell r="T383" t="str">
            <v>HÉCTOR MARIO</v>
          </cell>
          <cell r="U383" t="str">
            <v>GÓMEZ</v>
          </cell>
          <cell r="V383" t="str">
            <v>GALVARRIATO FREER</v>
          </cell>
          <cell r="W383" t="str">
            <v>ESPECIALISTAS EN ACABADOS PROFESIONALES, S.A DE C.V.</v>
          </cell>
          <cell r="X383" t="str">
            <v>EAP000106BW7</v>
          </cell>
          <cell r="AD383">
            <v>43248</v>
          </cell>
          <cell r="AJ383">
            <v>2686219.06</v>
          </cell>
          <cell r="AL383" t="str">
            <v>Estructuras con lonaria, rehabilitación de cancha de usos múltiples, peatonalización y obra complementaria en la Escuela Primaria J. Jesús González Gallo, ubicada en la Calle Sayil, Colonia Jardines del Sol, Clave: 14DPR1388Y, municipio de Zapopan, Jalisco.</v>
          </cell>
          <cell r="AM383">
            <v>43248</v>
          </cell>
          <cell r="AN383">
            <v>43337</v>
          </cell>
          <cell r="AR383" t="str">
            <v>Fortamun 2018</v>
          </cell>
          <cell r="AS383" t="str">
            <v>Colonia Jardines del Sol</v>
          </cell>
        </row>
        <row r="384">
          <cell r="B384" t="str">
            <v>Licitación por Invitación Restringida</v>
          </cell>
          <cell r="D384" t="str">
            <v>DOPI-MUN-RM-PAV-CI-088-2018</v>
          </cell>
          <cell r="T384" t="str">
            <v>LAURA LILIA</v>
          </cell>
          <cell r="U384" t="str">
            <v>ARELLANO</v>
          </cell>
          <cell r="V384" t="str">
            <v>CERNA</v>
          </cell>
          <cell r="W384" t="str">
            <v>CONSTRUCCIÓNES E INGENIERIA EL CIPRES, S.A. DE C.V.</v>
          </cell>
          <cell r="X384" t="str">
            <v>CEI120724PR2</v>
          </cell>
          <cell r="AD384">
            <v>43248</v>
          </cell>
          <cell r="AJ384">
            <v>1991563.49</v>
          </cell>
          <cell r="AL384" t="str">
            <v>Pavimentación con concreto hidráulico de calle Juan del Carmen, de calle Urano a Periférico, incluye agua potable, drenaje, guarniciones, banquetas, alumbrado y señalética, en la colonia La Palmita, Municipio de Zapopan, Jalisco, Primera Etapa.</v>
          </cell>
          <cell r="AM384">
            <v>43248</v>
          </cell>
          <cell r="AN384">
            <v>43307</v>
          </cell>
          <cell r="AR384" t="str">
            <v>Recurso Propio</v>
          </cell>
          <cell r="AS384" t="str">
            <v>Colonia La Palmita</v>
          </cell>
        </row>
        <row r="385">
          <cell r="B385" t="str">
            <v>Licitación por Invitación Restringida</v>
          </cell>
          <cell r="D385" t="str">
            <v>DOPI-MUN-RM-PAV-CI-089-2018</v>
          </cell>
          <cell r="T385" t="str">
            <v>VICTOR MANUEL</v>
          </cell>
          <cell r="U385" t="str">
            <v>JAUREGUI</v>
          </cell>
          <cell r="V385" t="str">
            <v>TORRES</v>
          </cell>
          <cell r="W385" t="str">
            <v>CONSTRUCTORA ERLORT Y ASOCIADOS, S.A. DE C.V.</v>
          </cell>
          <cell r="X385" t="str">
            <v>CEA070208SB1</v>
          </cell>
          <cell r="AD385">
            <v>43248</v>
          </cell>
          <cell r="AJ385">
            <v>2586820.56</v>
          </cell>
          <cell r="AL385" t="str">
            <v>Pavimentación con mezcla asfáltica de calle Víctor Hugo, de calle Corpeña a calle Del Canal, incluye agua potable, drenaje, guarniciones, banquetas, alumbrado y señalética, en la colonia Víctor Hugo, Municipio de Zapopan, Jalisco, frente 1.</v>
          </cell>
          <cell r="AM385">
            <v>43248</v>
          </cell>
          <cell r="AN385">
            <v>43337</v>
          </cell>
          <cell r="AR385" t="str">
            <v>Recurso Propio</v>
          </cell>
          <cell r="AS385" t="str">
            <v>Colonia Víctor Hugo</v>
          </cell>
        </row>
        <row r="386">
          <cell r="B386" t="str">
            <v>Licitación por Invitación Restringida</v>
          </cell>
          <cell r="D386" t="str">
            <v>DOPI-MUN-RM-PAV-CI-090-2018</v>
          </cell>
          <cell r="T386" t="str">
            <v>MAXIMILIANO</v>
          </cell>
          <cell r="U386" t="str">
            <v>TORRES</v>
          </cell>
          <cell r="V386" t="str">
            <v>LÓPEZ</v>
          </cell>
          <cell r="W386" t="str">
            <v>GRUPO CONSTRUCTOR STRADE, S.A. DE C.V.</v>
          </cell>
          <cell r="X386" t="str">
            <v>GCS080902S44</v>
          </cell>
          <cell r="AD386">
            <v>43248</v>
          </cell>
          <cell r="AJ386">
            <v>2203887.4900000002</v>
          </cell>
          <cell r="AL386" t="str">
            <v>Pavimentación con mezcla asfáltica de calle Víctor Hugo, de calle Corpeña a calle Del Canal, incluye agua potable, drenaje, guarniciones, banquetas, alumbrado y señalética, en la colonia Víctor Hugo, Municipio de Zapopan, Jalisco, frente 2.</v>
          </cell>
          <cell r="AM386">
            <v>43248</v>
          </cell>
          <cell r="AN386">
            <v>43337</v>
          </cell>
          <cell r="AR386" t="str">
            <v>Recurso Propio</v>
          </cell>
          <cell r="AS386" t="str">
            <v>Colonia Víctor Hugo</v>
          </cell>
        </row>
        <row r="387">
          <cell r="B387" t="str">
            <v>Licitación por Invitación Restringida</v>
          </cell>
          <cell r="D387" t="str">
            <v>DOPI-MUN-RM-PAV-CI-091-2018</v>
          </cell>
          <cell r="T387" t="str">
            <v>SERGIO CESAR</v>
          </cell>
          <cell r="U387" t="str">
            <v>DÍAZ</v>
          </cell>
          <cell r="V387" t="str">
            <v>QUIROZ</v>
          </cell>
          <cell r="W387" t="str">
            <v>TRANSCRETO S.A. DE C.V.</v>
          </cell>
          <cell r="X387" t="str">
            <v>TRA750528286</v>
          </cell>
          <cell r="AD387">
            <v>43248</v>
          </cell>
          <cell r="AJ387">
            <v>1610223.34</v>
          </cell>
          <cell r="AL387" t="str">
            <v>Pavimentación con concreto hidráulico de calle Morelos, de coto Rinconada Alcalde al Canal, Incluye agua potable, drenaje, guarniciones, banquetas, alumbrado y señalética, en la colonia Hogares del Batán, Municipio de Zapopan, Jalisco.</v>
          </cell>
          <cell r="AM387">
            <v>43248</v>
          </cell>
          <cell r="AN387">
            <v>43337</v>
          </cell>
          <cell r="AR387" t="str">
            <v>Recurso Propio</v>
          </cell>
          <cell r="AS387" t="str">
            <v>Colonia Hogares del Batán</v>
          </cell>
        </row>
        <row r="388">
          <cell r="B388" t="str">
            <v>Licitación por Invitación Restringida</v>
          </cell>
          <cell r="D388" t="str">
            <v>DOPI-MUN-RM-PAV-CI-092-2018</v>
          </cell>
          <cell r="T388" t="str">
            <v>JESÚS DAVID</v>
          </cell>
          <cell r="U388" t="str">
            <v xml:space="preserve">GARZA </v>
          </cell>
          <cell r="V388" t="str">
            <v>GARCÍA</v>
          </cell>
          <cell r="W388" t="str">
            <v>CONSTRUCCIÓN GG, S.A. DE C.V.</v>
          </cell>
          <cell r="X388" t="str">
            <v>CGG040518F81</v>
          </cell>
          <cell r="AD388">
            <v>43248</v>
          </cell>
          <cell r="AJ388">
            <v>1993897.52</v>
          </cell>
          <cell r="AL388" t="str">
            <v>Pavimentación con mezcla asfáltica de calle Del Conde, de calle Circuito Madrigal a cerrada, incluye: guarniciones, banquetas y señalética, en la colonia Villa Universitaria, municipio de Zapopan, Jalisco.</v>
          </cell>
          <cell r="AM388">
            <v>43248</v>
          </cell>
          <cell r="AN388">
            <v>43322</v>
          </cell>
          <cell r="AR388" t="str">
            <v>Recurso Propio</v>
          </cell>
          <cell r="AS388" t="str">
            <v>Colonia Villa Universitaria</v>
          </cell>
        </row>
        <row r="389">
          <cell r="B389" t="str">
            <v>Licitación por Invitación Restringida</v>
          </cell>
          <cell r="D389" t="str">
            <v>DOPI-MUN-RM-PAV-CI-094-2018</v>
          </cell>
          <cell r="T389" t="str">
            <v>OMAR ALFREDO</v>
          </cell>
          <cell r="U389" t="str">
            <v>MARTÍNEZ</v>
          </cell>
          <cell r="V389" t="str">
            <v>GÓMEZ</v>
          </cell>
          <cell r="W389" t="str">
            <v>INGENIERIA EN MECANICA DE SUELOS Y CONTROL DE OCCIDENTE, S.A. DE C.V.</v>
          </cell>
          <cell r="X389" t="str">
            <v>IMS060720JX9</v>
          </cell>
          <cell r="AD389">
            <v>43248</v>
          </cell>
          <cell r="AJ389">
            <v>3621465.65</v>
          </cell>
          <cell r="AL389" t="str">
            <v>Pavimentación con mezcla asfáltica de calles Severo Díaz, José María Arreola, Playa Blanca Oriente y Playa Blanca Poniente, en la colonia Residencial Moctezuma, incluye: guarniciones, banquetas y señalética, Municipio de Zapopan, Jalisco, frente 1.</v>
          </cell>
          <cell r="AM389">
            <v>43248</v>
          </cell>
          <cell r="AN389">
            <v>43337</v>
          </cell>
          <cell r="AR389" t="str">
            <v>Recurso Propio</v>
          </cell>
          <cell r="AS389" t="str">
            <v>Colonia Resindencial Moctezuma</v>
          </cell>
        </row>
        <row r="390">
          <cell r="B390" t="str">
            <v>Licitación por Invitación Restringida</v>
          </cell>
          <cell r="D390" t="str">
            <v>DOPI-MUN-RM-PAV-CI-095-2018</v>
          </cell>
          <cell r="T390" t="str">
            <v>OSCAR MELESIO</v>
          </cell>
          <cell r="U390" t="str">
            <v>HERNÁNDEZ</v>
          </cell>
          <cell r="V390" t="str">
            <v>VALERIANO</v>
          </cell>
          <cell r="W390" t="str">
            <v>CONSTRUCTORA GRINA, S.A. DE C.V.</v>
          </cell>
          <cell r="X390" t="str">
            <v>CGR120828P29</v>
          </cell>
          <cell r="AD390">
            <v>43248</v>
          </cell>
          <cell r="AJ390">
            <v>3349631.52</v>
          </cell>
          <cell r="AL390" t="str">
            <v>Pavimentación con mezcla asfáltica de calles Severo Díaz, José María Arreola, Playa Blanca Oriente y Playa Blanca Poniente, en la colonia Residencial Moctezuma, incluye: guarniciones, banquetas y señalética, Municipio de Zapopan, Jalisco, frente 2.</v>
          </cell>
          <cell r="AM390">
            <v>43248</v>
          </cell>
          <cell r="AN390">
            <v>43337</v>
          </cell>
          <cell r="AR390" t="str">
            <v>Recurso Propio</v>
          </cell>
          <cell r="AS390" t="str">
            <v>Colonia Resindencial Moctezuma</v>
          </cell>
        </row>
        <row r="391">
          <cell r="B391" t="str">
            <v>Licitación por Invitación Restringida</v>
          </cell>
          <cell r="D391" t="str">
            <v>DOPI-MUN-RM-PAV-CI-096-2018</v>
          </cell>
          <cell r="T391" t="str">
            <v>ORNELLA CAROLINA</v>
          </cell>
          <cell r="U391" t="str">
            <v>LEGASPI</v>
          </cell>
          <cell r="V391" t="str">
            <v>MUÑOZ</v>
          </cell>
          <cell r="W391" t="str">
            <v>TRIPOLI EMULSIONES, S.A. DE C.V.</v>
          </cell>
          <cell r="X391" t="str">
            <v>TEM141021N31</v>
          </cell>
          <cell r="AD391">
            <v>43248</v>
          </cell>
          <cell r="AJ391">
            <v>2793673.85</v>
          </cell>
          <cell r="AL391" t="str">
            <v>Pavimentación con mezcla asfáltica de calle Belisario Domínguez - Paseo de la Primavera, de privada Mariano Otero a Av. Guadalupe, en las colonias Mariano Otero y Arenales Tapatíos, segunda etapa, Municipio de Zapopan, Jalisco, frente 1.</v>
          </cell>
          <cell r="AM391">
            <v>43248</v>
          </cell>
          <cell r="AN391">
            <v>43322</v>
          </cell>
          <cell r="AR391" t="str">
            <v>Recurso Propio</v>
          </cell>
          <cell r="AS391" t="str">
            <v>Colonias Mariano Otero y Arenales Tapatíos</v>
          </cell>
        </row>
        <row r="392">
          <cell r="B392" t="str">
            <v>Licitación por Invitación Restringida</v>
          </cell>
          <cell r="D392" t="str">
            <v>DOPI-MUN-RM-PAV-CI-097-2018</v>
          </cell>
          <cell r="T392" t="str">
            <v>JOSÉ FRANCISCO</v>
          </cell>
          <cell r="U392" t="str">
            <v>LLAGUNO</v>
          </cell>
          <cell r="V392" t="str">
            <v>YZABAL</v>
          </cell>
          <cell r="W392" t="str">
            <v>EMULSIONES SELLOS Y PAVIMENTOS ASFALTICOS, S.A. DE C.V.</v>
          </cell>
          <cell r="X392" t="str">
            <v>ESP940311A26</v>
          </cell>
          <cell r="AD392">
            <v>43248</v>
          </cell>
          <cell r="AJ392">
            <v>2194570.06</v>
          </cell>
          <cell r="AL392" t="str">
            <v>Pavimentación con mezcla asfáltica de calle Belisario Domínguez - Paseo de la Primavera, de privada Mariano Otero a Av. Guadalupe, en las colonias Mariano Otero y Arenales Tapatíos, segunda etapa, Municipio de Zapopan, Jalisco, frente 2.</v>
          </cell>
          <cell r="AM392">
            <v>43248</v>
          </cell>
          <cell r="AN392">
            <v>43322</v>
          </cell>
          <cell r="AR392" t="str">
            <v>Recurso Propio</v>
          </cell>
          <cell r="AS392" t="str">
            <v>Colonias Mariano Otero y Arenales Tapatíos</v>
          </cell>
        </row>
        <row r="393">
          <cell r="B393" t="str">
            <v>Licitación por Invitación Restringida</v>
          </cell>
          <cell r="D393" t="str">
            <v>DOPI-MUN-RM-PAV-CI-098-2018</v>
          </cell>
          <cell r="T393" t="str">
            <v xml:space="preserve">NÉSTOR </v>
          </cell>
          <cell r="U393" t="str">
            <v>DE LA TORRE</v>
          </cell>
          <cell r="V393" t="str">
            <v>MENCHACA</v>
          </cell>
          <cell r="W393" t="str">
            <v>INGENIEROS DE LA TORRE, S.A. DE C.V.</v>
          </cell>
          <cell r="X393" t="str">
            <v>ITO951005HY5</v>
          </cell>
          <cell r="AD393">
            <v>43248</v>
          </cell>
          <cell r="AJ393">
            <v>3263043.32</v>
          </cell>
          <cell r="AL393" t="str">
            <v>Pavimentación con concreto hidráulico de la Av. Camino Antiguo a Tesistan de la calle De las Palmeras a la calle Arcos de Alejandro carril sur, incluye: banquetas, servicios complementarios y señalamiento, en la colonia Parques de Zapopan, municipio de Zapopan, Jalisco.</v>
          </cell>
          <cell r="AM393">
            <v>43248</v>
          </cell>
          <cell r="AN393">
            <v>43317</v>
          </cell>
          <cell r="AR393" t="str">
            <v>Recurso Propio</v>
          </cell>
          <cell r="AS393" t="str">
            <v>Colonia Parquesde Zapopan</v>
          </cell>
        </row>
        <row r="394">
          <cell r="B394" t="str">
            <v>Licitación por Invitación Restringida</v>
          </cell>
          <cell r="D394" t="str">
            <v>DOPI-MUN-RM-PAV-CI-099-2018</v>
          </cell>
          <cell r="T394" t="str">
            <v>TOMÁS</v>
          </cell>
          <cell r="U394" t="str">
            <v>SANDOVAL</v>
          </cell>
          <cell r="V394" t="str">
            <v>ÁLVAREZ</v>
          </cell>
          <cell r="W394" t="str">
            <v>CONSTRUCCIÓNES Y RENTAS DE MAQUINARIA DE OCCIDENTE, S.A. DE C.V.</v>
          </cell>
          <cell r="X394" t="str">
            <v>CRM910909K48</v>
          </cell>
          <cell r="AD394">
            <v>43248</v>
          </cell>
          <cell r="AJ394">
            <v>3122220.38</v>
          </cell>
          <cell r="AL394" t="str">
            <v>Pavimentación con concreto hidráulico de la Av. Camino Antiguo a Tesistan de la calle De las Palmeras a la calle Arcos de Alejandro carril norte, incluye: pozos de absorción, servicios complementarios, señalamiento y arbolado, en la colonia Parques de Zapopan, municipio de Zapopan, Jalisco.</v>
          </cell>
          <cell r="AM394">
            <v>43248</v>
          </cell>
          <cell r="AN394">
            <v>43337</v>
          </cell>
          <cell r="AR394" t="str">
            <v>Recurso Propio</v>
          </cell>
          <cell r="AS394" t="str">
            <v>Colonia Parquesde Zapopan</v>
          </cell>
        </row>
        <row r="395">
          <cell r="B395" t="str">
            <v>Licitación por Invitación Restringida</v>
          </cell>
          <cell r="D395" t="str">
            <v>DOPI-MUN-RM-IH-CI-100-2018</v>
          </cell>
          <cell r="T395" t="str">
            <v>HELIODORO NICOLAS</v>
          </cell>
          <cell r="U395" t="str">
            <v>ACEVES</v>
          </cell>
          <cell r="V395" t="str">
            <v>OROZCO</v>
          </cell>
          <cell r="W395" t="str">
            <v>IMAQSA, S.A. DE C.V.</v>
          </cell>
          <cell r="X395" t="str">
            <v>IMA050204LA9</v>
          </cell>
          <cell r="AD395">
            <v>43248</v>
          </cell>
          <cell r="AJ395">
            <v>2777774.19</v>
          </cell>
          <cell r="AL395" t="str">
            <v>Construcción de ollas de captación de agua y caminos saca cosechas, en el ejido de Santa Lucia, municipio de Zapopan, Jalisco. Frente 1.</v>
          </cell>
          <cell r="AM395">
            <v>43248</v>
          </cell>
          <cell r="AN395">
            <v>43307</v>
          </cell>
          <cell r="AR395" t="str">
            <v>Recurso Propio</v>
          </cell>
          <cell r="AS395" t="str">
            <v>Ejido Santa Lucia</v>
          </cell>
        </row>
        <row r="396">
          <cell r="B396" t="str">
            <v>Invitación a Cuando Menos Tres Personas</v>
          </cell>
          <cell r="D396" t="str">
            <v>DOPI-FED-PR-PAV-CI-102-2018</v>
          </cell>
          <cell r="T396" t="str">
            <v>CARLOS</v>
          </cell>
          <cell r="U396" t="str">
            <v>DEL RIO</v>
          </cell>
          <cell r="V396" t="str">
            <v>MADRIGAL</v>
          </cell>
          <cell r="W396" t="str">
            <v>PAVIMENTOS INDUSTRIALES Y URBANIZACIONES, S.A. DE C.V.</v>
          </cell>
          <cell r="X396" t="str">
            <v>PIU790912MS1</v>
          </cell>
          <cell r="AD396">
            <v>43248</v>
          </cell>
          <cell r="AJ396">
            <v>4428844.1900000004</v>
          </cell>
          <cell r="AL396" t="str">
            <v>Construcción de la calle 5 de Mayo con concreto hidráulico entre la calle Juárez y Francisco I. Madero, en la Delegación de Santa Ana Tepetitlan, municipio de Zapopan, Jalisco.</v>
          </cell>
          <cell r="AM396">
            <v>43248</v>
          </cell>
          <cell r="AN396">
            <v>43347</v>
          </cell>
          <cell r="AR396" t="str">
            <v>Proyectos de Desarrollo Regional 2018</v>
          </cell>
          <cell r="AS396" t="str">
            <v>Localidad de Santa Ana Tepetitlán</v>
          </cell>
        </row>
        <row r="397">
          <cell r="B397" t="str">
            <v>Licitación por Invitación Restringida</v>
          </cell>
          <cell r="D397" t="str">
            <v>DOPI-MUN-RM-BACHEO-CI-104-2018</v>
          </cell>
          <cell r="T397" t="str">
            <v>ÁNGEL SALOMÓN</v>
          </cell>
          <cell r="U397" t="str">
            <v>RINCÓN</v>
          </cell>
          <cell r="V397" t="str">
            <v>DE LA ROSA</v>
          </cell>
          <cell r="W397" t="str">
            <v>ARO ASFALTOS Y RIEGOS DE OCCIDENTE, S.A. DE C.V.</v>
          </cell>
          <cell r="X397" t="str">
            <v>AAR120507VA9</v>
          </cell>
          <cell r="AD397">
            <v>43248</v>
          </cell>
          <cell r="AJ397">
            <v>2888233.8</v>
          </cell>
          <cell r="AL397" t="str">
            <v>Programa municipal de bacheo superficial aislado y nivelación con mezcla asfaltíca en caliente en vialidades, Zona Sur, frente 1, municipio de Zapopan, Jalisco.</v>
          </cell>
          <cell r="AM397">
            <v>43248</v>
          </cell>
          <cell r="AN397">
            <v>43297</v>
          </cell>
          <cell r="AR397" t="str">
            <v>Recurso Propio</v>
          </cell>
        </row>
        <row r="398">
          <cell r="B398" t="str">
            <v>Licitación por Invitación Restringida</v>
          </cell>
          <cell r="D398" t="str">
            <v>DOPI-MUN-RM-CALAFATEO-CI-105-2018</v>
          </cell>
          <cell r="T398" t="str">
            <v xml:space="preserve">ARTURO </v>
          </cell>
          <cell r="U398" t="str">
            <v>MONTUFAR</v>
          </cell>
          <cell r="V398" t="str">
            <v>NUÑEZ</v>
          </cell>
          <cell r="W398" t="str">
            <v>VELERO PAVIMENTACION Y CONSTRUCCIÓN S.A. DE C.V.</v>
          </cell>
          <cell r="X398" t="str">
            <v>VPC0012148K0</v>
          </cell>
          <cell r="AD398">
            <v>43248</v>
          </cell>
          <cell r="AJ398">
            <v>2165155.7799999998</v>
          </cell>
          <cell r="AL398" t="str">
            <v>Programa municipal de calafateo en juntas y grietas de pavimentos hidráulicos con sellador asfaltico en vialidades, Zona Sur, frente 1, municipio de Zapopan, Jalisco.</v>
          </cell>
          <cell r="AM398">
            <v>43248</v>
          </cell>
          <cell r="AN398">
            <v>43297</v>
          </cell>
          <cell r="AR398" t="str">
            <v>Recurso Propio</v>
          </cell>
        </row>
        <row r="399">
          <cell r="B399" t="str">
            <v>Licitación por Invitación Restringida</v>
          </cell>
          <cell r="D399" t="str">
            <v>DOPI-MUN-RM-CONT-CI-148-2018</v>
          </cell>
          <cell r="T399" t="str">
            <v>RODRIGO</v>
          </cell>
          <cell r="U399" t="str">
            <v>RAMOS</v>
          </cell>
          <cell r="V399" t="str">
            <v>GARIBI</v>
          </cell>
          <cell r="W399" t="str">
            <v>METRO ASFALTOS, S.A. DE C.V.</v>
          </cell>
          <cell r="X399" t="str">
            <v>CMA070307RU6</v>
          </cell>
          <cell r="AD399">
            <v>43262</v>
          </cell>
          <cell r="AJ399">
            <v>7316456.6799999997</v>
          </cell>
          <cell r="AL399" t="str">
            <v>Sistema de estabilización de taludes mediante el sistema de anclajes y recubrimiento de concreto lanzado, sobre la Lateral Poniente de Periférico de Prolongación Av. Central Guillermo González Camarena a calle 5 de Mayo, municipio de Zapopan, Jalisco.</v>
          </cell>
          <cell r="AM399">
            <v>43262</v>
          </cell>
          <cell r="AN399">
            <v>43296</v>
          </cell>
          <cell r="AR399" t="str">
            <v>Recurso Propio</v>
          </cell>
          <cell r="AS399" t="str">
            <v>Colonia Poniente</v>
          </cell>
        </row>
        <row r="400">
          <cell r="B400" t="str">
            <v>Licitación por Invitación Restringida</v>
          </cell>
          <cell r="D400" t="str">
            <v>DOPI-MUN-RM-IH-CI-149-2018</v>
          </cell>
          <cell r="T400" t="str">
            <v>KARLA MARÍANA</v>
          </cell>
          <cell r="U400" t="str">
            <v>MÉNDEZ</v>
          </cell>
          <cell r="V400" t="str">
            <v>RODRÍGUEZ</v>
          </cell>
          <cell r="W400" t="str">
            <v>GRUPO LA FUENTE, S.A. DE C.V.</v>
          </cell>
          <cell r="X400" t="str">
            <v>GFU021009BC1</v>
          </cell>
          <cell r="AD400">
            <v>43262</v>
          </cell>
          <cell r="AJ400">
            <v>6495302.6200000001</v>
          </cell>
          <cell r="AL400" t="str">
            <v>Perforación y equipamiento de pozo profundo El Briseño, ubicado en la colonia El Briseño, municipio de Zapopan, Jalisco.</v>
          </cell>
          <cell r="AM400">
            <v>43262</v>
          </cell>
          <cell r="AN400">
            <v>43343</v>
          </cell>
          <cell r="AR400" t="str">
            <v>Recurso Propio</v>
          </cell>
          <cell r="AS400" t="str">
            <v>Colonia El Briseño</v>
          </cell>
        </row>
        <row r="401">
          <cell r="B401" t="str">
            <v>Licitación por Invitación Restringida</v>
          </cell>
          <cell r="D401" t="str">
            <v>DOPI-MUN-RM-PAV-CI-150-2018</v>
          </cell>
          <cell r="T401" t="str">
            <v>JORGE LUIS</v>
          </cell>
          <cell r="U401" t="str">
            <v>MARISCAL</v>
          </cell>
          <cell r="V401" t="str">
            <v>TORRES</v>
          </cell>
          <cell r="W401" t="str">
            <v>BNKER EDIFICACIONES Y CONSTRUCCIONES, S.A. DE C.V.</v>
          </cell>
          <cell r="X401" t="str">
            <v>BEC0906257J5</v>
          </cell>
          <cell r="AD401">
            <v>43262</v>
          </cell>
          <cell r="AJ401">
            <v>5904431.8300000001</v>
          </cell>
          <cell r="AL401" t="str">
            <v>Construcción de pavimento de concreto hidráulico, incluye: guarniciones, banquetas, señalamiento vertical y horizontal y servicios complementarios en Av. Palmira de Jazmín a Palmitas, colonia La Palmira, municipio de Zapopan, Jalisco.</v>
          </cell>
          <cell r="AM401">
            <v>43262</v>
          </cell>
          <cell r="AN401">
            <v>43311</v>
          </cell>
          <cell r="AR401" t="str">
            <v>Recurso Propio</v>
          </cell>
          <cell r="AS401" t="str">
            <v>Colonia La Palmira</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 inciso ñ)"/>
      <sheetName val="V, inciso o) (OP)"/>
      <sheetName val="V, inciso p) (OP)"/>
      <sheetName val="V, inciso c) (OP)"/>
      <sheetName val="Artículo 15, frac. XIII"/>
    </sheetNames>
    <sheetDataSet>
      <sheetData sheetId="0"/>
      <sheetData sheetId="1"/>
      <sheetData sheetId="2">
        <row r="360">
          <cell r="C360" t="str">
            <v>Obra Pública</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zapopan.gob.mx/repositorio/view/file/wdnywawmwowggjmfdkem/236-2016.pdf" TargetMode="External"/><Relationship Id="rId299" Type="http://schemas.openxmlformats.org/officeDocument/2006/relationships/hyperlink" Target="https://www.zapopan.gob.mx/repositorio/view/file/t8k1n0a9dyicygcun8at/057-2017.pdf" TargetMode="External"/><Relationship Id="rId303" Type="http://schemas.openxmlformats.org/officeDocument/2006/relationships/hyperlink" Target="https://www.zapopan.gob.mx/repositorio/view/file/upra37zfll62um9u1xwt/068-2017.pdf" TargetMode="External"/><Relationship Id="rId21" Type="http://schemas.openxmlformats.org/officeDocument/2006/relationships/hyperlink" Target="https://www.zapopan.gob.mx/repositorio/view/file/dzy718ijibeoa9m8zwce/022-2016.pdf" TargetMode="External"/><Relationship Id="rId42" Type="http://schemas.openxmlformats.org/officeDocument/2006/relationships/hyperlink" Target="http://www.zapopan.gob.mx/repositorio/view/file/esqyieojpdnfogqwljye/CONTRATO_057_2016.pdf" TargetMode="External"/><Relationship Id="rId63" Type="http://schemas.openxmlformats.org/officeDocument/2006/relationships/hyperlink" Target="http://www.zapopan.gob.mx/repositorio/view/file/qbdbnxe7s8bvrlbzvdio/CONTRATO_106_2016.pdf" TargetMode="External"/><Relationship Id="rId84" Type="http://schemas.openxmlformats.org/officeDocument/2006/relationships/hyperlink" Target="https://www.zapopan.gob.mx/repositorio/view/file/eweycg3xqxqvbg4awinv/147-2016.pdf" TargetMode="External"/><Relationship Id="rId138" Type="http://schemas.openxmlformats.org/officeDocument/2006/relationships/hyperlink" Target="https://www.zapopan.gob.mx/repositorio/view/file/r71zmrbuhpzy4jwluhan/266-2016.pdf" TargetMode="External"/><Relationship Id="rId159" Type="http://schemas.openxmlformats.org/officeDocument/2006/relationships/hyperlink" Target="https://www.zapopan.gob.mx/repositorio/view/file/sxrdcwnz0m8gb9x8elmq/031-2018.pdf" TargetMode="External"/><Relationship Id="rId324" Type="http://schemas.openxmlformats.org/officeDocument/2006/relationships/hyperlink" Target="https://www.zapopan.gob.mx/repositorio/view/file/no45fu9sxfswddotwpqs/143-2017.pdf" TargetMode="External"/><Relationship Id="rId345" Type="http://schemas.openxmlformats.org/officeDocument/2006/relationships/hyperlink" Target="https://www.zapopan.gob.mx/repositorio/view/file/cbuag8vktlceinvsph2x/324-2017.pdf" TargetMode="External"/><Relationship Id="rId366" Type="http://schemas.openxmlformats.org/officeDocument/2006/relationships/hyperlink" Target="https://www.zapopan.gob.mx/repositorio/view/file/bfh6nxxfukuirnif4drw/139-2018ff.pdf" TargetMode="External"/><Relationship Id="rId170" Type="http://schemas.openxmlformats.org/officeDocument/2006/relationships/hyperlink" Target="https://www.zapopan.gob.mx/repositorio/view/file/iguxjja6yflysszeomig/046-2018.pdf" TargetMode="External"/><Relationship Id="rId191" Type="http://schemas.openxmlformats.org/officeDocument/2006/relationships/hyperlink" Target="https://www.zapopan.gob.mx/repositorio/view/file/45moqrk6aetqk52h86fi/074-2018.pdf" TargetMode="External"/><Relationship Id="rId205" Type="http://schemas.openxmlformats.org/officeDocument/2006/relationships/hyperlink" Target="https://www.zapopan.gob.mx/repositorio/view/file/6deiljlrajbre05kupfa/088-2018.pdf" TargetMode="External"/><Relationship Id="rId226" Type="http://schemas.openxmlformats.org/officeDocument/2006/relationships/hyperlink" Target="https://www.zapopan.gob.mx/repositorio/view/file/ljok17p9prsxeho7w61n/009_2018_FF.pdf" TargetMode="External"/><Relationship Id="rId247" Type="http://schemas.openxmlformats.org/officeDocument/2006/relationships/hyperlink" Target="https://www.zapopan.gob.mx/repositorio/view/file/e97qpip5yk9wtxhyihvm/126-2018.pdf" TargetMode="External"/><Relationship Id="rId107" Type="http://schemas.openxmlformats.org/officeDocument/2006/relationships/hyperlink" Target="https://www.zapopan.gob.mx/repositorio/view/file/jchdgwnqqtyzyu7bablq/213-2016.pdf" TargetMode="External"/><Relationship Id="rId268" Type="http://schemas.openxmlformats.org/officeDocument/2006/relationships/hyperlink" Target="https://www.zapopan.gob.mx/repositorio/view/file/14imx0wmyrstappinjo8/157-2016.pdf" TargetMode="External"/><Relationship Id="rId289" Type="http://schemas.openxmlformats.org/officeDocument/2006/relationships/hyperlink" Target="https://www.zapopan.gob.mx/repositorio/view/file/yil1vjmrvy2thxokle8q/250-2016.pdf" TargetMode="External"/><Relationship Id="rId11" Type="http://schemas.openxmlformats.org/officeDocument/2006/relationships/hyperlink" Target="http://www.zapopan.gob.mx/wp-content/uploads/2017/06/DOPI_243_2015.pdf" TargetMode="External"/><Relationship Id="rId32" Type="http://schemas.openxmlformats.org/officeDocument/2006/relationships/hyperlink" Target="https://www.zapopan.gob.mx/repositorio/view/file/oo7sdf1xxnyoeoxcn96m/002_2016.pdf" TargetMode="External"/><Relationship Id="rId53" Type="http://schemas.openxmlformats.org/officeDocument/2006/relationships/hyperlink" Target="https://www.zapopan.gob.mx/repositorio/view/file/iun46eusulxraf6hp4v1/090-2016.pdf" TargetMode="External"/><Relationship Id="rId74" Type="http://schemas.openxmlformats.org/officeDocument/2006/relationships/hyperlink" Target="https://www.zapopan.gob.mx/repositorio/view/file/ciqcgpxexva5w2f3o1pg/126-2016.pdf" TargetMode="External"/><Relationship Id="rId128" Type="http://schemas.openxmlformats.org/officeDocument/2006/relationships/hyperlink" Target="https://www.zapopan.gob.mx/repositorio/view/file/vno5yb09fdwm7gmkekay/256-2016.pdf" TargetMode="External"/><Relationship Id="rId149" Type="http://schemas.openxmlformats.org/officeDocument/2006/relationships/hyperlink" Target="https://www.zapopan.gob.mx/repositorio/view/file/9axcwg3unergfmkqmcay/CONTRATO_043_2016.pdf" TargetMode="External"/><Relationship Id="rId314" Type="http://schemas.openxmlformats.org/officeDocument/2006/relationships/hyperlink" Target="https://www.zapopan.gob.mx/repositorio/view/file/y8mxqkaanzjjwzvrx6xs/128-2017.pdf" TargetMode="External"/><Relationship Id="rId335" Type="http://schemas.openxmlformats.org/officeDocument/2006/relationships/hyperlink" Target="https://www.zapopan.gob.mx/repositorio/view/file/w8jtmme1xl62di0cdsfr/230-2017.pdf" TargetMode="External"/><Relationship Id="rId356" Type="http://schemas.openxmlformats.org/officeDocument/2006/relationships/hyperlink" Target="https://www.zapopan.gob.mx/repositorio/view/file/y4w1xmupxkqa6kbfwfkh/116-2018ff.pdf" TargetMode="External"/><Relationship Id="rId377" Type="http://schemas.openxmlformats.org/officeDocument/2006/relationships/hyperlink" Target="https://www.zapopan.gob.mx/repositorio/view/file/zqmuodmtv7uks2ekip70/165-2018ff.pdf" TargetMode="External"/><Relationship Id="rId5" Type="http://schemas.openxmlformats.org/officeDocument/2006/relationships/hyperlink" Target="https://www.zapopan.gob.mx/repositorio/view/file/svbyzdlrke42vep4q15u/231-2015.pdf" TargetMode="External"/><Relationship Id="rId95" Type="http://schemas.openxmlformats.org/officeDocument/2006/relationships/hyperlink" Target="https://www.zapopan.gob.mx/repositorio/view/file/iypz4xyddrrikkiqcydt/CONTRATO_165_2016.pdf" TargetMode="External"/><Relationship Id="rId160" Type="http://schemas.openxmlformats.org/officeDocument/2006/relationships/hyperlink" Target="https://www.zapopan.gob.mx/repositorio/view/file/onerhbytoliuowidwoxa/032-2018.pdf" TargetMode="External"/><Relationship Id="rId181" Type="http://schemas.openxmlformats.org/officeDocument/2006/relationships/hyperlink" Target="https://www.zapopan.gob.mx/repositorio/view/file/cczobsyv5lqycryr8c2j/058-2018.pdf" TargetMode="External"/><Relationship Id="rId216" Type="http://schemas.openxmlformats.org/officeDocument/2006/relationships/hyperlink" Target="https://www.zapopan.gob.mx/repositorio/view/file/gxkg56wnxncvkgqo3aut/149-2018.pdf" TargetMode="External"/><Relationship Id="rId237" Type="http://schemas.openxmlformats.org/officeDocument/2006/relationships/hyperlink" Target="https://www.zapopan.gob.mx/repositorio/view/file/a8ojeh35ki7mbosgu9l5/109-2018.pdf" TargetMode="External"/><Relationship Id="rId258" Type="http://schemas.openxmlformats.org/officeDocument/2006/relationships/hyperlink" Target="https://www.zapopan.gob.mx/repositorio/view/file/h3ee3gqgsl8rapfw1xdm/071-2016.pdf" TargetMode="External"/><Relationship Id="rId279" Type="http://schemas.openxmlformats.org/officeDocument/2006/relationships/hyperlink" Target="https://www.zapopan.gob.mx/repositorio/view/file/lxnt6ckcsnf9gflulrsp/214-2016.pdf" TargetMode="External"/><Relationship Id="rId22" Type="http://schemas.openxmlformats.org/officeDocument/2006/relationships/hyperlink" Target="http://www.zapopan.gob.mx/wp-content/uploads/2017/05/Contrato_022_2016.pdf" TargetMode="External"/><Relationship Id="rId43" Type="http://schemas.openxmlformats.org/officeDocument/2006/relationships/hyperlink" Target="https://www.zapopan.gob.mx/repositorio/view/file/8rt4dfqb5nxdqthndsmn/062-2016.pdf" TargetMode="External"/><Relationship Id="rId64" Type="http://schemas.openxmlformats.org/officeDocument/2006/relationships/hyperlink" Target="https://www.zapopan.gob.mx/repositorio/view/file/ylf2f2qrui6zwltejrze/109-2016.pdf" TargetMode="External"/><Relationship Id="rId118" Type="http://schemas.openxmlformats.org/officeDocument/2006/relationships/hyperlink" Target="https://www.zapopan.gob.mx/repositorio/view/file/7xqafoxjmzhyx9hxxgnz/239-2016.pdf" TargetMode="External"/><Relationship Id="rId139" Type="http://schemas.openxmlformats.org/officeDocument/2006/relationships/hyperlink" Target="https://www.zapopan.gob.mx/repositorio/view/file/0rwr9jfm6wrfz0jnr91n/267-2016.pdf" TargetMode="External"/><Relationship Id="rId290" Type="http://schemas.openxmlformats.org/officeDocument/2006/relationships/hyperlink" Target="https://www.zapopan.gob.mx/repositorio/view/file/lyylyt6czqdelwrc7n8c/269-2016.pdf" TargetMode="External"/><Relationship Id="rId304" Type="http://schemas.openxmlformats.org/officeDocument/2006/relationships/hyperlink" Target="https://www.zapopan.gob.mx/repositorio/view/file/ekycey5ri3tfraqkp2yx/069-2017.pdf" TargetMode="External"/><Relationship Id="rId325" Type="http://schemas.openxmlformats.org/officeDocument/2006/relationships/hyperlink" Target="https://www.zapopan.gob.mx/repositorio/view/file/fb21xia0klpfktybehwa/180-2017.pdf" TargetMode="External"/><Relationship Id="rId346" Type="http://schemas.openxmlformats.org/officeDocument/2006/relationships/hyperlink" Target="https://www.zapopan.gob.mx/repositorio/view/file/y4lvwr11hqq3400srwkl/325-2017.pdf" TargetMode="External"/><Relationship Id="rId367" Type="http://schemas.openxmlformats.org/officeDocument/2006/relationships/hyperlink" Target="https://www.zapopan.gob.mx/repositorio/view/file/gelmcavirgvqm8s1zpbz/140-2018ff.pdf" TargetMode="External"/><Relationship Id="rId85" Type="http://schemas.openxmlformats.org/officeDocument/2006/relationships/hyperlink" Target="https://www.zapopan.gob.mx/repositorio/view/file/09ilkevkdcobrfzsxomu/148-2016.pdf" TargetMode="External"/><Relationship Id="rId150" Type="http://schemas.openxmlformats.org/officeDocument/2006/relationships/hyperlink" Target="https://www.zapopan.gob.mx/repositorio/view/file/juzi93x9aa8ucejhsxzb/022-2018.pdf" TargetMode="External"/><Relationship Id="rId171" Type="http://schemas.openxmlformats.org/officeDocument/2006/relationships/hyperlink" Target="https://www.zapopan.gob.mx/repositorio/view/file/qppwwegedxt8qzdssqxc/047-2018.pdf" TargetMode="External"/><Relationship Id="rId192" Type="http://schemas.openxmlformats.org/officeDocument/2006/relationships/hyperlink" Target="https://www.zapopan.gob.mx/repositorio/view/file/qeprk2qh7bij35tckdvl/075-2018.pdf" TargetMode="External"/><Relationship Id="rId206" Type="http://schemas.openxmlformats.org/officeDocument/2006/relationships/hyperlink" Target="https://www.zapopan.gob.mx/repositorio/view/file/shvpgpk64pqyxr7kwwmg/091-2018.pdf" TargetMode="External"/><Relationship Id="rId227" Type="http://schemas.openxmlformats.org/officeDocument/2006/relationships/hyperlink" Target="https://www.zapopan.gob.mx/repositorio/view/file/bhc32xz9jgjgq9wp2ynx/010-2018.pdf" TargetMode="External"/><Relationship Id="rId248" Type="http://schemas.openxmlformats.org/officeDocument/2006/relationships/hyperlink" Target="https://www.zapopan.gob.mx/repositorio/view/file/ivxnizs9q72yduzvvl9n/128-2018.pdf" TargetMode="External"/><Relationship Id="rId269" Type="http://schemas.openxmlformats.org/officeDocument/2006/relationships/hyperlink" Target="https://www.zapopan.gob.mx/repositorio/view/file/w8cirbwef00fnefxzob2/167-2016.pdf" TargetMode="External"/><Relationship Id="rId12" Type="http://schemas.openxmlformats.org/officeDocument/2006/relationships/hyperlink" Target="http://www.zapopan.gob.mx/wp-content/uploads/2017/05/Contrato_007_2016.pdf" TargetMode="External"/><Relationship Id="rId33" Type="http://schemas.openxmlformats.org/officeDocument/2006/relationships/hyperlink" Target="http://www.zapopan.gob.mx/repositorio/view/file/ml6cyhr824u5prhdkcyg/CONTRATO_016_2016.pdf" TargetMode="External"/><Relationship Id="rId108" Type="http://schemas.openxmlformats.org/officeDocument/2006/relationships/hyperlink" Target="https://www.zapopan.gob.mx/repositorio/view/file/x3l2kingira9mo366n1z/215-2016.pdf" TargetMode="External"/><Relationship Id="rId129" Type="http://schemas.openxmlformats.org/officeDocument/2006/relationships/hyperlink" Target="https://www.zapopan.gob.mx/repositorio/view/file/mx6bw4p8wow5hmci6ezs/257-2016.pdf" TargetMode="External"/><Relationship Id="rId280" Type="http://schemas.openxmlformats.org/officeDocument/2006/relationships/hyperlink" Target="https://www.zapopan.gob.mx/repositorio/view/file/zfro43z9ybvmrecnuw3h/216-2016.pdf" TargetMode="External"/><Relationship Id="rId315" Type="http://schemas.openxmlformats.org/officeDocument/2006/relationships/hyperlink" Target="https://www.zapopan.gob.mx/repositorio/view/file/zt7nj4tagjbtwxbmnruo/129-2017.pdf" TargetMode="External"/><Relationship Id="rId336" Type="http://schemas.openxmlformats.org/officeDocument/2006/relationships/hyperlink" Target="https://www.zapopan.gob.mx/repositorio/view/file/t3psxbcmyjzupklqgghl/231-2017.pdf" TargetMode="External"/><Relationship Id="rId357" Type="http://schemas.openxmlformats.org/officeDocument/2006/relationships/hyperlink" Target="https://www.zapopan.gob.mx/repositorio/view/file/jhehwjz1ojlvhnryovcl/117-2018ff.pdf" TargetMode="External"/><Relationship Id="rId54" Type="http://schemas.openxmlformats.org/officeDocument/2006/relationships/hyperlink" Target="https://www.zapopan.gob.mx/repositorio/view/file/qyelektu3i0fnztoole8/091-2016.pdf" TargetMode="External"/><Relationship Id="rId75" Type="http://schemas.openxmlformats.org/officeDocument/2006/relationships/hyperlink" Target="https://www.zapopan.gob.mx/repositorio/view/file/yvpsorndgdvurxotxn3m/CONTRATO_127_2016.pdf" TargetMode="External"/><Relationship Id="rId96" Type="http://schemas.openxmlformats.org/officeDocument/2006/relationships/hyperlink" Target="https://www.zapopan.gob.mx/repositorio/view/file/gfbraue6kcv4mcgzp4ct/CONTRATO_166_2016.pdf" TargetMode="External"/><Relationship Id="rId140" Type="http://schemas.openxmlformats.org/officeDocument/2006/relationships/hyperlink" Target="https://www.zapopan.gob.mx/repositorio/view/file/vwgbofuycaxut3zmh0v1/268-2016.pdf" TargetMode="External"/><Relationship Id="rId161" Type="http://schemas.openxmlformats.org/officeDocument/2006/relationships/hyperlink" Target="https://www.zapopan.gob.mx/repositorio/view/file/qbhmshwktkb4jsyhwdlw/034-2018.pdf" TargetMode="External"/><Relationship Id="rId182" Type="http://schemas.openxmlformats.org/officeDocument/2006/relationships/hyperlink" Target="https://www.zapopan.gob.mx/repositorio/view/file/gzppbx8sq1x4l8ec2rlm/060-2018.pdf" TargetMode="External"/><Relationship Id="rId217" Type="http://schemas.openxmlformats.org/officeDocument/2006/relationships/hyperlink" Target="https://www.zapopan.gob.mx/repositorio/view/file/aomq3ugcllmsgny93ipi/150-2018.pdf" TargetMode="External"/><Relationship Id="rId378" Type="http://schemas.openxmlformats.org/officeDocument/2006/relationships/hyperlink" Target="https://www.zapopan.gob.mx/repositorio/view/file/hlz7dntnrj6csjax81cg/166-2018ff.pdf" TargetMode="External"/><Relationship Id="rId6" Type="http://schemas.openxmlformats.org/officeDocument/2006/relationships/hyperlink" Target="http://www.zapopan.gob.mx/wp-content/uploads/2017/06/DOPI_236_2015.pdf" TargetMode="External"/><Relationship Id="rId238" Type="http://schemas.openxmlformats.org/officeDocument/2006/relationships/hyperlink" Target="https://www.zapopan.gob.mx/repositorio/view/file/ejj1tdrbcucab4zhv4gm/111-2018.pdf" TargetMode="External"/><Relationship Id="rId259" Type="http://schemas.openxmlformats.org/officeDocument/2006/relationships/hyperlink" Target="https://www.zapopan.gob.mx/repositorio/view/file/iqjxd42rczzc3ykgioxb/115-2016.pdf" TargetMode="External"/><Relationship Id="rId23" Type="http://schemas.openxmlformats.org/officeDocument/2006/relationships/hyperlink" Target="http://www.zapopan.gob.mx/wp-content/uploads/2017/05/Contrato_030_2016.pdf" TargetMode="External"/><Relationship Id="rId119" Type="http://schemas.openxmlformats.org/officeDocument/2006/relationships/hyperlink" Target="https://www.zapopan.gob.mx/repositorio/view/file/ymcqkyqvlrtgyamc4nnh/240-2016.pdf" TargetMode="External"/><Relationship Id="rId270" Type="http://schemas.openxmlformats.org/officeDocument/2006/relationships/hyperlink" Target="https://www.zapopan.gob.mx/repositorio/view/file/gbic074llmgf17jvlxcl/169-2016.pdf" TargetMode="External"/><Relationship Id="rId291" Type="http://schemas.openxmlformats.org/officeDocument/2006/relationships/hyperlink" Target="https://www.zapopan.gob.mx/repositorio/view/file/yne0m192fafmrqmw58vc/279-2016.pdf" TargetMode="External"/><Relationship Id="rId305" Type="http://schemas.openxmlformats.org/officeDocument/2006/relationships/hyperlink" Target="https://www.zapopan.gob.mx/repositorio/view/file/4ba6hjkmviwloexzge27/070-2017.pdf" TargetMode="External"/><Relationship Id="rId326" Type="http://schemas.openxmlformats.org/officeDocument/2006/relationships/hyperlink" Target="https://www.zapopan.gob.mx/repositorio/view/file/8r3rwefpsk9hnpxxn8sp/182-2017.pdf" TargetMode="External"/><Relationship Id="rId347" Type="http://schemas.openxmlformats.org/officeDocument/2006/relationships/hyperlink" Target="https://www.zapopan.gob.mx/repositorio/view/file/tlskszzuog2vztq3fnpw/329-2017.pdf" TargetMode="External"/><Relationship Id="rId44" Type="http://schemas.openxmlformats.org/officeDocument/2006/relationships/hyperlink" Target="https://www.zapopan.gob.mx/repositorio/view/file/9brzyr2erzlh4odyfr9e/063-2016.pdf" TargetMode="External"/><Relationship Id="rId65" Type="http://schemas.openxmlformats.org/officeDocument/2006/relationships/hyperlink" Target="http://www.zapopan.gob.mx/repositorio/view/file/7k7vn53l2qg0vppkz7qx/CONTRATO_112_2016.pdf" TargetMode="External"/><Relationship Id="rId86" Type="http://schemas.openxmlformats.org/officeDocument/2006/relationships/hyperlink" Target="https://www.zapopan.gob.mx/repositorio/view/file/lc1wweh1rg8uyqm58cxz/149-2016.pdf" TargetMode="External"/><Relationship Id="rId130" Type="http://schemas.openxmlformats.org/officeDocument/2006/relationships/hyperlink" Target="https://www.zapopan.gob.mx/repositorio/view/file/zuuyhmf8ytkpgtb3p8ff/258-2016.pdf" TargetMode="External"/><Relationship Id="rId151" Type="http://schemas.openxmlformats.org/officeDocument/2006/relationships/hyperlink" Target="https://www.zapopan.gob.mx/repositorio/view/file/kfbmbs8ybrwkxsxwbwjf/023-2018.pdf" TargetMode="External"/><Relationship Id="rId368" Type="http://schemas.openxmlformats.org/officeDocument/2006/relationships/hyperlink" Target="https://www.zapopan.gob.mx/repositorio/view/file/m6vh0mwh71a3ii72lwtb/141-2018ff.pdf" TargetMode="External"/><Relationship Id="rId172" Type="http://schemas.openxmlformats.org/officeDocument/2006/relationships/hyperlink" Target="https://www.zapopan.gob.mx/repositorio/view/file/yqjqcil9kcwnccc1lwfz/048-2018.pdf" TargetMode="External"/><Relationship Id="rId193" Type="http://schemas.openxmlformats.org/officeDocument/2006/relationships/hyperlink" Target="https://www.zapopan.gob.mx/repositorio/view/file/9paclzyt3j9jzf6f8vtz/076-2018.pdf" TargetMode="External"/><Relationship Id="rId207" Type="http://schemas.openxmlformats.org/officeDocument/2006/relationships/hyperlink" Target="https://www.zapopan.gob.mx/repositorio/view/file/zsy6avl17xsj4rq0we63/092-2018.pdf" TargetMode="External"/><Relationship Id="rId228" Type="http://schemas.openxmlformats.org/officeDocument/2006/relationships/hyperlink" Target="https://www.zapopan.gob.mx/repositorio/view/file/par6ssxpp6jkyugcq7f1/011_2018_FF.pdf" TargetMode="External"/><Relationship Id="rId249" Type="http://schemas.openxmlformats.org/officeDocument/2006/relationships/hyperlink" Target="https://www.zapopan.gob.mx/repositorio/view/file/cstygnpuyfacpzbh4zr0/129-2018.pdf" TargetMode="External"/><Relationship Id="rId13" Type="http://schemas.openxmlformats.org/officeDocument/2006/relationships/hyperlink" Target="http://www.zapopan.gob.mx/wp-content/uploads/2017/05/Contrato_024_2016.pdf" TargetMode="External"/><Relationship Id="rId109" Type="http://schemas.openxmlformats.org/officeDocument/2006/relationships/hyperlink" Target="https://www.zapopan.gob.mx/repositorio/view/file/pdm4isnh9ybimfs5ccig/219-2016.pdf" TargetMode="External"/><Relationship Id="rId260" Type="http://schemas.openxmlformats.org/officeDocument/2006/relationships/hyperlink" Target="https://www.zapopan.gob.mx/repositorio/view/file/hiyypccahz0hkroace6v/116-2016.pdf" TargetMode="External"/><Relationship Id="rId281" Type="http://schemas.openxmlformats.org/officeDocument/2006/relationships/hyperlink" Target="https://www.zapopan.gob.mx/repositorio/view/file/5klqirddlczpqp2z44ta/217-2016.pdf" TargetMode="External"/><Relationship Id="rId316" Type="http://schemas.openxmlformats.org/officeDocument/2006/relationships/hyperlink" Target="https://www.zapopan.gob.mx/repositorio/view/file/motzbmjrgwnduw0ckgxs/131-2017.pdf" TargetMode="External"/><Relationship Id="rId337" Type="http://schemas.openxmlformats.org/officeDocument/2006/relationships/hyperlink" Target="http://www.zapopan.gob.mx/repositorio/view/file/8d6leo5ktcuklon1lshv/CONTRATO_242_2017.pdf" TargetMode="External"/><Relationship Id="rId34" Type="http://schemas.openxmlformats.org/officeDocument/2006/relationships/hyperlink" Target="https://www.zapopan.gob.mx/repositorio/view/file/sasi2xa4pg38irggmi1c/038-2016.pdf" TargetMode="External"/><Relationship Id="rId55" Type="http://schemas.openxmlformats.org/officeDocument/2006/relationships/hyperlink" Target="https://www.zapopan.gob.mx/repositorio/view/file/gsdj5oslpgfzaqx9vtat/093-2016.pdf" TargetMode="External"/><Relationship Id="rId76" Type="http://schemas.openxmlformats.org/officeDocument/2006/relationships/hyperlink" Target="https://www.zapopan.gob.mx/repositorio/view/file/maxkm9xg1ikktwxptnzb/CONTRATO_129_2016.pdf" TargetMode="External"/><Relationship Id="rId97" Type="http://schemas.openxmlformats.org/officeDocument/2006/relationships/hyperlink" Target="https://www.zapopan.gob.mx/repositorio/view/file/inpiuc4lamyxt4jpunbh/168-2016.pdf" TargetMode="External"/><Relationship Id="rId120" Type="http://schemas.openxmlformats.org/officeDocument/2006/relationships/hyperlink" Target="https://www.zapopan.gob.mx/repositorio/view/file/rgiywqk1emew15bzb8hk/241-2016.pdf" TargetMode="External"/><Relationship Id="rId141" Type="http://schemas.openxmlformats.org/officeDocument/2006/relationships/hyperlink" Target="https://www.zapopan.gob.mx/repositorio/view/file/prbpuodnm0tnhuqawhhr/272-2016.pdf" TargetMode="External"/><Relationship Id="rId358" Type="http://schemas.openxmlformats.org/officeDocument/2006/relationships/hyperlink" Target="https://www.zapopan.gob.mx/repositorio/view/file/dvucljakkvmtr62fspqt/118-2018ff.pdf" TargetMode="External"/><Relationship Id="rId379" Type="http://schemas.openxmlformats.org/officeDocument/2006/relationships/hyperlink" Target="https://www.zapopan.gob.mx/repositorio/view/file/qxxdepllisz1cgjiqagd/167-2018ff.pdf" TargetMode="External"/><Relationship Id="rId7" Type="http://schemas.openxmlformats.org/officeDocument/2006/relationships/hyperlink" Target="http://www.zapopan.gob.mx/wp-content/uploads/2017/06/DOPI_237_2015.pdf" TargetMode="External"/><Relationship Id="rId162" Type="http://schemas.openxmlformats.org/officeDocument/2006/relationships/hyperlink" Target="https://www.zapopan.gob.mx/repositorio/view/file/3t8slx7yylirwnpxyv4e/035-2018.pdf" TargetMode="External"/><Relationship Id="rId183" Type="http://schemas.openxmlformats.org/officeDocument/2006/relationships/hyperlink" Target="https://www.zapopan.gob.mx/repositorio/view/file/ofnlfmaaxm1cjdyfc76m/061-2018.pdf" TargetMode="External"/><Relationship Id="rId218" Type="http://schemas.openxmlformats.org/officeDocument/2006/relationships/hyperlink" Target="https://www.zapopan.gob.mx/repositorio/view/file/anonlqq3jwwn127obewb/001_2018_FF.pdf" TargetMode="External"/><Relationship Id="rId239" Type="http://schemas.openxmlformats.org/officeDocument/2006/relationships/hyperlink" Target="https://www.zapopan.gob.mx/repositorio/view/file/4z4s3ymspi8koauzopp1/113-2018.pdf" TargetMode="External"/><Relationship Id="rId250" Type="http://schemas.openxmlformats.org/officeDocument/2006/relationships/hyperlink" Target="https://www.zapopan.gob.mx/repositorio/view/file/kvihvfiilq1twoixo6pb/132-2018.pdf" TargetMode="External"/><Relationship Id="rId271" Type="http://schemas.openxmlformats.org/officeDocument/2006/relationships/hyperlink" Target="https://www.zapopan.gob.mx/repositorio/view/file/di6bzezgmg91va87eivl/194-2016.pdf" TargetMode="External"/><Relationship Id="rId292" Type="http://schemas.openxmlformats.org/officeDocument/2006/relationships/hyperlink" Target="https://www.zapopan.gob.mx/repositorio/view/file/upw3a2hdefjg3lutr3pz/280-2016.pdf" TargetMode="External"/><Relationship Id="rId306" Type="http://schemas.openxmlformats.org/officeDocument/2006/relationships/hyperlink" Target="https://www.zapopan.gob.mx/repositorio/view/file/pn41xuohfpqxwstdhli8/071-2017.pdf" TargetMode="External"/><Relationship Id="rId24" Type="http://schemas.openxmlformats.org/officeDocument/2006/relationships/hyperlink" Target="http://www.zapopan.gob.mx/wp-content/uploads/2017/05/Contrato_033_2016.pdf" TargetMode="External"/><Relationship Id="rId45" Type="http://schemas.openxmlformats.org/officeDocument/2006/relationships/hyperlink" Target="https://www.zapopan.gob.mx/repositorio/view/file/l8mcxyblheevyitqmucx/CONTRATO_070_2016.pdf" TargetMode="External"/><Relationship Id="rId66" Type="http://schemas.openxmlformats.org/officeDocument/2006/relationships/hyperlink" Target="https://www.zapopan.gob.mx/repositorio/view/file/gwgq3gwrp4cfupwpf8l9/113-2016.pdf" TargetMode="External"/><Relationship Id="rId87" Type="http://schemas.openxmlformats.org/officeDocument/2006/relationships/hyperlink" Target="https://www.zapopan.gob.mx/repositorio/view/file/og0jldibtbr4ynzsf0vr/155-2016.pdf" TargetMode="External"/><Relationship Id="rId110" Type="http://schemas.openxmlformats.org/officeDocument/2006/relationships/hyperlink" Target="https://www.zapopan.gob.mx/repositorio/view/file/cc8etkdaey3hq5lkdrp0/221-2016.pdf" TargetMode="External"/><Relationship Id="rId131" Type="http://schemas.openxmlformats.org/officeDocument/2006/relationships/hyperlink" Target="https://www.zapopan.gob.mx/repositorio/view/file/xtegjocqkriijenbohrq/259-2016.pdf" TargetMode="External"/><Relationship Id="rId327" Type="http://schemas.openxmlformats.org/officeDocument/2006/relationships/hyperlink" Target="https://www.zapopan.gob.mx/repositorio/view/file/lounjjfadavkinmivmsy/204_2017.pdf" TargetMode="External"/><Relationship Id="rId348" Type="http://schemas.openxmlformats.org/officeDocument/2006/relationships/hyperlink" Target="https://www.zapopan.gob.mx/repositorio/view/file/9wpg5yxigycmoqbevoqn/339_2017.pdf" TargetMode="External"/><Relationship Id="rId369" Type="http://schemas.openxmlformats.org/officeDocument/2006/relationships/hyperlink" Target="https://www.zapopan.gob.mx/repositorio/view/file/vzy1h2a4vzmlgznmf2mz/151-2018ff.pdf" TargetMode="External"/><Relationship Id="rId152" Type="http://schemas.openxmlformats.org/officeDocument/2006/relationships/hyperlink" Target="https://www.zapopan.gob.mx/repositorio/view/file/s027jehjizvnq0amcov4/024-2018.pdf" TargetMode="External"/><Relationship Id="rId173" Type="http://schemas.openxmlformats.org/officeDocument/2006/relationships/hyperlink" Target="https://www.zapopan.gob.mx/repositorio/view/file/suo3uvqonmvex4bgyhoo/049-2018.pdf" TargetMode="External"/><Relationship Id="rId194" Type="http://schemas.openxmlformats.org/officeDocument/2006/relationships/hyperlink" Target="https://www.zapopan.gob.mx/repositorio/view/file/ojyz234weed9oqmg8h2a/077-2018.pdf" TargetMode="External"/><Relationship Id="rId208" Type="http://schemas.openxmlformats.org/officeDocument/2006/relationships/hyperlink" Target="https://www.zapopan.gob.mx/repositorio/view/file/h22chl8lkbnu6m842wtc/095-2018.pdf" TargetMode="External"/><Relationship Id="rId229" Type="http://schemas.openxmlformats.org/officeDocument/2006/relationships/hyperlink" Target="https://www.zapopan.gob.mx/repositorio/view/file/epdyt1m2njzydrc9ziaj/013_2018_FF.pdf" TargetMode="External"/><Relationship Id="rId380" Type="http://schemas.openxmlformats.org/officeDocument/2006/relationships/printerSettings" Target="../printerSettings/printerSettings1.bin"/><Relationship Id="rId240" Type="http://schemas.openxmlformats.org/officeDocument/2006/relationships/hyperlink" Target="https://www.zapopan.gob.mx/repositorio/view/file/waknxlag3zsi7bgplvoy/114-2018.pdf" TargetMode="External"/><Relationship Id="rId261" Type="http://schemas.openxmlformats.org/officeDocument/2006/relationships/hyperlink" Target="https://www.zapopan.gob.mx/repositorio/view/file/tj73dihqupj7pq1ze9tl/117-2016.pdf" TargetMode="External"/><Relationship Id="rId14" Type="http://schemas.openxmlformats.org/officeDocument/2006/relationships/hyperlink" Target="http://www.zapopan.gob.mx/wp-content/uploads/2017/09/076-17.pdf" TargetMode="External"/><Relationship Id="rId35" Type="http://schemas.openxmlformats.org/officeDocument/2006/relationships/hyperlink" Target="https://www.zapopan.gob.mx/repositorio/view/file/owwxswbjqfegi0b7ehkb/CONTRATO_039_2016.pdf" TargetMode="External"/><Relationship Id="rId56" Type="http://schemas.openxmlformats.org/officeDocument/2006/relationships/hyperlink" Target="https://www.zapopan.gob.mx/repositorio/view/file/mpmayq149o07tbr6rhla/094-2016.pdf" TargetMode="External"/><Relationship Id="rId77" Type="http://schemas.openxmlformats.org/officeDocument/2006/relationships/hyperlink" Target="https://www.zapopan.gob.mx/repositorio/view/file/uh8ny6khayl57s56unp7/CONTRATO_130_2016.pdf" TargetMode="External"/><Relationship Id="rId100" Type="http://schemas.openxmlformats.org/officeDocument/2006/relationships/hyperlink" Target="http://www.zapopan.gob.mx/repositorio/view/file/snopnvcsktgcn5hyt5at/CONTRATO_177_2016.pdf" TargetMode="External"/><Relationship Id="rId282" Type="http://schemas.openxmlformats.org/officeDocument/2006/relationships/hyperlink" Target="https://www.zapopan.gob.mx/repositorio/view/file/mv4zykmq7vcveud7west/222-2016.pdf" TargetMode="External"/><Relationship Id="rId317" Type="http://schemas.openxmlformats.org/officeDocument/2006/relationships/hyperlink" Target="https://www.zapopan.gob.mx/repositorio/view/file/ksnwnsecywz028bqf3nv/132-2017.pdf" TargetMode="External"/><Relationship Id="rId338" Type="http://schemas.openxmlformats.org/officeDocument/2006/relationships/hyperlink" Target="https://www.zapopan.gob.mx/repositorio/view/file/8k7jx78bscjh694l3zbu/240-2017.pdf" TargetMode="External"/><Relationship Id="rId359" Type="http://schemas.openxmlformats.org/officeDocument/2006/relationships/hyperlink" Target="https://www.zapopan.gob.mx/repositorio/view/file/qkueoybczmeeqvyzimoq/120-2018ff.pdf" TargetMode="External"/><Relationship Id="rId8" Type="http://schemas.openxmlformats.org/officeDocument/2006/relationships/hyperlink" Target="http://www.zapopan.gob.mx/wp-content/uploads/2017/06/DOPI_239_2015.pdf" TargetMode="External"/><Relationship Id="rId98" Type="http://schemas.openxmlformats.org/officeDocument/2006/relationships/hyperlink" Target="https://www.zapopan.gob.mx/repositorio/view/file/2rxyogyffdy3aeev8pv5/170-2016.pdf" TargetMode="External"/><Relationship Id="rId121" Type="http://schemas.openxmlformats.org/officeDocument/2006/relationships/hyperlink" Target="https://www.zapopan.gob.mx/repositorio/view/file/7ublbz5ucapvrfrfjl6l/244-2016.pdf" TargetMode="External"/><Relationship Id="rId142" Type="http://schemas.openxmlformats.org/officeDocument/2006/relationships/hyperlink" Target="https://www.zapopan.gob.mx/repositorio/view/file/gcdmmlgvfar3933kvawv/275-2016.pdf" TargetMode="External"/><Relationship Id="rId163" Type="http://schemas.openxmlformats.org/officeDocument/2006/relationships/hyperlink" Target="https://www.zapopan.gob.mx/repositorio/view/file/bmnapv8mlmfgih8w8bpa/036-2018.pdf" TargetMode="External"/><Relationship Id="rId184" Type="http://schemas.openxmlformats.org/officeDocument/2006/relationships/hyperlink" Target="https://www.zapopan.gob.mx/repositorio/view/file/jpw4x0a3wegee2lbm7n7/065-2018.pdf" TargetMode="External"/><Relationship Id="rId219" Type="http://schemas.openxmlformats.org/officeDocument/2006/relationships/hyperlink" Target="https://www.zapopan.gob.mx/repositorio/view/file/ogcvxngyyuiuqjgc5ye0/002-2018.pdf" TargetMode="External"/><Relationship Id="rId370" Type="http://schemas.openxmlformats.org/officeDocument/2006/relationships/hyperlink" Target="https://www.zapopan.gob.mx/repositorio/view/file/e3trlnxcrdmnuymssdg4/152-2018ff.pdf" TargetMode="External"/><Relationship Id="rId230" Type="http://schemas.openxmlformats.org/officeDocument/2006/relationships/hyperlink" Target="https://www.zapopan.gob.mx/repositorio/view/file/xytibwost0l9jxizxlvl/014_2018_FF.pdf" TargetMode="External"/><Relationship Id="rId251" Type="http://schemas.openxmlformats.org/officeDocument/2006/relationships/hyperlink" Target="https://www.zapopan.gob.mx/repositorio/view/file/jt6xcuw7yfqqs4b1aasv/134-2018.pdf" TargetMode="External"/><Relationship Id="rId25" Type="http://schemas.openxmlformats.org/officeDocument/2006/relationships/hyperlink" Target="http://www.zapopan.gob.mx/wp-content/uploads/2017/05/Contrato_035_2016.pdf" TargetMode="External"/><Relationship Id="rId46" Type="http://schemas.openxmlformats.org/officeDocument/2006/relationships/hyperlink" Target="https://www.zapopan.gob.mx/repositorio/view/file/bjohf0kgryiajv7ydj1q/076-2016.pdf" TargetMode="External"/><Relationship Id="rId67" Type="http://schemas.openxmlformats.org/officeDocument/2006/relationships/hyperlink" Target="https://www.zapopan.gob.mx/repositorio/view/file/a0zocqieu8rwlsi7b2zo/114-2016.pdf" TargetMode="External"/><Relationship Id="rId272" Type="http://schemas.openxmlformats.org/officeDocument/2006/relationships/hyperlink" Target="https://www.zapopan.gob.mx/repositorio/view/file/flvjdtq7tf9dccik3hsn/200-2016.pdf" TargetMode="External"/><Relationship Id="rId293" Type="http://schemas.openxmlformats.org/officeDocument/2006/relationships/hyperlink" Target="https://www.zapopan.gob.mx/repositorio/view/file/2wjpmar43rljl8v6copr/021-2017.pdf" TargetMode="External"/><Relationship Id="rId307" Type="http://schemas.openxmlformats.org/officeDocument/2006/relationships/hyperlink" Target="https://www.zapopan.gob.mx/repositorio/view/file/nu23eayvbvxdmdx9tpkj/073-2017.pdf" TargetMode="External"/><Relationship Id="rId328" Type="http://schemas.openxmlformats.org/officeDocument/2006/relationships/hyperlink" Target="https://www.zapopan.gob.mx/repositorio/view/file/yv2arnfkwu8cbfdofuec/205-2017.pdf" TargetMode="External"/><Relationship Id="rId349" Type="http://schemas.openxmlformats.org/officeDocument/2006/relationships/hyperlink" Target="https://www.zapopan.gob.mx/repositorio/view/file/nnm1tgtkcgdz9fdbmvsu/377-2017.pdf" TargetMode="External"/><Relationship Id="rId88" Type="http://schemas.openxmlformats.org/officeDocument/2006/relationships/hyperlink" Target="https://www.zapopan.gob.mx/repositorio/view/file/j7znfp959xb1it2ci9nh/156-2016.pdf" TargetMode="External"/><Relationship Id="rId111" Type="http://schemas.openxmlformats.org/officeDocument/2006/relationships/hyperlink" Target="https://www.zapopan.gob.mx/repositorio/view/file/kmpqqt1n71xhbvco7kre/226-2016.pdf" TargetMode="External"/><Relationship Id="rId132" Type="http://schemas.openxmlformats.org/officeDocument/2006/relationships/hyperlink" Target="https://www.zapopan.gob.mx/repositorio/view/file/zyjjwy0x7fjireyu9ryk/260-2016.pdf" TargetMode="External"/><Relationship Id="rId153" Type="http://schemas.openxmlformats.org/officeDocument/2006/relationships/hyperlink" Target="https://www.zapopan.gob.mx/repositorio/view/file/j7a0qqstpcfvgir4kjdj/025-2018.pdf" TargetMode="External"/><Relationship Id="rId174" Type="http://schemas.openxmlformats.org/officeDocument/2006/relationships/hyperlink" Target="https://www.zapopan.gob.mx/repositorio/view/file/ejflsm8k2wkwpmahfqof/051-2018.pdf" TargetMode="External"/><Relationship Id="rId195" Type="http://schemas.openxmlformats.org/officeDocument/2006/relationships/hyperlink" Target="https://www.zapopan.gob.mx/repositorio/view/file/36ggnajioumfj4cxxmlg/078-2018.pdf" TargetMode="External"/><Relationship Id="rId209" Type="http://schemas.openxmlformats.org/officeDocument/2006/relationships/hyperlink" Target="https://www.zapopan.gob.mx/repositorio/view/file/tya6dq8esfqpkwxq0yrn/096-2018.pdf" TargetMode="External"/><Relationship Id="rId360" Type="http://schemas.openxmlformats.org/officeDocument/2006/relationships/hyperlink" Target="https://www.zapopan.gob.mx/repositorio/view/file/p7wvm79likqxvdwi0lxp/121-2018ff.pdf" TargetMode="External"/><Relationship Id="rId381" Type="http://schemas.openxmlformats.org/officeDocument/2006/relationships/drawing" Target="../drawings/drawing1.xml"/><Relationship Id="rId220" Type="http://schemas.openxmlformats.org/officeDocument/2006/relationships/hyperlink" Target="https://www.zapopan.gob.mx/repositorio/view/file/uf9goxbgqj0bwh1xi5t0/003_2018_FF.pdf" TargetMode="External"/><Relationship Id="rId241" Type="http://schemas.openxmlformats.org/officeDocument/2006/relationships/hyperlink" Target="https://www.zapopan.gob.mx/repositorio/view/file/gfew5wlpkautwnhbsope/115-2018.pdf" TargetMode="External"/><Relationship Id="rId15" Type="http://schemas.openxmlformats.org/officeDocument/2006/relationships/hyperlink" Target="http://www.zapopan.gob.mx/wp-content/uploads/2017/09/001_16.pdf" TargetMode="External"/><Relationship Id="rId36" Type="http://schemas.openxmlformats.org/officeDocument/2006/relationships/hyperlink" Target="https://www.zapopan.gob.mx/repositorio/view/file/qo5575boicuvbtwl4kje/CONTRATO_040_2016.pdf" TargetMode="External"/><Relationship Id="rId57" Type="http://schemas.openxmlformats.org/officeDocument/2006/relationships/hyperlink" Target="https://www.zapopan.gob.mx/repositorio/view/file/0cxqzc9h0dvkmd4sl0w4/096-2016.pdf" TargetMode="External"/><Relationship Id="rId262" Type="http://schemas.openxmlformats.org/officeDocument/2006/relationships/hyperlink" Target="https://www.zapopan.gob.mx/repositorio/view/file/x4rqz0qu1lj1vhhj4o13/124-2016.pdf" TargetMode="External"/><Relationship Id="rId283" Type="http://schemas.openxmlformats.org/officeDocument/2006/relationships/hyperlink" Target="https://www.zapopan.gob.mx/repositorio/view/file/wvrokgx0bo6ajo8x8cqy/233-2016.pdf" TargetMode="External"/><Relationship Id="rId318" Type="http://schemas.openxmlformats.org/officeDocument/2006/relationships/hyperlink" Target="https://www.zapopan.gob.mx/repositorio/view/file/lbeb1un6ynhtzjkwapim/133-2017.pdf" TargetMode="External"/><Relationship Id="rId339" Type="http://schemas.openxmlformats.org/officeDocument/2006/relationships/hyperlink" Target="https://www.zapopan.gob.mx/repositorio/view/file/i3gc6qrg91o43kqqvz3v/241-2017.pdf" TargetMode="External"/><Relationship Id="rId78" Type="http://schemas.openxmlformats.org/officeDocument/2006/relationships/hyperlink" Target="https://www.zapopan.gob.mx/repositorio/view/file/ogyocsuolgm2gdqoprku/CONTRATO_133_2016.pdf" TargetMode="External"/><Relationship Id="rId99" Type="http://schemas.openxmlformats.org/officeDocument/2006/relationships/hyperlink" Target="http://www.zapopan.gob.mx/repositorio/view/file/wgtfgf0n8cxrmkev5ib7/CONTRATO_176_2016.pdf" TargetMode="External"/><Relationship Id="rId101" Type="http://schemas.openxmlformats.org/officeDocument/2006/relationships/hyperlink" Target="https://www.zapopan.gob.mx/repositorio/view/file/zco6nm3d2u3nrhw0yvfe/189-2016.pdf" TargetMode="External"/><Relationship Id="rId122" Type="http://schemas.openxmlformats.org/officeDocument/2006/relationships/hyperlink" Target="https://www.zapopan.gob.mx/repositorio/view/file/qcjqhlffttvvjiu9w3c5/249-2016.pdf" TargetMode="External"/><Relationship Id="rId143" Type="http://schemas.openxmlformats.org/officeDocument/2006/relationships/hyperlink" Target="https://www.zapopan.gob.mx/repositorio/view/file/m6dhj3nwcp2q8adwteav/277-2016.pdf" TargetMode="External"/><Relationship Id="rId164" Type="http://schemas.openxmlformats.org/officeDocument/2006/relationships/hyperlink" Target="https://www.zapopan.gob.mx/repositorio/view/file/nftkdouk0dquikewf7qa/038-2018.pdf" TargetMode="External"/><Relationship Id="rId185" Type="http://schemas.openxmlformats.org/officeDocument/2006/relationships/hyperlink" Target="https://www.zapopan.gob.mx/repositorio/view/file/iqyfgc2a5ybs0ros59w5/066-2018.pdf" TargetMode="External"/><Relationship Id="rId350" Type="http://schemas.openxmlformats.org/officeDocument/2006/relationships/hyperlink" Target="https://www.zapopan.gob.mx/repositorio/view/file/iiejszzewhkbxoq1blbe/016-2018ff.pdf" TargetMode="External"/><Relationship Id="rId371" Type="http://schemas.openxmlformats.org/officeDocument/2006/relationships/hyperlink" Target="https://www.zapopan.gob.mx/repositorio/view/file/qzkvfpjxs7yl8qe339f0/153-2018ff.pdf" TargetMode="External"/><Relationship Id="rId9" Type="http://schemas.openxmlformats.org/officeDocument/2006/relationships/hyperlink" Target="http://www.zapopan.gob.mx/wp-content/uploads/2017/06/DOPI_240_2015.pdf" TargetMode="External"/><Relationship Id="rId210" Type="http://schemas.openxmlformats.org/officeDocument/2006/relationships/hyperlink" Target="https://www.zapopan.gob.mx/repositorio/view/file/3raqljjdxxk7qnhq1mud/097-2018.pdf" TargetMode="External"/><Relationship Id="rId26" Type="http://schemas.openxmlformats.org/officeDocument/2006/relationships/hyperlink" Target="http://www.zapopan.gob.mx/wp-content/uploads/2017/06/DOPI_054_2016.pdf" TargetMode="External"/><Relationship Id="rId231" Type="http://schemas.openxmlformats.org/officeDocument/2006/relationships/hyperlink" Target="https://www.zapopan.gob.mx/repositorio/view/file/r6yksdn9xkdxy7my2hbg/015-2018.pdf" TargetMode="External"/><Relationship Id="rId252" Type="http://schemas.openxmlformats.org/officeDocument/2006/relationships/hyperlink" Target="https://www.zapopan.gob.mx/repositorio/view/file/a8prtormnclqpqnc0tio/137-2018.pdf" TargetMode="External"/><Relationship Id="rId273" Type="http://schemas.openxmlformats.org/officeDocument/2006/relationships/hyperlink" Target="https://www.zapopan.gob.mx/repositorio/view/file/6sgvyj4r4cipirquzcwe/201-2016.pdf" TargetMode="External"/><Relationship Id="rId294" Type="http://schemas.openxmlformats.org/officeDocument/2006/relationships/hyperlink" Target="https://www.zapopan.gob.mx/repositorio/view/file/rv9r2nvgfnqce1wdky7f/032-2017.pdf" TargetMode="External"/><Relationship Id="rId308" Type="http://schemas.openxmlformats.org/officeDocument/2006/relationships/hyperlink" Target="https://www.zapopan.gob.mx/repositorio/view/file/ffmxb3aowmotrmhnzo6p/075-2017.pdf" TargetMode="External"/><Relationship Id="rId329" Type="http://schemas.openxmlformats.org/officeDocument/2006/relationships/hyperlink" Target="https://www.zapopan.gob.mx/repositorio/view/file/6gmltvk7pm0nbu22gny3/206-2017.pdf" TargetMode="External"/><Relationship Id="rId47" Type="http://schemas.openxmlformats.org/officeDocument/2006/relationships/hyperlink" Target="https://www.zapopan.gob.mx/repositorio/view/file/4jx9fnzswguc1ikxeekz/083-2016.pdf" TargetMode="External"/><Relationship Id="rId68" Type="http://schemas.openxmlformats.org/officeDocument/2006/relationships/hyperlink" Target="https://www.zapopan.gob.mx/repositorio/view/file/bi4nb4gzhkpoh9qa9bqi/118-2016.pdf" TargetMode="External"/><Relationship Id="rId89" Type="http://schemas.openxmlformats.org/officeDocument/2006/relationships/hyperlink" Target="https://www.zapopan.gob.mx/repositorio/view/file/zw1yecqkvkotkuus5vu2/159-2016.pdf" TargetMode="External"/><Relationship Id="rId112" Type="http://schemas.openxmlformats.org/officeDocument/2006/relationships/hyperlink" Target="https://www.zapopan.gob.mx/repositorio/view/file/eijowcrd0rr8jjddo9vg/228-2016.pdf" TargetMode="External"/><Relationship Id="rId133" Type="http://schemas.openxmlformats.org/officeDocument/2006/relationships/hyperlink" Target="https://www.zapopan.gob.mx/repositorio/view/file/vbxzifk53ha0sphygvfl/261-2016.pdf" TargetMode="External"/><Relationship Id="rId154" Type="http://schemas.openxmlformats.org/officeDocument/2006/relationships/hyperlink" Target="https://www.zapopan.gob.mx/repositorio/view/file/ekpesdglzrau49cfx3nq/026-2018.pdf" TargetMode="External"/><Relationship Id="rId175" Type="http://schemas.openxmlformats.org/officeDocument/2006/relationships/hyperlink" Target="https://www.zapopan.gob.mx/repositorio/view/file/6nbjo3iiumu8sejef941/052-2018.pdf" TargetMode="External"/><Relationship Id="rId340" Type="http://schemas.openxmlformats.org/officeDocument/2006/relationships/hyperlink" Target="https://www.zapopan.gob.mx/repositorio/view/file/pz1ztxuxg3az4s0dlv87/246-2017.pdf" TargetMode="External"/><Relationship Id="rId361" Type="http://schemas.openxmlformats.org/officeDocument/2006/relationships/hyperlink" Target="https://www.zapopan.gob.mx/repositorio/view/file/a0fkk5eulxeto44faxqo/127-2018ff.pdf" TargetMode="External"/><Relationship Id="rId196" Type="http://schemas.openxmlformats.org/officeDocument/2006/relationships/hyperlink" Target="https://www.zapopan.gob.mx/repositorio/view/file/k0xcrtb4ru0tgksxnxq7/079-2018.pdf" TargetMode="External"/><Relationship Id="rId200" Type="http://schemas.openxmlformats.org/officeDocument/2006/relationships/hyperlink" Target="https://www.zapopan.gob.mx/repositorio/view/file/kddp1zxrbzuyyy0s7zv6/083-2018.pdf" TargetMode="External"/><Relationship Id="rId16" Type="http://schemas.openxmlformats.org/officeDocument/2006/relationships/hyperlink" Target="http://www.zapopan.gob.mx/wp-content/uploads/2017/09/03_16.pdf" TargetMode="External"/><Relationship Id="rId221" Type="http://schemas.openxmlformats.org/officeDocument/2006/relationships/hyperlink" Target="https://www.zapopan.gob.mx/repositorio/view/file/takwpobwlcb2immwpmku/004_2018_FF.pdf" TargetMode="External"/><Relationship Id="rId242" Type="http://schemas.openxmlformats.org/officeDocument/2006/relationships/hyperlink" Target="https://www.zapopan.gob.mx/repositorio/view/file/mpnbdsb0bzhfnj7jjxp0/119-2018.pdf" TargetMode="External"/><Relationship Id="rId263" Type="http://schemas.openxmlformats.org/officeDocument/2006/relationships/hyperlink" Target="https://www.zapopan.gob.mx/repositorio/view/file/guudnthl2jgo0xsiweb2/128-2016.pdf" TargetMode="External"/><Relationship Id="rId284" Type="http://schemas.openxmlformats.org/officeDocument/2006/relationships/hyperlink" Target="https://www.zapopan.gob.mx/repositorio/view/file/jbbfiz21cz4l313531of/234-2016.pdf" TargetMode="External"/><Relationship Id="rId319" Type="http://schemas.openxmlformats.org/officeDocument/2006/relationships/hyperlink" Target="https://www.zapopan.gob.mx/repositorio/view/file/yb2um90sttsxcvkirl3p/134-2017.pdf" TargetMode="External"/><Relationship Id="rId37" Type="http://schemas.openxmlformats.org/officeDocument/2006/relationships/hyperlink" Target="https://www.zapopan.gob.mx/repositorio/view/file/lt9fxykj4tsx6bs8dd12/CONTRATO_041_2016.pdf" TargetMode="External"/><Relationship Id="rId58" Type="http://schemas.openxmlformats.org/officeDocument/2006/relationships/hyperlink" Target="https://www.zapopan.gob.mx/repositorio/view/file/gmx0jli54dbolmwkhg0x/097-2016.pdf" TargetMode="External"/><Relationship Id="rId79" Type="http://schemas.openxmlformats.org/officeDocument/2006/relationships/hyperlink" Target="https://www.zapopan.gob.mx/repositorio/view/file/l7zyxh2dzzpnxq65t4uw/CONTRATO_134_2016.pdf" TargetMode="External"/><Relationship Id="rId102" Type="http://schemas.openxmlformats.org/officeDocument/2006/relationships/hyperlink" Target="https://www.zapopan.gob.mx/repositorio/view/file/qdwrkmr707ildulyndxz/202-2016.pdf" TargetMode="External"/><Relationship Id="rId123" Type="http://schemas.openxmlformats.org/officeDocument/2006/relationships/hyperlink" Target="https://www.zapopan.gob.mx/repositorio/view/file/m0pwpgo6v1mvvjyd2ifi/251-2016.pdf" TargetMode="External"/><Relationship Id="rId144" Type="http://schemas.openxmlformats.org/officeDocument/2006/relationships/hyperlink" Target="https://www.zapopan.gob.mx/repositorio/view/file/o5hjwxmfcnqrvikeebdm/278-2016.pdf" TargetMode="External"/><Relationship Id="rId330" Type="http://schemas.openxmlformats.org/officeDocument/2006/relationships/hyperlink" Target="https://www.zapopan.gob.mx/repositorio/view/file/e13un5vsakomznbkqt3i/208-2017.pdf" TargetMode="External"/><Relationship Id="rId90" Type="http://schemas.openxmlformats.org/officeDocument/2006/relationships/hyperlink" Target="https://www.zapopan.gob.mx/repositorio/view/file/089ufkzgtxogukm8d0qm/CONTRATO_160_2016.pdf" TargetMode="External"/><Relationship Id="rId165" Type="http://schemas.openxmlformats.org/officeDocument/2006/relationships/hyperlink" Target="https://www.zapopan.gob.mx/repositorio/view/file/qtr0bkr0xw3s6ra0mrxg/039-2018.pdf" TargetMode="External"/><Relationship Id="rId186" Type="http://schemas.openxmlformats.org/officeDocument/2006/relationships/hyperlink" Target="https://www.zapopan.gob.mx/repositorio/view/file/ggfqlmikub71yds8vbea/067-2018.pdf" TargetMode="External"/><Relationship Id="rId351" Type="http://schemas.openxmlformats.org/officeDocument/2006/relationships/hyperlink" Target="https://www.zapopan.gob.mx/repositorio/view/file/dwoeivhspwycq5ebaanm/020-2018ff.pdf" TargetMode="External"/><Relationship Id="rId372" Type="http://schemas.openxmlformats.org/officeDocument/2006/relationships/hyperlink" Target="https://www.zapopan.gob.mx/repositorio/view/file/muavv3up8zdfhdmgz1qp/154-2018ff.pdf" TargetMode="External"/><Relationship Id="rId211" Type="http://schemas.openxmlformats.org/officeDocument/2006/relationships/hyperlink" Target="https://www.zapopan.gob.mx/repositorio/view/file/j03koxokykyvluz1vmc4/098-2018.pdf" TargetMode="External"/><Relationship Id="rId232" Type="http://schemas.openxmlformats.org/officeDocument/2006/relationships/hyperlink" Target="https://www.zapopan.gob.mx/repositorio/view/file/h50lyuougq40quedah43/017_2018_FF.pdf" TargetMode="External"/><Relationship Id="rId253" Type="http://schemas.openxmlformats.org/officeDocument/2006/relationships/hyperlink" Target="https://www.zapopan.gob.mx/repositorio/view/file/61jdtefk3htmlki5wsup/004-2016.pdf" TargetMode="External"/><Relationship Id="rId274" Type="http://schemas.openxmlformats.org/officeDocument/2006/relationships/hyperlink" Target="https://www.zapopan.gob.mx/repositorio/view/file/gikyyzyhgvrg9nkxuoh2/203-2016.pdf" TargetMode="External"/><Relationship Id="rId295" Type="http://schemas.openxmlformats.org/officeDocument/2006/relationships/hyperlink" Target="https://www.zapopan.gob.mx/repositorio/view/file/ktbni1rgdbutebjh5owj/052-2017.pdf" TargetMode="External"/><Relationship Id="rId309" Type="http://schemas.openxmlformats.org/officeDocument/2006/relationships/hyperlink" Target="https://www.zapopan.gob.mx/repositorio/view/file/fluxrnwvo7ztkfmihcg4/094-2017.pdf" TargetMode="External"/><Relationship Id="rId27" Type="http://schemas.openxmlformats.org/officeDocument/2006/relationships/hyperlink" Target="http://www.zapopan.gob.mx/wp-content/uploads/2017/05/Contrato_064_2016.pdf" TargetMode="External"/><Relationship Id="rId48" Type="http://schemas.openxmlformats.org/officeDocument/2006/relationships/hyperlink" Target="http://www.zapopan.gob.mx/repositorio/view/file/tccgtp6j2qlnr1ozjij5/CONTRATO_084_2016.pdf" TargetMode="External"/><Relationship Id="rId69" Type="http://schemas.openxmlformats.org/officeDocument/2006/relationships/hyperlink" Target="https://www.zapopan.gob.mx/repositorio/view/file/otmumdd7oqbkzqrzjkz1/120-2016.pdf" TargetMode="External"/><Relationship Id="rId113" Type="http://schemas.openxmlformats.org/officeDocument/2006/relationships/hyperlink" Target="https://www.zapopan.gob.mx/repositorio/view/file/8hgkcwvmyqymuneiqugs/229-2016.pdf" TargetMode="External"/><Relationship Id="rId134" Type="http://schemas.openxmlformats.org/officeDocument/2006/relationships/hyperlink" Target="https://www.zapopan.gob.mx/repositorio/view/file/bdnj8gch88wtitc9wkny/262-2016.pdf" TargetMode="External"/><Relationship Id="rId320" Type="http://schemas.openxmlformats.org/officeDocument/2006/relationships/hyperlink" Target="https://www.zapopan.gob.mx/repositorio/view/file/rbssbswjrpbydplent3w/136-2017.pdf" TargetMode="External"/><Relationship Id="rId80" Type="http://schemas.openxmlformats.org/officeDocument/2006/relationships/hyperlink" Target="https://www.zapopan.gob.mx/repositorio/view/file/4hg4oneoi99d72b62eas/136-2016.pdf" TargetMode="External"/><Relationship Id="rId155" Type="http://schemas.openxmlformats.org/officeDocument/2006/relationships/hyperlink" Target="https://www.zapopan.gob.mx/repositorio/view/file/5coymgo587rajbjw73dd/027-2018.pdf" TargetMode="External"/><Relationship Id="rId176" Type="http://schemas.openxmlformats.org/officeDocument/2006/relationships/hyperlink" Target="https://www.zapopan.gob.mx/repositorio/view/file/76zyit8lclltevv0lbau/053-2018.pdf" TargetMode="External"/><Relationship Id="rId197" Type="http://schemas.openxmlformats.org/officeDocument/2006/relationships/hyperlink" Target="https://www.zapopan.gob.mx/repositorio/view/file/emjgcv0goh5mwek2zkxf/080-2018.pdf" TargetMode="External"/><Relationship Id="rId341" Type="http://schemas.openxmlformats.org/officeDocument/2006/relationships/hyperlink" Target="https://www.zapopan.gob.mx/repositorio/view/file/opaokminvwcbxrdzsr3m/248-2017.pdf" TargetMode="External"/><Relationship Id="rId362" Type="http://schemas.openxmlformats.org/officeDocument/2006/relationships/hyperlink" Target="https://www.zapopan.gob.mx/repositorio/view/file/l3dhl41mcpuoj9ctowts/130-2018ff.pdf" TargetMode="External"/><Relationship Id="rId201" Type="http://schemas.openxmlformats.org/officeDocument/2006/relationships/hyperlink" Target="https://www.zapopan.gob.mx/repositorio/view/file/ier5zclx9gotzfb7x2ro/084-2018.pdf" TargetMode="External"/><Relationship Id="rId222" Type="http://schemas.openxmlformats.org/officeDocument/2006/relationships/hyperlink" Target="https://www.zapopan.gob.mx/repositorio/view/file/6zimzjeucj6b7ngmxufy/005_2018_FF.pdf" TargetMode="External"/><Relationship Id="rId243" Type="http://schemas.openxmlformats.org/officeDocument/2006/relationships/hyperlink" Target="https://www.zapopan.gob.mx/repositorio/view/file/muy3fazbqye2en1qhqt3/122-2018.pdf" TargetMode="External"/><Relationship Id="rId264" Type="http://schemas.openxmlformats.org/officeDocument/2006/relationships/hyperlink" Target="https://www.zapopan.gob.mx/repositorio/view/file/cmxjmxgkdol5jpfvynvf/141-2016.pdf" TargetMode="External"/><Relationship Id="rId285" Type="http://schemas.openxmlformats.org/officeDocument/2006/relationships/hyperlink" Target="https://www.zapopan.gob.mx/repositorio/view/file/3dtct7wlvtmigwrzaexj/235-2016.pdf" TargetMode="External"/><Relationship Id="rId17" Type="http://schemas.openxmlformats.org/officeDocument/2006/relationships/hyperlink" Target="http://www.zapopan.gob.mx/wp-content/uploads/2017/06/DOPI_005_2016.pdf" TargetMode="External"/><Relationship Id="rId38" Type="http://schemas.openxmlformats.org/officeDocument/2006/relationships/hyperlink" Target="http://www.zapopan.gob.mx/repositorio/view/file/ml6cyhr824u5prhdkcyg/CONTRATO_016_2016.pdf" TargetMode="External"/><Relationship Id="rId59" Type="http://schemas.openxmlformats.org/officeDocument/2006/relationships/hyperlink" Target="https://www.zapopan.gob.mx/repositorio/view/file/yovhrqctvdkebratxlq9/099-2016.pdf" TargetMode="External"/><Relationship Id="rId103" Type="http://schemas.openxmlformats.org/officeDocument/2006/relationships/hyperlink" Target="https://www.zapopan.gob.mx/repositorio/view/file/fop1lleg8bkbahqdcisx/206-2016.pdf" TargetMode="External"/><Relationship Id="rId124" Type="http://schemas.openxmlformats.org/officeDocument/2006/relationships/hyperlink" Target="https://www.zapopan.gob.mx/repositorio/view/file/wofqkfn6nirlyf2bgv9s/252-2016.pdf" TargetMode="External"/><Relationship Id="rId310" Type="http://schemas.openxmlformats.org/officeDocument/2006/relationships/hyperlink" Target="https://www.zapopan.gob.mx/repositorio/view/file/azmuuavi1xvwf81lkrrz/119-2017.pdf" TargetMode="External"/><Relationship Id="rId70" Type="http://schemas.openxmlformats.org/officeDocument/2006/relationships/hyperlink" Target="http://www.zapopan.gob.mx/repositorio/view/file/bh1fuwneesrk9qqnytqh/CONTRATO_121_2016.pdf" TargetMode="External"/><Relationship Id="rId91" Type="http://schemas.openxmlformats.org/officeDocument/2006/relationships/hyperlink" Target="https://www.zapopan.gob.mx/repositorio/view/file/e58fst2wrnbgdadxwrgu/CONTRATO_161_2016.pdf" TargetMode="External"/><Relationship Id="rId145" Type="http://schemas.openxmlformats.org/officeDocument/2006/relationships/hyperlink" Target="https://www.zapopan.gob.mx/repositorio/view/file/pryoo2kc134p8mzcxhiy/281-2016.pdf" TargetMode="External"/><Relationship Id="rId166" Type="http://schemas.openxmlformats.org/officeDocument/2006/relationships/hyperlink" Target="https://www.zapopan.gob.mx/repositorio/view/file/ioifpbjmgcfsxuq3dziz/041-2018.pdf" TargetMode="External"/><Relationship Id="rId187" Type="http://schemas.openxmlformats.org/officeDocument/2006/relationships/hyperlink" Target="https://www.zapopan.gob.mx/repositorio/view/file/2uq4ql6gudnh8jgnydoo/068-2018.pdf" TargetMode="External"/><Relationship Id="rId331" Type="http://schemas.openxmlformats.org/officeDocument/2006/relationships/hyperlink" Target="https://www.zapopan.gob.mx/repositorio/view/file/t6ex7npqzkhylz7ohaja/209-2017.pdf" TargetMode="External"/><Relationship Id="rId352" Type="http://schemas.openxmlformats.org/officeDocument/2006/relationships/hyperlink" Target="https://www.zapopan.gob.mx/repositorio/view/file/rhnsw41ofqdqzefngzvf/106-2018ff.pdf" TargetMode="External"/><Relationship Id="rId373" Type="http://schemas.openxmlformats.org/officeDocument/2006/relationships/hyperlink" Target="https://www.zapopan.gob.mx/repositorio/view/file/6affg3vr0oxihec0v2jl/155-2018ff.pdf" TargetMode="External"/><Relationship Id="rId1" Type="http://schemas.openxmlformats.org/officeDocument/2006/relationships/hyperlink" Target="https://www.zapopan.gob.mx/repositorio/view/file/moaj4gkmghna9mi9kdqs/CONVENIO_MODIFICATORIO_013_2016.pdf" TargetMode="External"/><Relationship Id="rId212" Type="http://schemas.openxmlformats.org/officeDocument/2006/relationships/hyperlink" Target="https://www.zapopan.gob.mx/repositorio/view/file/fhzuz47hplfuzazyjy4f/099-2018.pdf" TargetMode="External"/><Relationship Id="rId233" Type="http://schemas.openxmlformats.org/officeDocument/2006/relationships/hyperlink" Target="https://www.zapopan.gob.mx/repositorio/view/file/oihppajmu4wezk2u8j6h/019-2018.pdf" TargetMode="External"/><Relationship Id="rId254" Type="http://schemas.openxmlformats.org/officeDocument/2006/relationships/hyperlink" Target="https://www.zapopan.gob.mx/repositorio/view/file/2elwjkn4436qaszmrwvx/014-2016.pdf" TargetMode="External"/><Relationship Id="rId28" Type="http://schemas.openxmlformats.org/officeDocument/2006/relationships/hyperlink" Target="http://www.zapopan.gob.mx/wp-content/uploads/2017/06/DOPI_102_2016.pdf" TargetMode="External"/><Relationship Id="rId49" Type="http://schemas.openxmlformats.org/officeDocument/2006/relationships/hyperlink" Target="https://www.zapopan.gob.mx/repositorio/view/file/exnlff9axnrut6hxzihi/085-2016.pdf" TargetMode="External"/><Relationship Id="rId114" Type="http://schemas.openxmlformats.org/officeDocument/2006/relationships/hyperlink" Target="https://www.zapopan.gob.mx/repositorio/view/file/qfrmvravtyyb60fek9fz/230-2016.pdf" TargetMode="External"/><Relationship Id="rId275" Type="http://schemas.openxmlformats.org/officeDocument/2006/relationships/hyperlink" Target="https://www.zapopan.gob.mx/repositorio/view/file/hfwvviinxg0nxl99h3rb/204-2016.pdf" TargetMode="External"/><Relationship Id="rId296" Type="http://schemas.openxmlformats.org/officeDocument/2006/relationships/hyperlink" Target="https://www.zapopan.gob.mx/repositorio/view/file/gmg0woftgx3k13kguf0b/053-2017.pdf" TargetMode="External"/><Relationship Id="rId300" Type="http://schemas.openxmlformats.org/officeDocument/2006/relationships/hyperlink" Target="https://www.zapopan.gob.mx/repositorio/view/file/gxwt5t7ii9mnqg2tovpm/059-2017.pdf" TargetMode="External"/><Relationship Id="rId60" Type="http://schemas.openxmlformats.org/officeDocument/2006/relationships/hyperlink" Target="https://www.zapopan.gob.mx/repositorio/view/file/hi9kqrns62jmlj83tfxr/100-2016.pdf" TargetMode="External"/><Relationship Id="rId81" Type="http://schemas.openxmlformats.org/officeDocument/2006/relationships/hyperlink" Target="https://www.zapopan.gob.mx/repositorio/view/file/f8on540dogjw2dgo0kze/CONTRATO_137_2016.pdf" TargetMode="External"/><Relationship Id="rId135" Type="http://schemas.openxmlformats.org/officeDocument/2006/relationships/hyperlink" Target="https://www.zapopan.gob.mx/repositorio/view/file/2dxhih6knbkftspi1c5h/263-2016.pdf" TargetMode="External"/><Relationship Id="rId156" Type="http://schemas.openxmlformats.org/officeDocument/2006/relationships/hyperlink" Target="https://www.zapopan.gob.mx/repositorio/view/file/dqzkujq16hhtqgg9qwit/028-2018.pdf" TargetMode="External"/><Relationship Id="rId177" Type="http://schemas.openxmlformats.org/officeDocument/2006/relationships/hyperlink" Target="https://www.zapopan.gob.mx/repositorio/view/file/s4cs1fy3flpnbwyed9yu/054-2018.pdf" TargetMode="External"/><Relationship Id="rId198" Type="http://schemas.openxmlformats.org/officeDocument/2006/relationships/hyperlink" Target="https://www.zapopan.gob.mx/repositorio/view/file/7trf3mzcomac8etqkprt/081-2018.pdf" TargetMode="External"/><Relationship Id="rId321" Type="http://schemas.openxmlformats.org/officeDocument/2006/relationships/hyperlink" Target="https://www.zapopan.gob.mx/repositorio/view/file/jmobleizpxib9pmforgi/139-2017.pdf" TargetMode="External"/><Relationship Id="rId342" Type="http://schemas.openxmlformats.org/officeDocument/2006/relationships/hyperlink" Target="https://www.zapopan.gob.mx/repositorio/view/file/e6knlps9anmfyhltfatm/277-2017.pdf" TargetMode="External"/><Relationship Id="rId363" Type="http://schemas.openxmlformats.org/officeDocument/2006/relationships/hyperlink" Target="https://www.zapopan.gob.mx/repositorio/view/file/oyqgpaqehwcaizsj2ebc/131-2018ff.pdf" TargetMode="External"/><Relationship Id="rId202" Type="http://schemas.openxmlformats.org/officeDocument/2006/relationships/hyperlink" Target="https://www.zapopan.gob.mx/repositorio/view/file/pcrjj9w4k94ab3w9dys8/085-2018.pdf" TargetMode="External"/><Relationship Id="rId223" Type="http://schemas.openxmlformats.org/officeDocument/2006/relationships/hyperlink" Target="https://www.zapopan.gob.mx/repositorio/view/file/y9ro1sn6gmxrjifoa0wv/006_2018_FF.pdf" TargetMode="External"/><Relationship Id="rId244" Type="http://schemas.openxmlformats.org/officeDocument/2006/relationships/hyperlink" Target="https://www.zapopan.gob.mx/repositorio/view/file/3mfrxxpgkylffkcefk5a/123-2018.pdf" TargetMode="External"/><Relationship Id="rId18" Type="http://schemas.openxmlformats.org/officeDocument/2006/relationships/hyperlink" Target="http://www.zapopan.gob.mx/wp-content/uploads/2017/06/DOPI_012_2016.pdf" TargetMode="External"/><Relationship Id="rId39" Type="http://schemas.openxmlformats.org/officeDocument/2006/relationships/hyperlink" Target="http://www.zapopan.gob.mx/repositorio/view/file/ewwnmjzpot47u7m35wnt/CONTRATO_046_2016.pdf" TargetMode="External"/><Relationship Id="rId265" Type="http://schemas.openxmlformats.org/officeDocument/2006/relationships/hyperlink" Target="https://www.zapopan.gob.mx/repositorio/view/file/rykbhw37hzmgtvbkvfen/143-2016.pdf" TargetMode="External"/><Relationship Id="rId286" Type="http://schemas.openxmlformats.org/officeDocument/2006/relationships/hyperlink" Target="https://www.zapopan.gob.mx/repositorio/view/file/tzdll1kqd2d7zbtj2h5h/238-2016.pdf" TargetMode="External"/><Relationship Id="rId50" Type="http://schemas.openxmlformats.org/officeDocument/2006/relationships/hyperlink" Target="https://www.zapopan.gob.mx/repositorio/view/file/ym14k2spmrhe3ur01u9k/086-2016.pdf" TargetMode="External"/><Relationship Id="rId104" Type="http://schemas.openxmlformats.org/officeDocument/2006/relationships/hyperlink" Target="https://www.zapopan.gob.mx/repositorio/view/file/21oyztxkvq5km6yiwrgk/208-2016.pdf" TargetMode="External"/><Relationship Id="rId125" Type="http://schemas.openxmlformats.org/officeDocument/2006/relationships/hyperlink" Target="https://www.zapopan.gob.mx/repositorio/view/file/qmjnukwddzuw4t6frrxv/253-2016.pdf" TargetMode="External"/><Relationship Id="rId146" Type="http://schemas.openxmlformats.org/officeDocument/2006/relationships/hyperlink" Target="https://www.zapopan.gob.mx/repositorio/view/file/bchn8my7ltbhopt2zpjq/282-2016.pdf" TargetMode="External"/><Relationship Id="rId167" Type="http://schemas.openxmlformats.org/officeDocument/2006/relationships/hyperlink" Target="https://www.zapopan.gob.mx/repositorio/view/file/nl5ewcfppttx8jzfienp/042-2018.pdf" TargetMode="External"/><Relationship Id="rId188" Type="http://schemas.openxmlformats.org/officeDocument/2006/relationships/hyperlink" Target="https://www.zapopan.gob.mx/repositorio/view/file/6toh88o2sksfrvyyvptp/070-2018.pdf" TargetMode="External"/><Relationship Id="rId311" Type="http://schemas.openxmlformats.org/officeDocument/2006/relationships/hyperlink" Target="https://www.zapopan.gob.mx/repositorio/view/file/bybkuyaqwtf7ymu9nfsv/121-2017.pdf" TargetMode="External"/><Relationship Id="rId332" Type="http://schemas.openxmlformats.org/officeDocument/2006/relationships/hyperlink" Target="https://www.zapopan.gob.mx/repositorio/view/file/s7qjsuqsduencwxifrse/213-2017.pdf" TargetMode="External"/><Relationship Id="rId353" Type="http://schemas.openxmlformats.org/officeDocument/2006/relationships/hyperlink" Target="https://www.zapopan.gob.mx/repositorio/view/file/9xefoyzxbad3joihy1td/108-2018ff.pdf" TargetMode="External"/><Relationship Id="rId374" Type="http://schemas.openxmlformats.org/officeDocument/2006/relationships/hyperlink" Target="https://www.zapopan.gob.mx/repositorio/view/file/5vwmkbbttvza9fn4mxha/159-2018ff.pdf" TargetMode="External"/><Relationship Id="rId71" Type="http://schemas.openxmlformats.org/officeDocument/2006/relationships/hyperlink" Target="http://www.zapopan.gob.mx/repositorio/view/file/aillwp0cbhyfzpgmmnbh/CONTRATO_122_2016.pdf" TargetMode="External"/><Relationship Id="rId92" Type="http://schemas.openxmlformats.org/officeDocument/2006/relationships/hyperlink" Target="https://www.zapopan.gob.mx/repositorio/view/file/jtgknoklljdnumlm1bfx/162-2016.pdf" TargetMode="External"/><Relationship Id="rId213" Type="http://schemas.openxmlformats.org/officeDocument/2006/relationships/hyperlink" Target="https://www.zapopan.gob.mx/repositorio/view/file/ltzgcehhhebvo9wd7yc1/100-2018.pdf" TargetMode="External"/><Relationship Id="rId234" Type="http://schemas.openxmlformats.org/officeDocument/2006/relationships/hyperlink" Target="https://www.zapopan.gob.mx/repositorio/view/file/ax9qw4umo7xplfjclsym/021_2018_FF.pdf" TargetMode="External"/><Relationship Id="rId2" Type="http://schemas.openxmlformats.org/officeDocument/2006/relationships/hyperlink" Target="https://www.zapopan.gob.mx/repositorio/view/file/qbfefgs1dr5l7gp2pewa/DOPI-MUN-RP-PAV-LP-030-2016.pdf" TargetMode="External"/><Relationship Id="rId29" Type="http://schemas.openxmlformats.org/officeDocument/2006/relationships/hyperlink" Target="http://www.zapopan.gob.mx/wp-content/uploads/2017/06/DOPI_105_2016.pdf" TargetMode="External"/><Relationship Id="rId255" Type="http://schemas.openxmlformats.org/officeDocument/2006/relationships/hyperlink" Target="https://www.zapopan.gob.mx/repositorio/view/file/lrajrvlmsjvk04dicitt/032-2016.pdf" TargetMode="External"/><Relationship Id="rId276" Type="http://schemas.openxmlformats.org/officeDocument/2006/relationships/hyperlink" Target="https://www.zapopan.gob.mx/repositorio/view/file/sm42srvyhk9oabznau1n/205-2016.pdf" TargetMode="External"/><Relationship Id="rId297" Type="http://schemas.openxmlformats.org/officeDocument/2006/relationships/hyperlink" Target="https://www.zapopan.gob.mx/repositorio/view/file/pnl9u3miunzitikeuw0w/054-2017.pdf" TargetMode="External"/><Relationship Id="rId40" Type="http://schemas.openxmlformats.org/officeDocument/2006/relationships/hyperlink" Target="https://www.zapopan.gob.mx/repositorio/view/file/xulowotvbfhupqrvrh4j/050-2016.pdf" TargetMode="External"/><Relationship Id="rId115" Type="http://schemas.openxmlformats.org/officeDocument/2006/relationships/hyperlink" Target="https://www.zapopan.gob.mx/repositorio/view/file/dceabvtfidihbqcmbkb0/231-2016.pdf" TargetMode="External"/><Relationship Id="rId136" Type="http://schemas.openxmlformats.org/officeDocument/2006/relationships/hyperlink" Target="https://www.zapopan.gob.mx/repositorio/view/file/bqqjglqljxs5cnslywxl/264-2016.pdf" TargetMode="External"/><Relationship Id="rId157" Type="http://schemas.openxmlformats.org/officeDocument/2006/relationships/hyperlink" Target="https://www.zapopan.gob.mx/repositorio/view/file/ungixxambuisw3ai45om/029-2018.pdf" TargetMode="External"/><Relationship Id="rId178" Type="http://schemas.openxmlformats.org/officeDocument/2006/relationships/hyperlink" Target="https://www.zapopan.gob.mx/repositorio/view/file/tyndzysussvtz0apvpa2/055-2018.pdf" TargetMode="External"/><Relationship Id="rId301" Type="http://schemas.openxmlformats.org/officeDocument/2006/relationships/hyperlink" Target="https://www.zapopan.gob.mx/repositorio/view/file/pvrc2t0bghfolc2kan7x/061-2017.pdf" TargetMode="External"/><Relationship Id="rId322" Type="http://schemas.openxmlformats.org/officeDocument/2006/relationships/hyperlink" Target="https://www.zapopan.gob.mx/repositorio/view/file/wie6movywbi9fgh0pqsq/141-2017.pdf" TargetMode="External"/><Relationship Id="rId343" Type="http://schemas.openxmlformats.org/officeDocument/2006/relationships/hyperlink" Target="https://www.zapopan.gob.mx/repositorio/view/file/kewaf0hvematz22ksymy/280-2017.pdf" TargetMode="External"/><Relationship Id="rId364" Type="http://schemas.openxmlformats.org/officeDocument/2006/relationships/hyperlink" Target="https://www.zapopan.gob.mx/repositorio/view/file/ixigzhe9w7kqmyat03e5/136-2018ff.pdf" TargetMode="External"/><Relationship Id="rId61" Type="http://schemas.openxmlformats.org/officeDocument/2006/relationships/hyperlink" Target="http://www.zapopan.gob.mx/repositorio/view/file/iosezlatdadom9xv9fi5/CONTRATO_101_2016.pdf" TargetMode="External"/><Relationship Id="rId82" Type="http://schemas.openxmlformats.org/officeDocument/2006/relationships/hyperlink" Target="https://www.zapopan.gob.mx/repositorio/view/file/t3f63hnopc9y3olhk7hq/138-2016.pdf" TargetMode="External"/><Relationship Id="rId199" Type="http://schemas.openxmlformats.org/officeDocument/2006/relationships/hyperlink" Target="https://www.zapopan.gob.mx/repositorio/view/file/rscnvjjlni7uo6metpsb/082-2018.pdf" TargetMode="External"/><Relationship Id="rId203" Type="http://schemas.openxmlformats.org/officeDocument/2006/relationships/hyperlink" Target="https://www.zapopan.gob.mx/repositorio/view/file/vcfzyqfa4ssdrb6mehmn/086-2018.pdf" TargetMode="External"/><Relationship Id="rId19" Type="http://schemas.openxmlformats.org/officeDocument/2006/relationships/hyperlink" Target="http://www.zapopan.gob.mx/wp-content/uploads/2017/05/Contrato_019_2016.pdf" TargetMode="External"/><Relationship Id="rId224" Type="http://schemas.openxmlformats.org/officeDocument/2006/relationships/hyperlink" Target="https://www.zapopan.gob.mx/repositorio/view/file/vliodrmkinfrl7g4vfrd/007_2018_FF.pdf" TargetMode="External"/><Relationship Id="rId245" Type="http://schemas.openxmlformats.org/officeDocument/2006/relationships/hyperlink" Target="https://www.zapopan.gob.mx/repositorio/view/file/oudpvu2b9gof3mtibtbc/124-2018.pdf" TargetMode="External"/><Relationship Id="rId266" Type="http://schemas.openxmlformats.org/officeDocument/2006/relationships/hyperlink" Target="https://www.zapopan.gob.mx/repositorio/view/file/nxrnpwu1fp0ru5hpik84/145-2016.pdf" TargetMode="External"/><Relationship Id="rId287" Type="http://schemas.openxmlformats.org/officeDocument/2006/relationships/hyperlink" Target="https://www.zapopan.gob.mx/repositorio/view/file/gyvnz5bv0vm3ej9amu1x/242-2016.pdf" TargetMode="External"/><Relationship Id="rId30" Type="http://schemas.openxmlformats.org/officeDocument/2006/relationships/hyperlink" Target="http://www.zapopan.gob.mx/wp-content/uploads/2017/06/DOPI_107_2016.pdf" TargetMode="External"/><Relationship Id="rId105" Type="http://schemas.openxmlformats.org/officeDocument/2006/relationships/hyperlink" Target="https://www.zapopan.gob.mx/repositorio/view/file/duywrwty1ba7gwhhbnks/209-2016.pdf" TargetMode="External"/><Relationship Id="rId126" Type="http://schemas.openxmlformats.org/officeDocument/2006/relationships/hyperlink" Target="https://www.zapopan.gob.mx/repositorio/view/file/tnxvkei7ov1lucrltjkt/254-2016.pdf" TargetMode="External"/><Relationship Id="rId147" Type="http://schemas.openxmlformats.org/officeDocument/2006/relationships/hyperlink" Target="https://www.zapopan.gob.mx/repositorio/view/file/wikyazbzcumtvmubpcns/283-2016.pdf" TargetMode="External"/><Relationship Id="rId168" Type="http://schemas.openxmlformats.org/officeDocument/2006/relationships/hyperlink" Target="https://www.zapopan.gob.mx/repositorio/view/file/mzqesqsjg3dlyacdtg3i/044-2018.pdf" TargetMode="External"/><Relationship Id="rId312" Type="http://schemas.openxmlformats.org/officeDocument/2006/relationships/hyperlink" Target="https://www.zapopan.gob.mx/repositorio/view/file/atvugwquk1pdtwa5l3v0/125-2017.pdf" TargetMode="External"/><Relationship Id="rId333" Type="http://schemas.openxmlformats.org/officeDocument/2006/relationships/hyperlink" Target="https://www.zapopan.gob.mx/repositorio/view/file/uzyp0tjkgy1vvkxhaad4/214-2017.pdf" TargetMode="External"/><Relationship Id="rId354" Type="http://schemas.openxmlformats.org/officeDocument/2006/relationships/hyperlink" Target="https://www.zapopan.gob.mx/repositorio/view/file/iydevlg2eutuos72tfq1/110-2018ff.pdf" TargetMode="External"/><Relationship Id="rId51" Type="http://schemas.openxmlformats.org/officeDocument/2006/relationships/hyperlink" Target="https://www.zapopan.gob.mx/repositorio/view/file/zoa1fpf9rcimyxyhvjpr/087-2016.pdf" TargetMode="External"/><Relationship Id="rId72" Type="http://schemas.openxmlformats.org/officeDocument/2006/relationships/hyperlink" Target="https://www.zapopan.gob.mx/repositorio/view/file/ctt1aaglk3f6xoqjb1d7/123-2016.pdf" TargetMode="External"/><Relationship Id="rId93" Type="http://schemas.openxmlformats.org/officeDocument/2006/relationships/hyperlink" Target="https://www.zapopan.gob.mx/repositorio/view/file/oqvm1xhot3ujqc5gppqp/CONTRATO_163_2016.pdf" TargetMode="External"/><Relationship Id="rId189" Type="http://schemas.openxmlformats.org/officeDocument/2006/relationships/hyperlink" Target="https://www.zapopan.gob.mx/repositorio/view/file/chiemlwmtq644202tlwy/071-2018.pdf" TargetMode="External"/><Relationship Id="rId375" Type="http://schemas.openxmlformats.org/officeDocument/2006/relationships/hyperlink" Target="https://www.zapopan.gob.mx/repositorio/view/file/0unditjglmbnpwl7iihd/160-2018ff.pdf" TargetMode="External"/><Relationship Id="rId3" Type="http://schemas.openxmlformats.org/officeDocument/2006/relationships/hyperlink" Target="https://www.zapopan.gob.mx/repositorio/view/file/c0htrdagwdrk9k0tqtzc/CONVENIO_MODIFICATORIO_008_2016.pdf" TargetMode="External"/><Relationship Id="rId214" Type="http://schemas.openxmlformats.org/officeDocument/2006/relationships/hyperlink" Target="https://www.zapopan.gob.mx/repositorio/view/file/qpxk93eo4x4shws7bgdk/105-2018.pdf" TargetMode="External"/><Relationship Id="rId235" Type="http://schemas.openxmlformats.org/officeDocument/2006/relationships/hyperlink" Target="https://www.zapopan.gob.mx/repositorio/view/file/ybyw6bz0vg2msh7l6tcn/103-2018.pdf" TargetMode="External"/><Relationship Id="rId256" Type="http://schemas.openxmlformats.org/officeDocument/2006/relationships/hyperlink" Target="https://www.zapopan.gob.mx/repositorio/view/file/gm4wb22ti4ap7bm1vfqd/053-2016.pdf" TargetMode="External"/><Relationship Id="rId277" Type="http://schemas.openxmlformats.org/officeDocument/2006/relationships/hyperlink" Target="https://www.zapopan.gob.mx/repositorio/view/file/hx6jjzyrpo4esqq28ydx/207-2016.pdf" TargetMode="External"/><Relationship Id="rId298" Type="http://schemas.openxmlformats.org/officeDocument/2006/relationships/hyperlink" Target="https://www.zapopan.gob.mx/repositorio/view/file/ko97kelyftpurqfc1kza/056-2017.pdf" TargetMode="External"/><Relationship Id="rId116" Type="http://schemas.openxmlformats.org/officeDocument/2006/relationships/hyperlink" Target="https://www.zapopan.gob.mx/repositorio/view/file/vccej5o1m0cr77l2xvej/232-2016.pdf" TargetMode="External"/><Relationship Id="rId137" Type="http://schemas.openxmlformats.org/officeDocument/2006/relationships/hyperlink" Target="https://www.zapopan.gob.mx/repositorio/view/file/a7qxwmy9xt8824oq7gnx/265-2016.pdf" TargetMode="External"/><Relationship Id="rId158" Type="http://schemas.openxmlformats.org/officeDocument/2006/relationships/hyperlink" Target="https://www.zapopan.gob.mx/repositorio/view/file/idthmovdduqfw8o6vdft/030-2018.pdf" TargetMode="External"/><Relationship Id="rId302" Type="http://schemas.openxmlformats.org/officeDocument/2006/relationships/hyperlink" Target="https://www.zapopan.gob.mx/repositorio/view/file/rlqrg1xwlgf4pcjvcucx/062-2017.pdf" TargetMode="External"/><Relationship Id="rId323" Type="http://schemas.openxmlformats.org/officeDocument/2006/relationships/hyperlink" Target="https://www.zapopan.gob.mx/repositorio/view/file/rpcmnryy6pr2ro4nbxgr/142-2017.pdf" TargetMode="External"/><Relationship Id="rId344" Type="http://schemas.openxmlformats.org/officeDocument/2006/relationships/hyperlink" Target="https://www.zapopan.gob.mx/repositorio/view/file/x6c6uakulfkwvlyhm5vu/323-2017.pdf" TargetMode="External"/><Relationship Id="rId20" Type="http://schemas.openxmlformats.org/officeDocument/2006/relationships/hyperlink" Target="https://www.zapopan.gob.mx/repositorio/view/file/d4hhjrh5uex4cgnhoecb/DOPI-MUN-RP-PAV-LP-020-2016.pdf" TargetMode="External"/><Relationship Id="rId41" Type="http://schemas.openxmlformats.org/officeDocument/2006/relationships/hyperlink" Target="http://www.zapopan.gob.mx/repositorio/view/file/nm07t3xjnpr6dwdkb0ix/CONTRATO_052_2016.pdf" TargetMode="External"/><Relationship Id="rId62" Type="http://schemas.openxmlformats.org/officeDocument/2006/relationships/hyperlink" Target="https://www.zapopan.gob.mx/repositorio/view/file/qj9xjm5tx5bnkbubiesq/104-2016.pdf" TargetMode="External"/><Relationship Id="rId83" Type="http://schemas.openxmlformats.org/officeDocument/2006/relationships/hyperlink" Target="https://www.zapopan.gob.mx/repositorio/view/file/kig02awdm9hyq3ox47dx/146-2016.pdf" TargetMode="External"/><Relationship Id="rId179" Type="http://schemas.openxmlformats.org/officeDocument/2006/relationships/hyperlink" Target="https://www.zapopan.gob.mx/repositorio/view/file/o9b8bxcwq62qsh2uq3a2/056-2018.pdf" TargetMode="External"/><Relationship Id="rId365" Type="http://schemas.openxmlformats.org/officeDocument/2006/relationships/hyperlink" Target="https://www.zapopan.gob.mx/repositorio/view/file/tvbhlhfubxwjnyqjjrho/138-2018ff.pdf" TargetMode="External"/><Relationship Id="rId190" Type="http://schemas.openxmlformats.org/officeDocument/2006/relationships/hyperlink" Target="https://www.zapopan.gob.mx/repositorio/view/file/7kurrlzmh7jdj8e7txbx/072-2018.pdf" TargetMode="External"/><Relationship Id="rId204" Type="http://schemas.openxmlformats.org/officeDocument/2006/relationships/hyperlink" Target="https://www.zapopan.gob.mx/repositorio/view/file/5ztjtvtqq3lqwmmpgrj6/089-2018.pdf" TargetMode="External"/><Relationship Id="rId225" Type="http://schemas.openxmlformats.org/officeDocument/2006/relationships/hyperlink" Target="https://www.zapopan.gob.mx/repositorio/view/file/wbfcwlt5p15j3ztzaomx/008_2018_FF.pdf" TargetMode="External"/><Relationship Id="rId246" Type="http://schemas.openxmlformats.org/officeDocument/2006/relationships/hyperlink" Target="https://www.zapopan.gob.mx/repositorio/view/file/iedkzzdoay93b0eciend/125-2018.pdf" TargetMode="External"/><Relationship Id="rId267" Type="http://schemas.openxmlformats.org/officeDocument/2006/relationships/hyperlink" Target="https://www.zapopan.gob.mx/repositorio/view/file/wuzkgajndnhybaacuiti/150-2016.pdf" TargetMode="External"/><Relationship Id="rId288" Type="http://schemas.openxmlformats.org/officeDocument/2006/relationships/hyperlink" Target="https://www.zapopan.gob.mx/repositorio/view/file/yigkb1flb9cthrslras0/246-2016.pdf" TargetMode="External"/><Relationship Id="rId106" Type="http://schemas.openxmlformats.org/officeDocument/2006/relationships/hyperlink" Target="https://www.zapopan.gob.mx/repositorio/view/file/8rxxh5qxhjq54gqqpfti/210-2016.pdf" TargetMode="External"/><Relationship Id="rId127" Type="http://schemas.openxmlformats.org/officeDocument/2006/relationships/hyperlink" Target="https://www.zapopan.gob.mx/repositorio/view/file/kg1jw8ptzedetqziexjm/255-2016.pdf" TargetMode="External"/><Relationship Id="rId313" Type="http://schemas.openxmlformats.org/officeDocument/2006/relationships/hyperlink" Target="https://www.zapopan.gob.mx/repositorio/view/file/cudq69vxexxoqidqntfl/126-2017.pdf" TargetMode="External"/><Relationship Id="rId10" Type="http://schemas.openxmlformats.org/officeDocument/2006/relationships/hyperlink" Target="http://www.zapopan.gob.mx/wp-content/uploads/2017/06/DOPI_241_2015.pdf" TargetMode="External"/><Relationship Id="rId31" Type="http://schemas.openxmlformats.org/officeDocument/2006/relationships/hyperlink" Target="http://www.zapopan.gob.mx/wp-content/uploads/2017/06/DOPI_119_2016.pdf" TargetMode="External"/><Relationship Id="rId52" Type="http://schemas.openxmlformats.org/officeDocument/2006/relationships/hyperlink" Target="https://www.zapopan.gob.mx/repositorio/view/file/3jofzynnugksyaci7i7p/088-2016.pdf" TargetMode="External"/><Relationship Id="rId73" Type="http://schemas.openxmlformats.org/officeDocument/2006/relationships/hyperlink" Target="https://www.zapopan.gob.mx/repositorio/view/file/tqpcoem77mdnefmg3kde/125-2016.pdf" TargetMode="External"/><Relationship Id="rId94" Type="http://schemas.openxmlformats.org/officeDocument/2006/relationships/hyperlink" Target="https://www.zapopan.gob.mx/repositorio/view/file/ismoxqh1xchsgbkqa0tp/164-2016.pdf" TargetMode="External"/><Relationship Id="rId148" Type="http://schemas.openxmlformats.org/officeDocument/2006/relationships/hyperlink" Target="https://www.zapopan.gob.mx/repositorio/view/file/avdhmbgxf3h31kqnbgpq/CONTRATO_042_2016.pdf" TargetMode="External"/><Relationship Id="rId169" Type="http://schemas.openxmlformats.org/officeDocument/2006/relationships/hyperlink" Target="https://www.zapopan.gob.mx/repositorio/view/file/xtcobvauxbbt6jiwp65i/045-2018.pdf" TargetMode="External"/><Relationship Id="rId334" Type="http://schemas.openxmlformats.org/officeDocument/2006/relationships/hyperlink" Target="https://www.zapopan.gob.mx/repositorio/view/file/jhakpeuxzc9lcidtbyvz/215-2017.pdf" TargetMode="External"/><Relationship Id="rId355" Type="http://schemas.openxmlformats.org/officeDocument/2006/relationships/hyperlink" Target="https://www.zapopan.gob.mx/repositorio/view/file/4tlzylyrozharnhe9fri/112-2018ff.pdf" TargetMode="External"/><Relationship Id="rId376" Type="http://schemas.openxmlformats.org/officeDocument/2006/relationships/hyperlink" Target="https://www.zapopan.gob.mx/repositorio/view/file/3apziribnkzuulvigzru/163-2018ff.pdf" TargetMode="External"/><Relationship Id="rId4" Type="http://schemas.openxmlformats.org/officeDocument/2006/relationships/hyperlink" Target="https://www.zapopan.gob.mx/repositorio/view/file/7iwd6devdnbp2s13uscq/230-2015.pdf" TargetMode="External"/><Relationship Id="rId180" Type="http://schemas.openxmlformats.org/officeDocument/2006/relationships/hyperlink" Target="https://www.zapopan.gob.mx/repositorio/view/file/invufuvvkouqecaitgdj/057-2018.pdf" TargetMode="External"/><Relationship Id="rId215" Type="http://schemas.openxmlformats.org/officeDocument/2006/relationships/hyperlink" Target="https://www.zapopan.gob.mx/repositorio/view/file/gkn9nkyxpuggoivpugmf/148-2018.pdf" TargetMode="External"/><Relationship Id="rId236" Type="http://schemas.openxmlformats.org/officeDocument/2006/relationships/hyperlink" Target="https://www.zapopan.gob.mx/repositorio/view/file/04jnzqcoynuhiokn2zlu/107-2018.pdf" TargetMode="External"/><Relationship Id="rId257" Type="http://schemas.openxmlformats.org/officeDocument/2006/relationships/hyperlink" Target="https://www.zapopan.gob.mx/repositorio/view/file/n5ixfeb4w60hrsgnseaw/066-2016.pdf" TargetMode="External"/><Relationship Id="rId278" Type="http://schemas.openxmlformats.org/officeDocument/2006/relationships/hyperlink" Target="https://www.zapopan.gob.mx/repositorio/view/file/ll13reskftuurxjtwfe9/211-2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912"/>
  <sheetViews>
    <sheetView tabSelected="1" topLeftCell="B1" zoomScaleNormal="100" zoomScaleSheetLayoutView="100" workbookViewId="0">
      <selection activeCell="B4" sqref="B4:B5"/>
    </sheetView>
  </sheetViews>
  <sheetFormatPr baseColWidth="10" defaultColWidth="11.42578125" defaultRowHeight="15"/>
  <cols>
    <col min="1" max="1" width="9.42578125" style="5" hidden="1" customWidth="1"/>
    <col min="2" max="2" width="12.7109375" style="2" customWidth="1"/>
    <col min="3" max="3" width="23" style="3" customWidth="1"/>
    <col min="4" max="4" width="37.5703125" style="3" customWidth="1"/>
    <col min="5" max="5" width="12.7109375" style="3" customWidth="1"/>
    <col min="6" max="6" width="41.28515625" style="3" customWidth="1"/>
    <col min="7" max="7" width="25.42578125" style="3" customWidth="1"/>
    <col min="8" max="8" width="17.28515625" style="3" customWidth="1"/>
    <col min="9" max="9" width="15.140625" style="3" customWidth="1"/>
    <col min="10" max="12" width="12.7109375" style="3" customWidth="1"/>
    <col min="13" max="13" width="20.7109375" style="3" customWidth="1"/>
    <col min="14" max="14" width="16.85546875" style="3" customWidth="1"/>
    <col min="15" max="15" width="16.7109375" style="3" customWidth="1"/>
    <col min="16" max="16" width="16.5703125" style="4" customWidth="1"/>
    <col min="17" max="17" width="12.7109375" style="3" customWidth="1"/>
    <col min="18" max="18" width="17.28515625" style="3" customWidth="1"/>
    <col min="19" max="20" width="12.7109375" style="3" customWidth="1"/>
    <col min="21" max="21" width="26.28515625" style="3" customWidth="1"/>
    <col min="22" max="22" width="18.7109375" style="4" customWidth="1"/>
    <col min="23" max="24" width="18.7109375" style="3" customWidth="1"/>
    <col min="25" max="27" width="20.7109375" style="3" customWidth="1"/>
    <col min="28" max="28" width="33.28515625" style="3" customWidth="1"/>
    <col min="29" max="29" width="25.7109375" style="3" customWidth="1"/>
    <col min="30" max="30" width="30.7109375" style="3" customWidth="1"/>
  </cols>
  <sheetData>
    <row r="1" spans="1:30" ht="30" customHeight="1">
      <c r="A1"/>
      <c r="B1" s="41" t="s">
        <v>0</v>
      </c>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3"/>
    </row>
    <row r="2" spans="1:30" ht="30" customHeight="1">
      <c r="A2"/>
      <c r="B2" s="44" t="s">
        <v>1</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6"/>
    </row>
    <row r="3" spans="1:30" ht="30" customHeight="1">
      <c r="A3"/>
      <c r="B3" s="47" t="s">
        <v>2</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9"/>
    </row>
    <row r="4" spans="1:30" ht="39.950000000000003" customHeight="1">
      <c r="A4" s="50" t="s">
        <v>1657</v>
      </c>
      <c r="B4" s="51" t="s">
        <v>3</v>
      </c>
      <c r="C4" s="51" t="s">
        <v>4</v>
      </c>
      <c r="D4" s="51" t="s">
        <v>5</v>
      </c>
      <c r="E4" s="51" t="s">
        <v>6</v>
      </c>
      <c r="F4" s="51" t="s">
        <v>7</v>
      </c>
      <c r="G4" s="51" t="s">
        <v>8</v>
      </c>
      <c r="H4" s="51" t="s">
        <v>9</v>
      </c>
      <c r="I4" s="51" t="s">
        <v>10</v>
      </c>
      <c r="J4" s="51" t="s">
        <v>11</v>
      </c>
      <c r="K4" s="51"/>
      <c r="L4" s="51"/>
      <c r="M4" s="51"/>
      <c r="N4" s="51"/>
      <c r="O4" s="51" t="s">
        <v>12</v>
      </c>
      <c r="P4" s="51" t="s">
        <v>13</v>
      </c>
      <c r="Q4" s="51" t="s">
        <v>14</v>
      </c>
      <c r="R4" s="51" t="s">
        <v>15</v>
      </c>
      <c r="S4" s="51" t="s">
        <v>16</v>
      </c>
      <c r="T4" s="51" t="s">
        <v>17</v>
      </c>
      <c r="U4" s="51" t="s">
        <v>18</v>
      </c>
      <c r="V4" s="51" t="s">
        <v>19</v>
      </c>
      <c r="W4" s="51" t="s">
        <v>20</v>
      </c>
      <c r="X4" s="51"/>
      <c r="Y4" s="51" t="s">
        <v>21</v>
      </c>
      <c r="Z4" s="51"/>
      <c r="AA4" s="51"/>
      <c r="AB4" s="51" t="s">
        <v>22</v>
      </c>
      <c r="AC4" s="51" t="s">
        <v>23</v>
      </c>
      <c r="AD4" s="51" t="s">
        <v>1570</v>
      </c>
    </row>
    <row r="5" spans="1:30" ht="39.950000000000003" customHeight="1">
      <c r="A5" s="50"/>
      <c r="B5" s="51"/>
      <c r="C5" s="51"/>
      <c r="D5" s="51"/>
      <c r="E5" s="51"/>
      <c r="F5" s="51"/>
      <c r="G5" s="51"/>
      <c r="H5" s="51"/>
      <c r="I5" s="51"/>
      <c r="J5" s="7" t="s">
        <v>24</v>
      </c>
      <c r="K5" s="7" t="s">
        <v>25</v>
      </c>
      <c r="L5" s="7" t="s">
        <v>26</v>
      </c>
      <c r="M5" s="7" t="s">
        <v>27</v>
      </c>
      <c r="N5" s="7" t="s">
        <v>28</v>
      </c>
      <c r="O5" s="51"/>
      <c r="P5" s="51"/>
      <c r="Q5" s="51"/>
      <c r="R5" s="51"/>
      <c r="S5" s="51"/>
      <c r="T5" s="51"/>
      <c r="U5" s="51"/>
      <c r="V5" s="51"/>
      <c r="W5" s="7" t="s">
        <v>29</v>
      </c>
      <c r="X5" s="7" t="s">
        <v>30</v>
      </c>
      <c r="Y5" s="7" t="s">
        <v>24</v>
      </c>
      <c r="Z5" s="7" t="s">
        <v>25</v>
      </c>
      <c r="AA5" s="7" t="s">
        <v>26</v>
      </c>
      <c r="AB5" s="51"/>
      <c r="AC5" s="51"/>
      <c r="AD5" s="51"/>
    </row>
    <row r="6" spans="1:30" ht="80.099999999999994" customHeight="1">
      <c r="A6" s="5">
        <v>230</v>
      </c>
      <c r="B6" s="11">
        <v>2015</v>
      </c>
      <c r="C6" s="12" t="s">
        <v>31</v>
      </c>
      <c r="D6" s="12" t="s">
        <v>32</v>
      </c>
      <c r="E6" s="13">
        <v>42366</v>
      </c>
      <c r="F6" s="14" t="s">
        <v>33</v>
      </c>
      <c r="G6" s="14" t="s">
        <v>34</v>
      </c>
      <c r="H6" s="15">
        <v>4343074.72</v>
      </c>
      <c r="I6" s="14" t="s">
        <v>35</v>
      </c>
      <c r="J6" s="12" t="s">
        <v>36</v>
      </c>
      <c r="K6" s="12" t="s">
        <v>37</v>
      </c>
      <c r="L6" s="12" t="s">
        <v>38</v>
      </c>
      <c r="M6" s="14" t="s">
        <v>39</v>
      </c>
      <c r="N6" s="12" t="s">
        <v>40</v>
      </c>
      <c r="O6" s="15">
        <v>4343074.72</v>
      </c>
      <c r="P6" s="15">
        <v>4251841.78</v>
      </c>
      <c r="Q6" s="12" t="s">
        <v>41</v>
      </c>
      <c r="R6" s="15">
        <f>O6/180</f>
        <v>24128.192888888887</v>
      </c>
      <c r="S6" s="12" t="s">
        <v>42</v>
      </c>
      <c r="T6" s="12">
        <v>3990</v>
      </c>
      <c r="U6" s="14" t="s">
        <v>43</v>
      </c>
      <c r="V6" s="12" t="s">
        <v>44</v>
      </c>
      <c r="W6" s="13">
        <v>42367</v>
      </c>
      <c r="X6" s="13">
        <v>42415</v>
      </c>
      <c r="Y6" s="12" t="s">
        <v>45</v>
      </c>
      <c r="Z6" s="12" t="s">
        <v>46</v>
      </c>
      <c r="AA6" s="12" t="s">
        <v>47</v>
      </c>
      <c r="AB6" s="8" t="s">
        <v>1566</v>
      </c>
      <c r="AC6" s="14" t="s">
        <v>125</v>
      </c>
      <c r="AD6" s="14"/>
    </row>
    <row r="7" spans="1:30" ht="80.099999999999994" customHeight="1">
      <c r="A7" s="5">
        <v>231</v>
      </c>
      <c r="B7" s="12">
        <v>2015</v>
      </c>
      <c r="C7" s="12" t="s">
        <v>31</v>
      </c>
      <c r="D7" s="12" t="s">
        <v>49</v>
      </c>
      <c r="E7" s="13">
        <v>42366</v>
      </c>
      <c r="F7" s="14" t="s">
        <v>50</v>
      </c>
      <c r="G7" s="14" t="s">
        <v>34</v>
      </c>
      <c r="H7" s="15">
        <v>3769025.04</v>
      </c>
      <c r="I7" s="14" t="s">
        <v>51</v>
      </c>
      <c r="J7" s="12" t="s">
        <v>36</v>
      </c>
      <c r="K7" s="12" t="s">
        <v>37</v>
      </c>
      <c r="L7" s="12" t="s">
        <v>38</v>
      </c>
      <c r="M7" s="14" t="s">
        <v>39</v>
      </c>
      <c r="N7" s="12" t="s">
        <v>40</v>
      </c>
      <c r="O7" s="15">
        <v>3769025.04</v>
      </c>
      <c r="P7" s="15">
        <v>4491794.42</v>
      </c>
      <c r="Q7" s="12" t="s">
        <v>52</v>
      </c>
      <c r="R7" s="15">
        <f>O7</f>
        <v>3769025.04</v>
      </c>
      <c r="S7" s="12" t="s">
        <v>42</v>
      </c>
      <c r="T7" s="12">
        <v>700</v>
      </c>
      <c r="U7" s="14" t="s">
        <v>43</v>
      </c>
      <c r="V7" s="12" t="s">
        <v>44</v>
      </c>
      <c r="W7" s="13">
        <v>42367</v>
      </c>
      <c r="X7" s="13">
        <v>42415</v>
      </c>
      <c r="Y7" s="12" t="s">
        <v>45</v>
      </c>
      <c r="Z7" s="12" t="s">
        <v>46</v>
      </c>
      <c r="AA7" s="12" t="s">
        <v>47</v>
      </c>
      <c r="AB7" s="8" t="s">
        <v>1567</v>
      </c>
      <c r="AC7" s="14" t="s">
        <v>125</v>
      </c>
      <c r="AD7" s="14"/>
    </row>
    <row r="8" spans="1:30" ht="80.099999999999994" customHeight="1">
      <c r="A8" s="5">
        <v>232</v>
      </c>
      <c r="B8" s="11">
        <v>2015</v>
      </c>
      <c r="C8" s="12" t="s">
        <v>31</v>
      </c>
      <c r="D8" s="12" t="s">
        <v>53</v>
      </c>
      <c r="E8" s="13">
        <v>42366</v>
      </c>
      <c r="F8" s="14" t="s">
        <v>54</v>
      </c>
      <c r="G8" s="14" t="s">
        <v>34</v>
      </c>
      <c r="H8" s="15">
        <v>1945590.49</v>
      </c>
      <c r="I8" s="14" t="s">
        <v>55</v>
      </c>
      <c r="J8" s="12" t="s">
        <v>56</v>
      </c>
      <c r="K8" s="12" t="s">
        <v>57</v>
      </c>
      <c r="L8" s="12" t="s">
        <v>58</v>
      </c>
      <c r="M8" s="14" t="s">
        <v>59</v>
      </c>
      <c r="N8" s="12" t="s">
        <v>60</v>
      </c>
      <c r="O8" s="15">
        <v>1945590.49</v>
      </c>
      <c r="P8" s="15">
        <v>1542798.11</v>
      </c>
      <c r="Q8" s="12" t="s">
        <v>61</v>
      </c>
      <c r="R8" s="15">
        <f>O8/1410</f>
        <v>1379.8514113475178</v>
      </c>
      <c r="S8" s="12" t="s">
        <v>42</v>
      </c>
      <c r="T8" s="12">
        <v>1262</v>
      </c>
      <c r="U8" s="14" t="s">
        <v>43</v>
      </c>
      <c r="V8" s="12" t="s">
        <v>44</v>
      </c>
      <c r="W8" s="13">
        <v>42367</v>
      </c>
      <c r="X8" s="13">
        <v>42400</v>
      </c>
      <c r="Y8" s="12" t="s">
        <v>62</v>
      </c>
      <c r="Z8" s="12" t="s">
        <v>63</v>
      </c>
      <c r="AA8" s="12" t="s">
        <v>64</v>
      </c>
      <c r="AB8" s="14" t="s">
        <v>1569</v>
      </c>
      <c r="AC8" s="14" t="s">
        <v>1568</v>
      </c>
      <c r="AD8" s="12"/>
    </row>
    <row r="9" spans="1:30" ht="80.099999999999994" customHeight="1">
      <c r="A9" s="5">
        <v>236</v>
      </c>
      <c r="B9" s="12">
        <v>2015</v>
      </c>
      <c r="C9" s="12" t="s">
        <v>65</v>
      </c>
      <c r="D9" s="14" t="str">
        <f>'[1]V, inciso o) (OP)'!C7</f>
        <v>DOPI-MUN-IN-AD-236-2015</v>
      </c>
      <c r="E9" s="13">
        <f>'[1]V, inciso o) (OP)'!V7</f>
        <v>42356</v>
      </c>
      <c r="F9" s="14" t="str">
        <f>'[1]V, inciso o) (OP)'!AA7</f>
        <v>Construcción de puente peatonal, guarniciones y banquetas en la colonia Villa de Guadalupe, Municipio de Zapopan, Jalisco.</v>
      </c>
      <c r="G9" s="14" t="s">
        <v>66</v>
      </c>
      <c r="H9" s="15">
        <f>'[1]V, inciso o) (OP)'!L7</f>
        <v>732176.24</v>
      </c>
      <c r="I9" s="14" t="s">
        <v>67</v>
      </c>
      <c r="J9" s="12" t="str">
        <f>'[1]V, inciso o) (OP)'!G7</f>
        <v xml:space="preserve">Carlos Humberto </v>
      </c>
      <c r="K9" s="12" t="str">
        <f>'[1]V, inciso o) (OP)'!H7</f>
        <v>Barragán</v>
      </c>
      <c r="L9" s="12" t="str">
        <f>'[1]V, inciso o) (OP)'!I7</f>
        <v>Fonseca</v>
      </c>
      <c r="M9" s="14" t="str">
        <f>'[1]V, inciso o) (OP)'!J7</f>
        <v>Grupo Constructor Inmobiliario Gucar, S.A. de C.V. ZAP-1377</v>
      </c>
      <c r="N9" s="14" t="str">
        <f>'[1]V, inciso o) (OP)'!K7</f>
        <v>GCI9305175H8</v>
      </c>
      <c r="O9" s="15">
        <f t="shared" ref="O9:O42" si="0">H9</f>
        <v>732176.24</v>
      </c>
      <c r="P9" s="15">
        <v>620948.86</v>
      </c>
      <c r="Q9" s="12" t="s">
        <v>68</v>
      </c>
      <c r="R9" s="15">
        <f>O9/31</f>
        <v>23618.588387096774</v>
      </c>
      <c r="S9" s="12" t="s">
        <v>42</v>
      </c>
      <c r="T9" s="12">
        <v>437</v>
      </c>
      <c r="U9" s="14" t="s">
        <v>43</v>
      </c>
      <c r="V9" s="12" t="s">
        <v>44</v>
      </c>
      <c r="W9" s="13">
        <f>'[1]V, inciso o) (OP)'!AD7</f>
        <v>42360</v>
      </c>
      <c r="X9" s="13">
        <f>'[1]V, inciso o) (OP)'!AE7</f>
        <v>42400</v>
      </c>
      <c r="Y9" s="12" t="s">
        <v>69</v>
      </c>
      <c r="Z9" s="12" t="s">
        <v>70</v>
      </c>
      <c r="AA9" s="12" t="s">
        <v>71</v>
      </c>
      <c r="AB9" s="16" t="s">
        <v>1572</v>
      </c>
      <c r="AC9" s="14" t="s">
        <v>48</v>
      </c>
      <c r="AD9" s="14"/>
    </row>
    <row r="10" spans="1:30" ht="80.099999999999994" customHeight="1">
      <c r="A10" s="5">
        <v>237</v>
      </c>
      <c r="B10" s="11">
        <v>2015</v>
      </c>
      <c r="C10" s="12" t="s">
        <v>65</v>
      </c>
      <c r="D10" s="14" t="str">
        <f>'[1]V, inciso o) (OP)'!C8</f>
        <v>DOPI-MUN-IN-AD-237-2015</v>
      </c>
      <c r="E10" s="13">
        <f>'[1]V, inciso o) (OP)'!V8</f>
        <v>42356</v>
      </c>
      <c r="F10" s="14" t="str">
        <f>'[1]V, inciso o) (OP)'!AA8</f>
        <v>Adecuación de la Academia de Polícia, primera etapa, Municipio de Zapopan, Jalisco.</v>
      </c>
      <c r="G10" s="14" t="s">
        <v>66</v>
      </c>
      <c r="H10" s="15">
        <f>'[1]V, inciso o) (OP)'!L8</f>
        <v>1479664.22</v>
      </c>
      <c r="I10" s="14" t="s">
        <v>72</v>
      </c>
      <c r="J10" s="12" t="str">
        <f>'[1]V, inciso o) (OP)'!G8</f>
        <v>Luis Reynaldo</v>
      </c>
      <c r="K10" s="12" t="str">
        <f>'[1]V, inciso o) (OP)'!H8</f>
        <v>Galván</v>
      </c>
      <c r="L10" s="12" t="str">
        <f>'[1]V, inciso o) (OP)'!I8</f>
        <v>Bermejo</v>
      </c>
      <c r="M10" s="14" t="str">
        <f>'[1]V, inciso o) (OP)'!J8</f>
        <v>Galjak Arquitectos y Construcciones, S.A. de C.V. ZAP-0588</v>
      </c>
      <c r="N10" s="14" t="str">
        <f>'[1]V, inciso o) (OP)'!K8</f>
        <v>GAC051206TQ3</v>
      </c>
      <c r="O10" s="15">
        <f t="shared" si="0"/>
        <v>1479664.22</v>
      </c>
      <c r="P10" s="15">
        <v>1469715.35</v>
      </c>
      <c r="Q10" s="12" t="s">
        <v>73</v>
      </c>
      <c r="R10" s="15">
        <f>O10/1815</f>
        <v>815.24199449035814</v>
      </c>
      <c r="S10" s="12" t="s">
        <v>42</v>
      </c>
      <c r="T10" s="12">
        <v>750</v>
      </c>
      <c r="U10" s="14" t="s">
        <v>43</v>
      </c>
      <c r="V10" s="12" t="s">
        <v>44</v>
      </c>
      <c r="W10" s="13">
        <f>'[1]V, inciso o) (OP)'!AD8</f>
        <v>42360</v>
      </c>
      <c r="X10" s="13">
        <f>'[1]V, inciso o) (OP)'!AE8</f>
        <v>42400</v>
      </c>
      <c r="Y10" s="12" t="s">
        <v>74</v>
      </c>
      <c r="Z10" s="12" t="s">
        <v>75</v>
      </c>
      <c r="AA10" s="12" t="s">
        <v>76</v>
      </c>
      <c r="AB10" s="16" t="s">
        <v>1573</v>
      </c>
      <c r="AC10" s="14" t="s">
        <v>48</v>
      </c>
      <c r="AD10" s="14"/>
    </row>
    <row r="11" spans="1:30" ht="80.099999999999994" customHeight="1">
      <c r="A11" s="5">
        <v>238</v>
      </c>
      <c r="B11" s="12">
        <v>2015</v>
      </c>
      <c r="C11" s="12" t="s">
        <v>65</v>
      </c>
      <c r="D11" s="14" t="str">
        <f>'[1]V, inciso o) (OP)'!C9</f>
        <v>DOPI-MUN-AD-238-2015</v>
      </c>
      <c r="E11" s="13">
        <f>'[1]V, inciso o) (OP)'!V9</f>
        <v>42388</v>
      </c>
      <c r="F11" s="14" t="str">
        <f>'[1]V, inciso o) (OP)'!AA9</f>
        <v>Construcción de línea de drenaje sanitario y descargas domiciliarias en la calle Comitl de la calle Ozomatli a calle Michi, Municipio de Zapopan Jalisco.</v>
      </c>
      <c r="G11" s="14" t="s">
        <v>66</v>
      </c>
      <c r="H11" s="15">
        <f>'[1]V, inciso o) (OP)'!L9</f>
        <v>148758.56</v>
      </c>
      <c r="I11" s="14" t="s">
        <v>77</v>
      </c>
      <c r="J11" s="12" t="str">
        <f>'[1]V, inciso o) (OP)'!G9</f>
        <v>José de Jesús</v>
      </c>
      <c r="K11" s="12" t="str">
        <f>'[1]V, inciso o) (OP)'!H9</f>
        <v>Castillo</v>
      </c>
      <c r="L11" s="12" t="str">
        <f>'[1]V, inciso o) (OP)'!I9</f>
        <v>Carrillo</v>
      </c>
      <c r="M11" s="14" t="str">
        <f>'[1]V, inciso o) (OP)'!J9</f>
        <v>Mapa Obras y Pavimentos, S.A. de C.V. ZAP-0926</v>
      </c>
      <c r="N11" s="14" t="str">
        <f>'[1]V, inciso o) (OP)'!K9</f>
        <v>MOP080610I53</v>
      </c>
      <c r="O11" s="15">
        <f t="shared" si="0"/>
        <v>148758.56</v>
      </c>
      <c r="P11" s="15">
        <v>142764.35999999999</v>
      </c>
      <c r="Q11" s="12" t="s">
        <v>78</v>
      </c>
      <c r="R11" s="15">
        <f>O11/53</f>
        <v>2806.7652830188681</v>
      </c>
      <c r="S11" s="12" t="s">
        <v>42</v>
      </c>
      <c r="T11" s="12">
        <v>165</v>
      </c>
      <c r="U11" s="14" t="s">
        <v>43</v>
      </c>
      <c r="V11" s="12" t="s">
        <v>44</v>
      </c>
      <c r="W11" s="13">
        <f>'[1]V, inciso o) (OP)'!AD9</f>
        <v>42389</v>
      </c>
      <c r="X11" s="13">
        <f>'[1]V, inciso o) (OP)'!AE9</f>
        <v>42439</v>
      </c>
      <c r="Y11" s="12" t="s">
        <v>79</v>
      </c>
      <c r="Z11" s="12" t="s">
        <v>80</v>
      </c>
      <c r="AA11" s="12" t="s">
        <v>81</v>
      </c>
      <c r="AB11" s="14" t="s">
        <v>48</v>
      </c>
      <c r="AC11" s="14" t="s">
        <v>48</v>
      </c>
      <c r="AD11" s="14"/>
    </row>
    <row r="12" spans="1:30" ht="80.099999999999994" customHeight="1">
      <c r="A12" s="5">
        <v>239</v>
      </c>
      <c r="B12" s="11">
        <v>2015</v>
      </c>
      <c r="C12" s="12" t="s">
        <v>65</v>
      </c>
      <c r="D12" s="14" t="str">
        <f>'[1]V, inciso o) (OP)'!C10</f>
        <v>DOPI-MUN-RM-APDS-AD-239-2015</v>
      </c>
      <c r="E12" s="13">
        <f>'[1]V, inciso o) (OP)'!V10</f>
        <v>42364</v>
      </c>
      <c r="F12" s="14" t="str">
        <f>'[1]V, inciso o) (OP)'!AA10</f>
        <v>Construcción de línea de drenaje sanitario y de línea de agua potable en la calle Lic. Eliseo Orozco Gutiérrez en el tramo de la calle Prof. Idolina Gaona de Cossio a Av. Juan Gil Preciado, en la colonia Jardines de Nuevo México, municipio de Zapopan, Jalisco</v>
      </c>
      <c r="G12" s="14" t="s">
        <v>66</v>
      </c>
      <c r="H12" s="15">
        <f>'[1]V, inciso o) (OP)'!L10</f>
        <v>1462545.61</v>
      </c>
      <c r="I12" s="14" t="s">
        <v>82</v>
      </c>
      <c r="J12" s="12" t="str">
        <f>'[1]V, inciso o) (OP)'!G10</f>
        <v>Francisco Javier</v>
      </c>
      <c r="K12" s="12" t="str">
        <f>'[1]V, inciso o) (OP)'!H10</f>
        <v>Santiago</v>
      </c>
      <c r="L12" s="12" t="str">
        <f>'[1]V, inciso o) (OP)'!I10</f>
        <v>Castro</v>
      </c>
      <c r="M12" s="14" t="str">
        <f>'[1]V, inciso o) (OP)'!J10</f>
        <v>Uru Constructora, S.A. de C.V. ZAP-1957</v>
      </c>
      <c r="N12" s="14" t="str">
        <f>'[1]V, inciso o) (OP)'!K10</f>
        <v>UCO120322GL0</v>
      </c>
      <c r="O12" s="15">
        <f t="shared" si="0"/>
        <v>1462545.61</v>
      </c>
      <c r="P12" s="15">
        <v>1165715.32</v>
      </c>
      <c r="Q12" s="12" t="s">
        <v>83</v>
      </c>
      <c r="R12" s="15">
        <f>O12/315</f>
        <v>4643.001936507937</v>
      </c>
      <c r="S12" s="12" t="s">
        <v>42</v>
      </c>
      <c r="T12" s="12">
        <v>4345</v>
      </c>
      <c r="U12" s="14" t="s">
        <v>43</v>
      </c>
      <c r="V12" s="14" t="s">
        <v>44</v>
      </c>
      <c r="W12" s="13">
        <f>'[1]V, inciso o) (OP)'!AD10</f>
        <v>42366</v>
      </c>
      <c r="X12" s="13">
        <f>'[1]V, inciso o) (OP)'!AE10</f>
        <v>42434</v>
      </c>
      <c r="Y12" s="12" t="s">
        <v>84</v>
      </c>
      <c r="Z12" s="12" t="s">
        <v>85</v>
      </c>
      <c r="AA12" s="12" t="s">
        <v>86</v>
      </c>
      <c r="AB12" s="16" t="s">
        <v>1574</v>
      </c>
      <c r="AC12" s="14" t="s">
        <v>48</v>
      </c>
      <c r="AD12" s="14"/>
    </row>
    <row r="13" spans="1:30" ht="80.099999999999994" customHeight="1">
      <c r="A13" s="5">
        <v>240</v>
      </c>
      <c r="B13" s="12">
        <v>2015</v>
      </c>
      <c r="C13" s="12" t="s">
        <v>65</v>
      </c>
      <c r="D13" s="14" t="str">
        <f>'[1]V, inciso o) (OP)'!C11</f>
        <v>DOPI-MUN-RM-APDS-AD-240-2015</v>
      </c>
      <c r="E13" s="13">
        <f>'[1]V, inciso o) (OP)'!V11</f>
        <v>42364</v>
      </c>
      <c r="F13" s="14" t="str">
        <f>'[1]V, inciso o) (OP)'!AA11</f>
        <v>Construcción de línea de drenaje sanitario y de línea de agua potable en la calle Lic. Eliseo Orozco Gutiérrez en el tramo de la calle Emiliano Zapata a calle Prof. Idolina Gaona de Cossio, en la colonia Jardines de Nuevo México, municipio de Zapopan, Jalisco</v>
      </c>
      <c r="G13" s="14" t="s">
        <v>66</v>
      </c>
      <c r="H13" s="15">
        <f>'[1]V, inciso o) (OP)'!L11</f>
        <v>1313000.04</v>
      </c>
      <c r="I13" s="14" t="s">
        <v>82</v>
      </c>
      <c r="J13" s="12" t="str">
        <f>'[1]V, inciso o) (OP)'!G11</f>
        <v>Miguel Ángel</v>
      </c>
      <c r="K13" s="12" t="str">
        <f>'[1]V, inciso o) (OP)'!H11</f>
        <v>González</v>
      </c>
      <c r="L13" s="12" t="str">
        <f>'[1]V, inciso o) (OP)'!I11</f>
        <v>Dávila</v>
      </c>
      <c r="M13" s="14" t="str">
        <f>'[1]V, inciso o) (OP)'!J11</f>
        <v>Construcciones Levisa, S.A. de C.V. ZAP-1829</v>
      </c>
      <c r="N13" s="14" t="str">
        <f>'[1]V, inciso o) (OP)'!K11</f>
        <v>CLE131023270</v>
      </c>
      <c r="O13" s="15">
        <f t="shared" si="0"/>
        <v>1313000.04</v>
      </c>
      <c r="P13" s="15">
        <v>1156397.07</v>
      </c>
      <c r="Q13" s="12" t="s">
        <v>87</v>
      </c>
      <c r="R13" s="15">
        <f>O13/360</f>
        <v>3647.2223333333336</v>
      </c>
      <c r="S13" s="12" t="s">
        <v>42</v>
      </c>
      <c r="T13" s="12">
        <v>4345</v>
      </c>
      <c r="U13" s="14" t="s">
        <v>43</v>
      </c>
      <c r="V13" s="14" t="s">
        <v>44</v>
      </c>
      <c r="W13" s="13">
        <f>'[1]V, inciso o) (OP)'!AD11</f>
        <v>42366</v>
      </c>
      <c r="X13" s="13">
        <f>'[1]V, inciso o) (OP)'!AE11</f>
        <v>42434</v>
      </c>
      <c r="Y13" s="12" t="s">
        <v>84</v>
      </c>
      <c r="Z13" s="12" t="s">
        <v>85</v>
      </c>
      <c r="AA13" s="12" t="s">
        <v>86</v>
      </c>
      <c r="AB13" s="16" t="s">
        <v>1575</v>
      </c>
      <c r="AC13" s="14" t="s">
        <v>48</v>
      </c>
      <c r="AD13" s="14"/>
    </row>
    <row r="14" spans="1:30" ht="80.099999999999994" customHeight="1">
      <c r="A14" s="5">
        <v>241</v>
      </c>
      <c r="B14" s="11">
        <v>2015</v>
      </c>
      <c r="C14" s="12" t="s">
        <v>65</v>
      </c>
      <c r="D14" s="14" t="str">
        <f>'[1]V, inciso o) (OP)'!C12</f>
        <v>DOPI-MUN-RM-BAN-AD-241-2015</v>
      </c>
      <c r="E14" s="13">
        <f>'[1]V, inciso o) (OP)'!V12</f>
        <v>42364</v>
      </c>
      <c r="F14" s="14" t="str">
        <f>'[1]V, inciso o) (OP)'!AA12</f>
        <v>Construcción de banquetas, aproches de vialidades y preparación para alumbrado público, en la calle Vista Campestre, en la colonia Vista Hermosa, municipio de Zapopan, Jalisco</v>
      </c>
      <c r="G14" s="14" t="s">
        <v>66</v>
      </c>
      <c r="H14" s="15">
        <f>'[1]V, inciso o) (OP)'!L12</f>
        <v>48554.79</v>
      </c>
      <c r="I14" s="14" t="s">
        <v>88</v>
      </c>
      <c r="J14" s="12" t="str">
        <f>'[1]V, inciso o) (OP)'!G12</f>
        <v>Edwin</v>
      </c>
      <c r="K14" s="12" t="str">
        <f>'[1]V, inciso o) (OP)'!H12</f>
        <v>Aguiar</v>
      </c>
      <c r="L14" s="12" t="str">
        <f>'[1]V, inciso o) (OP)'!I12</f>
        <v>Escantel</v>
      </c>
      <c r="M14" s="14" t="str">
        <f>'[1]V, inciso o) (OP)'!J12</f>
        <v>Manjarrez Urbanizaciones, S.A. de C.V.  ZAP-1141</v>
      </c>
      <c r="N14" s="14" t="str">
        <f>'[1]V, inciso o) (OP)'!K12</f>
        <v>MUR090325P33</v>
      </c>
      <c r="O14" s="15">
        <f t="shared" si="0"/>
        <v>48554.79</v>
      </c>
      <c r="P14" s="12" t="s">
        <v>48</v>
      </c>
      <c r="Q14" s="12" t="s">
        <v>89</v>
      </c>
      <c r="R14" s="15">
        <f>O14/120</f>
        <v>404.62324999999998</v>
      </c>
      <c r="S14" s="12" t="s">
        <v>42</v>
      </c>
      <c r="T14" s="12">
        <v>446</v>
      </c>
      <c r="U14" s="14" t="s">
        <v>43</v>
      </c>
      <c r="V14" s="12" t="s">
        <v>44</v>
      </c>
      <c r="W14" s="13">
        <f>'[1]V, inciso o) (OP)'!AD12</f>
        <v>42366</v>
      </c>
      <c r="X14" s="13">
        <f>'[1]V, inciso o) (OP)'!AE12</f>
        <v>42400</v>
      </c>
      <c r="Y14" s="12" t="s">
        <v>90</v>
      </c>
      <c r="Z14" s="12" t="s">
        <v>91</v>
      </c>
      <c r="AA14" s="12" t="s">
        <v>92</v>
      </c>
      <c r="AB14" s="16" t="s">
        <v>1576</v>
      </c>
      <c r="AC14" s="14" t="s">
        <v>48</v>
      </c>
      <c r="AD14" s="14"/>
    </row>
    <row r="15" spans="1:30" ht="80.099999999999994" customHeight="1">
      <c r="A15" s="5">
        <v>242</v>
      </c>
      <c r="B15" s="12">
        <v>2015</v>
      </c>
      <c r="C15" s="12" t="s">
        <v>65</v>
      </c>
      <c r="D15" s="14" t="str">
        <f>'[1]V, inciso o) (OP)'!C13</f>
        <v>DOPI-MUN-RM-DS-AD-242-2015</v>
      </c>
      <c r="E15" s="13">
        <f>'[1]V, inciso o) (OP)'!V13</f>
        <v>42364</v>
      </c>
      <c r="F15" s="14" t="str">
        <f>'[1]V, inciso o) (OP)'!AA13</f>
        <v>Construcción de línea de drenaje sanitario de 10", en las calles Santa Martha y Santo Santiago, en la colonia Lomas de Tabachines, municipio de Zapopan, Jalisco</v>
      </c>
      <c r="G15" s="14" t="s">
        <v>66</v>
      </c>
      <c r="H15" s="15">
        <f>'[1]V, inciso o) (OP)'!L13</f>
        <v>883610.98</v>
      </c>
      <c r="I15" s="14" t="s">
        <v>93</v>
      </c>
      <c r="J15" s="12" t="str">
        <f>'[1]V, inciso o) (OP)'!G13</f>
        <v>Mario</v>
      </c>
      <c r="K15" s="12" t="str">
        <f>'[1]V, inciso o) (OP)'!H13</f>
        <v>Beltrán</v>
      </c>
      <c r="L15" s="12" t="str">
        <f>'[1]V, inciso o) (OP)'!I13</f>
        <v>Rodríguez</v>
      </c>
      <c r="M15" s="14" t="str">
        <f>'[1]V, inciso o) (OP)'!J13</f>
        <v>Constructora y Desarrolladora Barba y Asociados, S. A. de C. V.  ZAP-1587</v>
      </c>
      <c r="N15" s="14" t="str">
        <f>'[1]V, inciso o) (OP)'!K13</f>
        <v>CDB0506068Z4</v>
      </c>
      <c r="O15" s="15">
        <f t="shared" si="0"/>
        <v>883610.98</v>
      </c>
      <c r="P15" s="12" t="s">
        <v>48</v>
      </c>
      <c r="Q15" s="12" t="s">
        <v>94</v>
      </c>
      <c r="R15" s="15">
        <f>O15/440</f>
        <v>2008.2067727272727</v>
      </c>
      <c r="S15" s="12" t="s">
        <v>42</v>
      </c>
      <c r="T15" s="12">
        <v>435</v>
      </c>
      <c r="U15" s="14" t="s">
        <v>43</v>
      </c>
      <c r="V15" s="12" t="s">
        <v>44</v>
      </c>
      <c r="W15" s="13">
        <f>'[1]V, inciso o) (OP)'!AD13</f>
        <v>42366</v>
      </c>
      <c r="X15" s="13">
        <f>'[1]V, inciso o) (OP)'!AE13</f>
        <v>42460</v>
      </c>
      <c r="Y15" s="12" t="s">
        <v>95</v>
      </c>
      <c r="Z15" s="12" t="s">
        <v>96</v>
      </c>
      <c r="AA15" s="12" t="s">
        <v>97</v>
      </c>
      <c r="AB15" s="14" t="s">
        <v>48</v>
      </c>
      <c r="AC15" s="14" t="s">
        <v>48</v>
      </c>
      <c r="AD15" s="14"/>
    </row>
    <row r="16" spans="1:30" ht="80.099999999999994" customHeight="1">
      <c r="A16" s="5">
        <v>243</v>
      </c>
      <c r="B16" s="11">
        <v>2015</v>
      </c>
      <c r="C16" s="12" t="s">
        <v>65</v>
      </c>
      <c r="D16" s="14" t="str">
        <f>'[1]V, inciso o) (OP)'!C14</f>
        <v>DOPI-MUN-RM-DS-AD-243-2015</v>
      </c>
      <c r="E16" s="13">
        <f>'[1]V, inciso o) (OP)'!V14</f>
        <v>42364</v>
      </c>
      <c r="F16" s="14" t="str">
        <f>'[1]V, inciso o) (OP)'!AA14</f>
        <v>Construcción de línea de drenaje sanitario de 10", en la calle Gigante entre la calle Tabachines y El Arroyo, colonia Vicente Guerrero, municipio de Zapopan, Jalisco</v>
      </c>
      <c r="G16" s="14" t="s">
        <v>66</v>
      </c>
      <c r="H16" s="15">
        <f>'[1]V, inciso o) (OP)'!L14</f>
        <v>83769.11</v>
      </c>
      <c r="I16" s="14" t="s">
        <v>98</v>
      </c>
      <c r="J16" s="12" t="str">
        <f>'[1]V, inciso o) (OP)'!G14</f>
        <v>Miguel Ángel</v>
      </c>
      <c r="K16" s="12" t="str">
        <f>'[1]V, inciso o) (OP)'!H14</f>
        <v>Romero</v>
      </c>
      <c r="L16" s="12" t="str">
        <f>'[1]V, inciso o) (OP)'!I14</f>
        <v>Lugo</v>
      </c>
      <c r="M16" s="14" t="str">
        <f>'[1]V, inciso o) (OP)'!J14</f>
        <v>Obras y Comercialización de la Construcción, S.A. de C.V.  ZAP-0113</v>
      </c>
      <c r="N16" s="14" t="str">
        <f>'[1]V, inciso o) (OP)'!K14</f>
        <v>OCC940714PB0</v>
      </c>
      <c r="O16" s="15">
        <f t="shared" si="0"/>
        <v>83769.11</v>
      </c>
      <c r="P16" s="15">
        <v>82908.240000000005</v>
      </c>
      <c r="Q16" s="12" t="s">
        <v>99</v>
      </c>
      <c r="R16" s="15">
        <f>O16/43</f>
        <v>1948.1188372093022</v>
      </c>
      <c r="S16" s="12" t="s">
        <v>42</v>
      </c>
      <c r="T16" s="12">
        <v>40</v>
      </c>
      <c r="U16" s="14" t="s">
        <v>43</v>
      </c>
      <c r="V16" s="12" t="s">
        <v>44</v>
      </c>
      <c r="W16" s="13">
        <f>'[1]V, inciso o) (OP)'!AD14</f>
        <v>42366</v>
      </c>
      <c r="X16" s="13">
        <f>'[1]V, inciso o) (OP)'!AE14</f>
        <v>42400</v>
      </c>
      <c r="Y16" s="12" t="s">
        <v>100</v>
      </c>
      <c r="Z16" s="12" t="s">
        <v>101</v>
      </c>
      <c r="AA16" s="12" t="s">
        <v>102</v>
      </c>
      <c r="AB16" s="16" t="s">
        <v>1577</v>
      </c>
      <c r="AC16" s="14" t="s">
        <v>48</v>
      </c>
      <c r="AD16" s="14"/>
    </row>
    <row r="17" spans="1:30" ht="80.099999999999994" customHeight="1">
      <c r="A17" s="5">
        <v>1</v>
      </c>
      <c r="B17" s="12">
        <v>2016</v>
      </c>
      <c r="C17" s="12" t="s">
        <v>65</v>
      </c>
      <c r="D17" s="14" t="str">
        <f>'[1]V, inciso o) (OP)'!C15</f>
        <v>DOPI-MUN-RP-PAV-AD-001-2016</v>
      </c>
      <c r="E17" s="13">
        <f>'[1]V, inciso o) (OP)'!V15</f>
        <v>42394</v>
      </c>
      <c r="F17" s="14" t="str">
        <f>'[1]V, inciso o) (OP)'!AA15</f>
        <v>Reencarpetamiento de los carriles norte de la Avenida Acueducto del límite municipal a la Avenida Patria, incluye desbastado de la carpeta existente, Municipio de Zapopan, Jalisco</v>
      </c>
      <c r="G17" s="14" t="s">
        <v>66</v>
      </c>
      <c r="H17" s="15">
        <f>'[1]V, inciso o) (OP)'!L15</f>
        <v>999297</v>
      </c>
      <c r="I17" s="14" t="s">
        <v>103</v>
      </c>
      <c r="J17" s="12" t="str">
        <f>'[1]V, inciso o) (OP)'!G15</f>
        <v>Guillermo</v>
      </c>
      <c r="K17" s="12" t="str">
        <f>'[1]V, inciso o) (OP)'!H15</f>
        <v>Lara</v>
      </c>
      <c r="L17" s="12" t="str">
        <f>'[1]V, inciso o) (OP)'!I15</f>
        <v>Vargas</v>
      </c>
      <c r="M17" s="14" t="str">
        <f>'[1]V, inciso o) (OP)'!J15</f>
        <v>Desarrolladora Glar. S.A. de C.V. ZAP-0604</v>
      </c>
      <c r="N17" s="14" t="str">
        <f>'[1]V, inciso o) (OP)'!K15</f>
        <v>DGL060620SUA</v>
      </c>
      <c r="O17" s="15">
        <f t="shared" si="0"/>
        <v>999297</v>
      </c>
      <c r="P17" s="15">
        <v>953158.19</v>
      </c>
      <c r="Q17" s="12" t="s">
        <v>104</v>
      </c>
      <c r="R17" s="15">
        <f>O17/1960</f>
        <v>509.84540816326529</v>
      </c>
      <c r="S17" s="12" t="s">
        <v>42</v>
      </c>
      <c r="T17" s="17">
        <v>120000</v>
      </c>
      <c r="U17" s="14" t="s">
        <v>43</v>
      </c>
      <c r="V17" s="12" t="s">
        <v>44</v>
      </c>
      <c r="W17" s="13">
        <f>'[1]V, inciso o) (OP)'!AD15</f>
        <v>42396</v>
      </c>
      <c r="X17" s="13">
        <f>'[1]V, inciso o) (OP)'!AE15</f>
        <v>42429</v>
      </c>
      <c r="Y17" s="12" t="s">
        <v>105</v>
      </c>
      <c r="Z17" s="12" t="s">
        <v>106</v>
      </c>
      <c r="AA17" s="12" t="s">
        <v>107</v>
      </c>
      <c r="AB17" s="18" t="s">
        <v>1593</v>
      </c>
      <c r="AC17" s="18"/>
      <c r="AD17" s="14"/>
    </row>
    <row r="18" spans="1:30" ht="80.099999999999994" customHeight="1">
      <c r="A18" s="6">
        <v>2</v>
      </c>
      <c r="B18" s="12">
        <v>2016</v>
      </c>
      <c r="C18" s="12" t="s">
        <v>65</v>
      </c>
      <c r="D18" s="14" t="str">
        <f>'[1]V, inciso o) (OP)'!C16</f>
        <v>DOPI-MUN-RP-EP-AD-002-2016</v>
      </c>
      <c r="E18" s="13">
        <f>'[1]V, inciso o) (OP)'!V16</f>
        <v>42387</v>
      </c>
      <c r="F18" s="14" t="str">
        <f>'[1]V, inciso o) (OP)'!AA16</f>
        <v>Demoliciones, preliminares, rellenos, plazoletas, rampas, protección de puentes, jardinería, en espacio público recuperado ubicado en Periferico Norte, entre la preparatoria No. 10 y el CUCEA, Municipio de Zapopan, Jalisco.</v>
      </c>
      <c r="G18" s="14" t="s">
        <v>66</v>
      </c>
      <c r="H18" s="15">
        <f>'[1]V, inciso o) (OP)'!L16</f>
        <v>1615350.24</v>
      </c>
      <c r="I18" s="14" t="s">
        <v>108</v>
      </c>
      <c r="J18" s="12" t="str">
        <f>'[1]V, inciso o) (OP)'!G16</f>
        <v>Héctor Guillermo</v>
      </c>
      <c r="K18" s="12" t="str">
        <f>'[1]V, inciso o) (OP)'!H16</f>
        <v>Castro</v>
      </c>
      <c r="L18" s="12" t="str">
        <f>'[1]V, inciso o) (OP)'!I16</f>
        <v>Gómez</v>
      </c>
      <c r="M18" s="14" t="str">
        <f>'[1]V, inciso o) (OP)'!J16</f>
        <v>ARH Desarrollos Inmobiliarios, S.A. de C.V. ZAP-1740</v>
      </c>
      <c r="N18" s="14" t="str">
        <f>'[1]V, inciso o) (OP)'!K16</f>
        <v>ADI130522MB7</v>
      </c>
      <c r="O18" s="15">
        <f t="shared" si="0"/>
        <v>1615350.24</v>
      </c>
      <c r="P18" s="15">
        <v>1615350.24</v>
      </c>
      <c r="Q18" s="12" t="s">
        <v>109</v>
      </c>
      <c r="R18" s="15">
        <f>O18/6297</f>
        <v>256.52695569318723</v>
      </c>
      <c r="S18" s="12" t="s">
        <v>42</v>
      </c>
      <c r="T18" s="17">
        <v>25642</v>
      </c>
      <c r="U18" s="14" t="s">
        <v>43</v>
      </c>
      <c r="V18" s="12" t="s">
        <v>44</v>
      </c>
      <c r="W18" s="13">
        <f>'[1]V, inciso o) (OP)'!AD16</f>
        <v>42388</v>
      </c>
      <c r="X18" s="13">
        <f>'[1]V, inciso o) (OP)'!AE16</f>
        <v>42429</v>
      </c>
      <c r="Y18" s="12" t="s">
        <v>74</v>
      </c>
      <c r="Z18" s="12" t="s">
        <v>75</v>
      </c>
      <c r="AA18" s="12" t="s">
        <v>76</v>
      </c>
      <c r="AB18" s="8" t="s">
        <v>1658</v>
      </c>
      <c r="AC18" s="14" t="s">
        <v>48</v>
      </c>
      <c r="AD18" s="14"/>
    </row>
    <row r="19" spans="1:30" ht="80.099999999999994" customHeight="1">
      <c r="A19" s="6">
        <v>3</v>
      </c>
      <c r="B19" s="12">
        <v>2016</v>
      </c>
      <c r="C19" s="12" t="s">
        <v>65</v>
      </c>
      <c r="D19" s="14" t="str">
        <f>'[1]V, inciso o) (OP)'!C17</f>
        <v>DOPI-MUN-RP-EP-AD-003-2016</v>
      </c>
      <c r="E19" s="13">
        <f>'[1]V, inciso o) (OP)'!V17</f>
        <v>42387</v>
      </c>
      <c r="F19" s="14" t="str">
        <f>'[1]V, inciso o) (OP)'!AA17</f>
        <v>Mobiliario urbano, instalaciones eléctricas, alumbrado, defensa metálica, topes, aproches, bolardos, señalética, en espacio público recuperado ubicado en Periferico Norte, entre la preparatoria No. 10 y el CUCEA, Municipio de Zapopan, Jalisco.</v>
      </c>
      <c r="G19" s="14" t="s">
        <v>66</v>
      </c>
      <c r="H19" s="15">
        <f>'[1]V, inciso o) (OP)'!L17</f>
        <v>1245297.3500000001</v>
      </c>
      <c r="I19" s="14" t="s">
        <v>108</v>
      </c>
      <c r="J19" s="12" t="str">
        <f>'[1]V, inciso o) (OP)'!G17</f>
        <v>Salvador</v>
      </c>
      <c r="K19" s="12" t="str">
        <f>'[1]V, inciso o) (OP)'!H17</f>
        <v>Barragán</v>
      </c>
      <c r="L19" s="12" t="str">
        <f>'[1]V, inciso o) (OP)'!I17</f>
        <v>Fonseca</v>
      </c>
      <c r="M19" s="14" t="str">
        <f>'[1]V, inciso o) (OP)'!J17</f>
        <v>Construcciones y Edificaciones Bato, S.A. de C.V.  ZAP-0066</v>
      </c>
      <c r="N19" s="14" t="str">
        <f>'[1]V, inciso o) (OP)'!K17</f>
        <v>CEB961031DJ1</v>
      </c>
      <c r="O19" s="15">
        <f t="shared" si="0"/>
        <v>1245297.3500000001</v>
      </c>
      <c r="P19" s="15">
        <v>1184976.27</v>
      </c>
      <c r="Q19" s="12" t="s">
        <v>110</v>
      </c>
      <c r="R19" s="15">
        <f>O19/6297</f>
        <v>197.7604176592028</v>
      </c>
      <c r="S19" s="12" t="s">
        <v>42</v>
      </c>
      <c r="T19" s="17">
        <v>25642</v>
      </c>
      <c r="U19" s="14" t="s">
        <v>43</v>
      </c>
      <c r="V19" s="12" t="s">
        <v>44</v>
      </c>
      <c r="W19" s="13">
        <f>'[1]V, inciso o) (OP)'!AD17</f>
        <v>42388</v>
      </c>
      <c r="X19" s="13">
        <f>'[1]V, inciso o) (OP)'!AE17</f>
        <v>42429</v>
      </c>
      <c r="Y19" s="12" t="s">
        <v>74</v>
      </c>
      <c r="Z19" s="12" t="s">
        <v>75</v>
      </c>
      <c r="AA19" s="12" t="s">
        <v>76</v>
      </c>
      <c r="AB19" s="18" t="s">
        <v>1594</v>
      </c>
      <c r="AC19" s="12"/>
      <c r="AD19" s="14"/>
    </row>
    <row r="20" spans="1:30" ht="80.099999999999994" customHeight="1">
      <c r="A20" s="6">
        <v>4</v>
      </c>
      <c r="B20" s="12">
        <v>2016</v>
      </c>
      <c r="C20" s="12" t="s">
        <v>65</v>
      </c>
      <c r="D20" s="14" t="str">
        <f>'[1]V, inciso o) (OP)'!C18</f>
        <v>DOPI-MUN-RP-CONT-AD-004-2016</v>
      </c>
      <c r="E20" s="13">
        <f>'[1]V, inciso o) (OP)'!V18</f>
        <v>42413</v>
      </c>
      <c r="F20" s="14" t="str">
        <f>'[1]V, inciso o) (OP)'!AA18</f>
        <v>Reparación de muro de contención en el arroyo seco en el tramo de López Mateos a calle Corresponsales en la colonia Periodistas; Protección de canal pluvial a base de parapetos y estructura metálica en la calle Industria Textil esquina con calle Tarragona, en la colonia Altagracia; Reposición de losas de vialidad con concreto MR-42, construcción de banquetas, guarniciones y reparación de muro de mampostería, en la colonia Jardines del Centinela, municipio de Zapopan, Jalisco</v>
      </c>
      <c r="G20" s="14" t="s">
        <v>111</v>
      </c>
      <c r="H20" s="15">
        <f>'[1]V, inciso o) (OP)'!L18</f>
        <v>1029282.85</v>
      </c>
      <c r="I20" s="14" t="s">
        <v>112</v>
      </c>
      <c r="J20" s="12" t="str">
        <f>'[1]V, inciso o) (OP)'!G18</f>
        <v>Bernardo</v>
      </c>
      <c r="K20" s="12" t="str">
        <f>'[1]V, inciso o) (OP)'!H18</f>
        <v>Saenz</v>
      </c>
      <c r="L20" s="12" t="str">
        <f>'[1]V, inciso o) (OP)'!I18</f>
        <v>Barba</v>
      </c>
      <c r="M20" s="14" t="str">
        <f>'[1]V, inciso o) (OP)'!J18</f>
        <v>Grupo Edificador Mayab, S.A. de C.V. PCZ-032/2016</v>
      </c>
      <c r="N20" s="14" t="str">
        <f>'[1]V, inciso o) (OP)'!K18</f>
        <v>GEM070112PX8</v>
      </c>
      <c r="O20" s="15">
        <f t="shared" si="0"/>
        <v>1029282.85</v>
      </c>
      <c r="P20" s="15">
        <v>1029282.85</v>
      </c>
      <c r="Q20" s="12" t="s">
        <v>113</v>
      </c>
      <c r="R20" s="15">
        <f>O20/781</f>
        <v>1317.9037772087067</v>
      </c>
      <c r="S20" s="12" t="s">
        <v>42</v>
      </c>
      <c r="T20" s="17">
        <v>6339</v>
      </c>
      <c r="U20" s="14" t="s">
        <v>43</v>
      </c>
      <c r="V20" s="12" t="s">
        <v>44</v>
      </c>
      <c r="W20" s="13">
        <f>'[1]V, inciso o) (OP)'!AD18</f>
        <v>42415</v>
      </c>
      <c r="X20" s="13">
        <f>'[1]V, inciso o) (OP)'!AE18</f>
        <v>42484</v>
      </c>
      <c r="Y20" s="12" t="s">
        <v>90</v>
      </c>
      <c r="Z20" s="12" t="s">
        <v>91</v>
      </c>
      <c r="AA20" s="12" t="s">
        <v>92</v>
      </c>
      <c r="AB20" s="8" t="s">
        <v>1879</v>
      </c>
      <c r="AC20" s="14" t="s">
        <v>1350</v>
      </c>
      <c r="AD20" s="12"/>
    </row>
    <row r="21" spans="1:30" ht="80.099999999999994" customHeight="1">
      <c r="A21" s="5">
        <v>5</v>
      </c>
      <c r="B21" s="12">
        <v>2016</v>
      </c>
      <c r="C21" s="12" t="s">
        <v>65</v>
      </c>
      <c r="D21" s="14" t="str">
        <f>'[1]V, inciso o) (OP)'!C19</f>
        <v>DOPI-MUN-RP-IS-AD-005-2016</v>
      </c>
      <c r="E21" s="13">
        <f>'[1]V, inciso o) (OP)'!V19</f>
        <v>42420</v>
      </c>
      <c r="F21" s="14" t="str">
        <f>'[1]V, inciso o) (OP)'!AA19</f>
        <v>Rehabilitación de quirofanos, baños en el área de encamados, baños de recepción e impermeabilizaciones en azotea en la Cruz Verde Sur las Águilas, ubicada en Av. López Mateos y calle Cruz del Sur, en la colonia Las Águilas, municipio de Zapopan, Jalisco</v>
      </c>
      <c r="G21" s="14" t="s">
        <v>66</v>
      </c>
      <c r="H21" s="15">
        <f>'[1]V, inciso o) (OP)'!L19</f>
        <v>1480259.25</v>
      </c>
      <c r="I21" s="14" t="s">
        <v>114</v>
      </c>
      <c r="J21" s="12" t="str">
        <f>'[1]V, inciso o) (OP)'!G19</f>
        <v>Maria Teresa</v>
      </c>
      <c r="K21" s="12" t="str">
        <f>'[1]V, inciso o) (OP)'!H19</f>
        <v>Sánchez</v>
      </c>
      <c r="L21" s="12" t="str">
        <f>'[1]V, inciso o) (OP)'!I19</f>
        <v>Cabrera</v>
      </c>
      <c r="M21" s="14" t="str">
        <f>'[1]V, inciso o) (OP)'!J19</f>
        <v>Soluciones Integrales en Pavimentos de Guadalajara, S. A. de C. V. PCZ-012/2016</v>
      </c>
      <c r="N21" s="14" t="str">
        <f>'[1]V, inciso o) (OP)'!K19</f>
        <v>SIP070803JZ8</v>
      </c>
      <c r="O21" s="15">
        <f t="shared" si="0"/>
        <v>1480259.25</v>
      </c>
      <c r="P21" s="15">
        <v>1480062.03</v>
      </c>
      <c r="Q21" s="12" t="s">
        <v>115</v>
      </c>
      <c r="R21" s="15">
        <f>O21/850</f>
        <v>1741.4814705882352</v>
      </c>
      <c r="S21" s="12" t="s">
        <v>42</v>
      </c>
      <c r="T21" s="17">
        <v>279130</v>
      </c>
      <c r="U21" s="14" t="s">
        <v>43</v>
      </c>
      <c r="V21" s="12" t="s">
        <v>44</v>
      </c>
      <c r="W21" s="13">
        <f>'[1]V, inciso o) (OP)'!AD19</f>
        <v>42422</v>
      </c>
      <c r="X21" s="13">
        <f>'[1]V, inciso o) (OP)'!AE19</f>
        <v>42505</v>
      </c>
      <c r="Y21" s="12" t="s">
        <v>74</v>
      </c>
      <c r="Z21" s="12" t="s">
        <v>75</v>
      </c>
      <c r="AA21" s="12" t="s">
        <v>76</v>
      </c>
      <c r="AB21" s="16" t="s">
        <v>1578</v>
      </c>
      <c r="AC21" s="16"/>
      <c r="AD21" s="14"/>
    </row>
    <row r="22" spans="1:30" ht="80.099999999999994" customHeight="1">
      <c r="A22" s="5">
        <v>6</v>
      </c>
      <c r="B22" s="12">
        <v>2016</v>
      </c>
      <c r="C22" s="12" t="s">
        <v>65</v>
      </c>
      <c r="D22" s="14" t="str">
        <f>'[1]V, inciso o) (OP)'!C20</f>
        <v>DOPI-MUN-RP-IM-AD-006-2016</v>
      </c>
      <c r="E22" s="13">
        <f>'[1]V, inciso o) (OP)'!V20</f>
        <v>42420</v>
      </c>
      <c r="F22" s="14" t="str">
        <f>'[1]V, inciso o) (OP)'!AA20</f>
        <v>Reparación de bóvedas, reforzamiento de columnas de concreto, impermeabilización de azoteas, pintura interior en las instalaciones del DIF Nextipac, ubicado en la calle Venustiano Carranza esquina con calle Leona Vicario, en la localidad de Nextipac, municipio de Zapopan, Jalisco</v>
      </c>
      <c r="G22" s="14" t="s">
        <v>66</v>
      </c>
      <c r="H22" s="15">
        <f>'[1]V, inciso o) (OP)'!L20</f>
        <v>595635.78</v>
      </c>
      <c r="I22" s="14" t="s">
        <v>116</v>
      </c>
      <c r="J22" s="12" t="str">
        <f>'[1]V, inciso o) (OP)'!G20</f>
        <v xml:space="preserve">Leobardo </v>
      </c>
      <c r="K22" s="12" t="str">
        <f>'[1]V, inciso o) (OP)'!H20</f>
        <v>Preciado</v>
      </c>
      <c r="L22" s="12" t="str">
        <f>'[1]V, inciso o) (OP)'!I20</f>
        <v>Zepeda</v>
      </c>
      <c r="M22" s="14" t="str">
        <f>'[1]V, inciso o) (OP)'!J20</f>
        <v>Consorcio Constructor Adobes, S. A. de C. V. PCZ-004/2016</v>
      </c>
      <c r="N22" s="14" t="str">
        <f>'[1]V, inciso o) (OP)'!K20</f>
        <v>CCA971126QC9</v>
      </c>
      <c r="O22" s="15">
        <f t="shared" si="0"/>
        <v>595635.78</v>
      </c>
      <c r="P22" s="15">
        <v>594898.99</v>
      </c>
      <c r="Q22" s="12" t="s">
        <v>117</v>
      </c>
      <c r="R22" s="15">
        <f>O22/1007.23</f>
        <v>591.36024542557311</v>
      </c>
      <c r="S22" s="12" t="s">
        <v>42</v>
      </c>
      <c r="T22" s="17">
        <v>4008</v>
      </c>
      <c r="U22" s="14" t="s">
        <v>43</v>
      </c>
      <c r="V22" s="12" t="s">
        <v>44</v>
      </c>
      <c r="W22" s="13">
        <f>'[1]V, inciso o) (OP)'!AD20</f>
        <v>42422</v>
      </c>
      <c r="X22" s="13">
        <f>'[1]V, inciso o) (OP)'!AE20</f>
        <v>42484</v>
      </c>
      <c r="Y22" s="12" t="s">
        <v>118</v>
      </c>
      <c r="Z22" s="12" t="s">
        <v>119</v>
      </c>
      <c r="AA22" s="12" t="s">
        <v>120</v>
      </c>
      <c r="AB22" s="14" t="s">
        <v>1595</v>
      </c>
      <c r="AC22" s="16"/>
      <c r="AD22" s="14"/>
    </row>
    <row r="23" spans="1:30" ht="80.099999999999994" customHeight="1">
      <c r="A23" s="5">
        <v>7</v>
      </c>
      <c r="B23" s="12">
        <v>2016</v>
      </c>
      <c r="C23" s="12" t="s">
        <v>65</v>
      </c>
      <c r="D23" s="14" t="str">
        <f>'[1]V, inciso o) (OP)'!C21</f>
        <v>DOPI-MUN-RP-REST-AD-007-2016</v>
      </c>
      <c r="E23" s="13">
        <f>'[1]V, inciso o) (OP)'!V21</f>
        <v>42420</v>
      </c>
      <c r="F23" s="14" t="str">
        <f>'[1]V, inciso o) (OP)'!AA21</f>
        <v>Restauración y reforzamiento de balcón principal y construcción de rampa de ingreso para personas con discapacidad en la presidencia municipal, municipio de Zapopan, Jalisco</v>
      </c>
      <c r="G23" s="14" t="s">
        <v>111</v>
      </c>
      <c r="H23" s="15">
        <f>'[1]V, inciso o) (OP)'!L21</f>
        <v>680157.27</v>
      </c>
      <c r="I23" s="14" t="s">
        <v>121</v>
      </c>
      <c r="J23" s="12" t="str">
        <f>'[1]V, inciso o) (OP)'!G21</f>
        <v>Adriana Isabel</v>
      </c>
      <c r="K23" s="12" t="str">
        <f>'[1]V, inciso o) (OP)'!H21</f>
        <v>Montañez</v>
      </c>
      <c r="L23" s="12" t="str">
        <f>'[1]V, inciso o) (OP)'!I21</f>
        <v>Zamora</v>
      </c>
      <c r="M23" s="14" t="str">
        <f>'[1]V, inciso o) (OP)'!J21</f>
        <v>Grupo Constructor TZOE, S. A. de C. V. PCZ-008/2016</v>
      </c>
      <c r="N23" s="14" t="str">
        <f>'[1]V, inciso o) (OP)'!K21</f>
        <v>GCT12060233A</v>
      </c>
      <c r="O23" s="15">
        <f t="shared" si="0"/>
        <v>680157.27</v>
      </c>
      <c r="P23" s="19">
        <v>675663.23</v>
      </c>
      <c r="Q23" s="12" t="s">
        <v>122</v>
      </c>
      <c r="R23" s="15">
        <f>O23/12</f>
        <v>56679.772499999999</v>
      </c>
      <c r="S23" s="12" t="s">
        <v>123</v>
      </c>
      <c r="T23" s="17">
        <v>1243756</v>
      </c>
      <c r="U23" s="14" t="s">
        <v>43</v>
      </c>
      <c r="V23" s="12" t="s">
        <v>44</v>
      </c>
      <c r="W23" s="13">
        <f>'[1]V, inciso o) (OP)'!AD21</f>
        <v>42422</v>
      </c>
      <c r="X23" s="13">
        <f>'[1]V, inciso o) (OP)'!AE21</f>
        <v>42484</v>
      </c>
      <c r="Y23" s="12" t="s">
        <v>79</v>
      </c>
      <c r="Z23" s="12" t="s">
        <v>80</v>
      </c>
      <c r="AA23" s="12" t="s">
        <v>81</v>
      </c>
      <c r="AB23" s="18" t="s">
        <v>1579</v>
      </c>
      <c r="AC23" s="12"/>
      <c r="AD23" s="14"/>
    </row>
    <row r="24" spans="1:30" ht="80.099999999999994" customHeight="1">
      <c r="A24" s="5">
        <v>8</v>
      </c>
      <c r="B24" s="12">
        <v>2016</v>
      </c>
      <c r="C24" s="12" t="s">
        <v>65</v>
      </c>
      <c r="D24" s="14" t="str">
        <f>'[1]V, inciso o) (OP)'!C22</f>
        <v>DOPI-MUN-RP-PROY-AD-008-2016</v>
      </c>
      <c r="E24" s="13">
        <f>'[1]V, inciso o) (OP)'!V22</f>
        <v>42406</v>
      </c>
      <c r="F24" s="14" t="str">
        <f>'[1]V, inciso o) (OP)'!AA22</f>
        <v>Diagnóstico, diseño y proyectos estructurales de diferentes elementos del programa 2016 primera etapa, municipio de Zapopan, Jalisco.</v>
      </c>
      <c r="G24" s="14" t="s">
        <v>111</v>
      </c>
      <c r="H24" s="15">
        <f>'[1]V, inciso o) (OP)'!L22</f>
        <v>1135877.45</v>
      </c>
      <c r="I24" s="14" t="s">
        <v>1349</v>
      </c>
      <c r="J24" s="12" t="str">
        <f>'[1]V, inciso o) (OP)'!G22</f>
        <v>Ricardo</v>
      </c>
      <c r="K24" s="12" t="str">
        <f>'[1]V, inciso o) (OP)'!H22</f>
        <v>Haro</v>
      </c>
      <c r="L24" s="12" t="str">
        <f>'[1]V, inciso o) (OP)'!I22</f>
        <v>Bugarín</v>
      </c>
      <c r="M24" s="14" t="str">
        <f>'[1]V, inciso o) (OP)'!J22</f>
        <v>Central Edificaciones, S. A. de C. V. PCZ-020/2016</v>
      </c>
      <c r="N24" s="14" t="str">
        <f>'[1]V, inciso o) (OP)'!K22</f>
        <v>CED030514T47</v>
      </c>
      <c r="O24" s="15">
        <f t="shared" si="0"/>
        <v>1135877.45</v>
      </c>
      <c r="P24" s="15">
        <v>1135863.48</v>
      </c>
      <c r="Q24" s="12" t="s">
        <v>124</v>
      </c>
      <c r="R24" s="15" t="s">
        <v>124</v>
      </c>
      <c r="S24" s="12" t="s">
        <v>125</v>
      </c>
      <c r="T24" s="17" t="s">
        <v>125</v>
      </c>
      <c r="U24" s="14" t="s">
        <v>43</v>
      </c>
      <c r="V24" s="12" t="s">
        <v>44</v>
      </c>
      <c r="W24" s="13">
        <f>'[1]V, inciso o) (OP)'!AD22</f>
        <v>42408</v>
      </c>
      <c r="X24" s="13">
        <f>'[1]V, inciso o) (OP)'!AE22</f>
        <v>42551</v>
      </c>
      <c r="Y24" s="12" t="s">
        <v>126</v>
      </c>
      <c r="Z24" s="12" t="s">
        <v>127</v>
      </c>
      <c r="AA24" s="12" t="s">
        <v>128</v>
      </c>
      <c r="AB24" s="14" t="s">
        <v>48</v>
      </c>
      <c r="AC24" s="8" t="s">
        <v>1351</v>
      </c>
      <c r="AD24" s="8"/>
    </row>
    <row r="25" spans="1:30" ht="80.099999999999994" customHeight="1">
      <c r="A25" s="5">
        <v>9</v>
      </c>
      <c r="B25" s="12">
        <v>2016</v>
      </c>
      <c r="C25" s="12" t="s">
        <v>65</v>
      </c>
      <c r="D25" s="14" t="str">
        <f>'[1]V, inciso o) (OP)'!C23</f>
        <v>DOPI-MUN-RP-PROY-AD-009-2016</v>
      </c>
      <c r="E25" s="13">
        <f>'[1]V, inciso o) (OP)'!V23</f>
        <v>42406</v>
      </c>
      <c r="F25" s="14" t="str">
        <f>'[1]V, inciso o) (OP)'!AA23</f>
        <v>Diagnóstico, diseño y proyectos hidráulicos 2016, primera etapa, de diferentes redes de agua potable y alcantarillado, municipio de Zapopan Jalisco.</v>
      </c>
      <c r="G25" s="14" t="s">
        <v>111</v>
      </c>
      <c r="H25" s="15">
        <f>'[1]V, inciso o) (OP)'!L23</f>
        <v>1394867.44</v>
      </c>
      <c r="I25" s="14" t="s">
        <v>1349</v>
      </c>
      <c r="J25" s="12" t="str">
        <f>'[1]V, inciso o) (OP)'!G23</f>
        <v>Javier</v>
      </c>
      <c r="K25" s="12" t="str">
        <f>'[1]V, inciso o) (OP)'!H23</f>
        <v>Ávila</v>
      </c>
      <c r="L25" s="12" t="str">
        <f>'[1]V, inciso o) (OP)'!I23</f>
        <v>Flores</v>
      </c>
      <c r="M25" s="14" t="str">
        <f>'[1]V, inciso o) (OP)'!J23</f>
        <v>Savho Consultoría y Construcción, S. A. de C. V. PCZ-025/2016</v>
      </c>
      <c r="N25" s="14" t="str">
        <f>'[1]V, inciso o) (OP)'!K23</f>
        <v>SCC060622HZ3</v>
      </c>
      <c r="O25" s="15">
        <f t="shared" si="0"/>
        <v>1394867.44</v>
      </c>
      <c r="P25" s="15">
        <v>1394867.4100000001</v>
      </c>
      <c r="Q25" s="12" t="s">
        <v>124</v>
      </c>
      <c r="R25" s="15" t="s">
        <v>124</v>
      </c>
      <c r="S25" s="12" t="s">
        <v>125</v>
      </c>
      <c r="T25" s="17" t="s">
        <v>125</v>
      </c>
      <c r="U25" s="14" t="s">
        <v>43</v>
      </c>
      <c r="V25" s="12" t="s">
        <v>44</v>
      </c>
      <c r="W25" s="13">
        <f>'[1]V, inciso o) (OP)'!AD23</f>
        <v>42408</v>
      </c>
      <c r="X25" s="13">
        <f>'[1]V, inciso o) (OP)'!AE23</f>
        <v>42551</v>
      </c>
      <c r="Y25" s="12" t="s">
        <v>129</v>
      </c>
      <c r="Z25" s="12" t="s">
        <v>130</v>
      </c>
      <c r="AA25" s="12" t="s">
        <v>131</v>
      </c>
      <c r="AB25" s="14" t="s">
        <v>48</v>
      </c>
      <c r="AC25" s="14" t="s">
        <v>48</v>
      </c>
      <c r="AD25" s="14"/>
    </row>
    <row r="26" spans="1:30" ht="80.099999999999994" customHeight="1">
      <c r="A26" s="5">
        <v>10</v>
      </c>
      <c r="B26" s="12">
        <v>2016</v>
      </c>
      <c r="C26" s="12" t="s">
        <v>65</v>
      </c>
      <c r="D26" s="14" t="str">
        <f>'[1]V, inciso o) (OP)'!C24</f>
        <v>DOPI-MUN-RP-PROY-AD-010-2016</v>
      </c>
      <c r="E26" s="13">
        <f>'[1]V, inciso o) (OP)'!V24</f>
        <v>42406</v>
      </c>
      <c r="F26" s="14" t="str">
        <f>'[1]V, inciso o) (OP)'!AA24</f>
        <v>Diagnóstico, diseño y proyectos de infraestructura eléctrica 2016, primera etapa, municipio de Zapopan, Jalisco.</v>
      </c>
      <c r="G26" s="14" t="s">
        <v>111</v>
      </c>
      <c r="H26" s="15">
        <f>'[1]V, inciso o) (OP)'!L24</f>
        <v>1293527.1299999999</v>
      </c>
      <c r="I26" s="14" t="s">
        <v>1349</v>
      </c>
      <c r="J26" s="12" t="str">
        <f>'[1]V, inciso o) (OP)'!G24</f>
        <v>Héctor Alejandro</v>
      </c>
      <c r="K26" s="12" t="str">
        <f>'[1]V, inciso o) (OP)'!H24</f>
        <v>Ortega</v>
      </c>
      <c r="L26" s="12" t="str">
        <f>'[1]V, inciso o) (OP)'!I24</f>
        <v>Rosales</v>
      </c>
      <c r="M26" s="14" t="str">
        <f>'[1]V, inciso o) (OP)'!J24</f>
        <v>IME Servicios y Suministros, S. A. de C. V. PCZ-007/2016</v>
      </c>
      <c r="N26" s="14" t="str">
        <f>'[1]V, inciso o) (OP)'!K24</f>
        <v>ISS920330811</v>
      </c>
      <c r="O26" s="15">
        <f t="shared" si="0"/>
        <v>1293527.1299999999</v>
      </c>
      <c r="P26" s="12" t="s">
        <v>48</v>
      </c>
      <c r="Q26" s="12" t="s">
        <v>124</v>
      </c>
      <c r="R26" s="15" t="s">
        <v>124</v>
      </c>
      <c r="S26" s="12" t="s">
        <v>125</v>
      </c>
      <c r="T26" s="17" t="s">
        <v>125</v>
      </c>
      <c r="U26" s="14" t="s">
        <v>43</v>
      </c>
      <c r="V26" s="12" t="s">
        <v>44</v>
      </c>
      <c r="W26" s="13">
        <f>'[1]V, inciso o) (OP)'!AD24</f>
        <v>42408</v>
      </c>
      <c r="X26" s="13">
        <f>'[1]V, inciso o) (OP)'!AE24</f>
        <v>42551</v>
      </c>
      <c r="Y26" s="12" t="s">
        <v>132</v>
      </c>
      <c r="Z26" s="12" t="s">
        <v>133</v>
      </c>
      <c r="AA26" s="12" t="s">
        <v>134</v>
      </c>
      <c r="AB26" s="14" t="s">
        <v>1596</v>
      </c>
      <c r="AC26" s="18"/>
      <c r="AD26" s="14"/>
    </row>
    <row r="27" spans="1:30" ht="80.099999999999994" customHeight="1">
      <c r="A27" s="5">
        <v>11</v>
      </c>
      <c r="B27" s="12">
        <v>2016</v>
      </c>
      <c r="C27" s="12" t="s">
        <v>65</v>
      </c>
      <c r="D27" s="14" t="str">
        <f>'[1]V, inciso o) (OP)'!C25</f>
        <v>DOPI-MUN-RP-PROY-AD-011-2016</v>
      </c>
      <c r="E27" s="13">
        <f>'[1]V, inciso o) (OP)'!V25</f>
        <v>42406</v>
      </c>
      <c r="F27" s="14" t="str">
        <f>'[1]V, inciso o) (OP)'!AA25</f>
        <v>Control de calidad de diferentes obras 2016 del municipio de Zapopan, Jalisco, frente 1.</v>
      </c>
      <c r="G27" s="14" t="s">
        <v>111</v>
      </c>
      <c r="H27" s="15">
        <f>'[1]V, inciso o) (OP)'!L25</f>
        <v>1456436.78</v>
      </c>
      <c r="I27" s="14" t="s">
        <v>1349</v>
      </c>
      <c r="J27" s="12" t="str">
        <f>'[1]V, inciso o) (OP)'!G25</f>
        <v xml:space="preserve">José </v>
      </c>
      <c r="K27" s="12" t="str">
        <f>'[1]V, inciso o) (OP)'!H25</f>
        <v>Guillén</v>
      </c>
      <c r="L27" s="12" t="str">
        <f>'[1]V, inciso o) (OP)'!I25</f>
        <v>Díaz</v>
      </c>
      <c r="M27" s="14" t="str">
        <f>'[1]V, inciso o) (OP)'!J25</f>
        <v>Servicios Profesionales para la Construcción de Occidente, S. A. de C. V. PCZ-028/2016</v>
      </c>
      <c r="N27" s="14" t="str">
        <f>'[1]V, inciso o) (OP)'!K25</f>
        <v>SPC050127BR0</v>
      </c>
      <c r="O27" s="15">
        <f t="shared" si="0"/>
        <v>1456436.78</v>
      </c>
      <c r="P27" s="15">
        <v>1452753.17</v>
      </c>
      <c r="Q27" s="12" t="s">
        <v>124</v>
      </c>
      <c r="R27" s="15" t="s">
        <v>124</v>
      </c>
      <c r="S27" s="12" t="s">
        <v>125</v>
      </c>
      <c r="T27" s="17" t="s">
        <v>125</v>
      </c>
      <c r="U27" s="14" t="s">
        <v>43</v>
      </c>
      <c r="V27" s="12" t="s">
        <v>44</v>
      </c>
      <c r="W27" s="13">
        <f>'[1]V, inciso o) (OP)'!AD25</f>
        <v>42408</v>
      </c>
      <c r="X27" s="13">
        <f>'[1]V, inciso o) (OP)'!AE25</f>
        <v>42735</v>
      </c>
      <c r="Y27" s="12" t="s">
        <v>135</v>
      </c>
      <c r="Z27" s="12" t="s">
        <v>85</v>
      </c>
      <c r="AA27" s="12" t="s">
        <v>136</v>
      </c>
      <c r="AB27" s="14" t="s">
        <v>1597</v>
      </c>
      <c r="AC27" s="18"/>
      <c r="AD27" s="14"/>
    </row>
    <row r="28" spans="1:30" ht="80.099999999999994" customHeight="1">
      <c r="A28" s="5">
        <v>12</v>
      </c>
      <c r="B28" s="12">
        <v>2016</v>
      </c>
      <c r="C28" s="12" t="s">
        <v>65</v>
      </c>
      <c r="D28" s="14" t="str">
        <f>'[1]V, inciso o) (OP)'!C26</f>
        <v>DOPI-MUN-RP-PROY-AD-012-2016</v>
      </c>
      <c r="E28" s="13">
        <f>'[1]V, inciso o) (OP)'!V26</f>
        <v>42406</v>
      </c>
      <c r="F28" s="14" t="str">
        <f>'[1]V, inciso o) (OP)'!AA26</f>
        <v>Control de calidad de diferentes obras 2016 del municipio de Zapopan, Jalisco, frente 2.</v>
      </c>
      <c r="G28" s="14" t="s">
        <v>111</v>
      </c>
      <c r="H28" s="15">
        <f>'[1]V, inciso o) (OP)'!L26</f>
        <v>1528326.3</v>
      </c>
      <c r="I28" s="14" t="s">
        <v>1349</v>
      </c>
      <c r="J28" s="12" t="str">
        <f>'[1]V, inciso o) (OP)'!G26</f>
        <v>José Alejandro</v>
      </c>
      <c r="K28" s="12" t="str">
        <f>'[1]V, inciso o) (OP)'!H26</f>
        <v>Alva</v>
      </c>
      <c r="L28" s="12" t="str">
        <f>'[1]V, inciso o) (OP)'!I26</f>
        <v>Delgado</v>
      </c>
      <c r="M28" s="14" t="str">
        <f>'[1]V, inciso o) (OP)'!J26</f>
        <v>Servicios de Obras Civiles Serco, S. A. de C. V. PCZ-035/2016</v>
      </c>
      <c r="N28" s="14" t="str">
        <f>'[1]V, inciso o) (OP)'!K26</f>
        <v>SOC150806E69</v>
      </c>
      <c r="O28" s="15">
        <f t="shared" si="0"/>
        <v>1528326.3</v>
      </c>
      <c r="P28" s="15">
        <v>1528197.9</v>
      </c>
      <c r="Q28" s="12" t="s">
        <v>124</v>
      </c>
      <c r="R28" s="15" t="s">
        <v>124</v>
      </c>
      <c r="S28" s="12" t="s">
        <v>125</v>
      </c>
      <c r="T28" s="17" t="s">
        <v>125</v>
      </c>
      <c r="U28" s="14" t="s">
        <v>43</v>
      </c>
      <c r="V28" s="12" t="s">
        <v>44</v>
      </c>
      <c r="W28" s="13">
        <f>'[1]V, inciso o) (OP)'!AD26</f>
        <v>42408</v>
      </c>
      <c r="X28" s="13">
        <f>'[1]V, inciso o) (OP)'!AE26</f>
        <v>42735</v>
      </c>
      <c r="Y28" s="12" t="s">
        <v>135</v>
      </c>
      <c r="Z28" s="12" t="s">
        <v>85</v>
      </c>
      <c r="AA28" s="12" t="s">
        <v>136</v>
      </c>
      <c r="AB28" s="16" t="s">
        <v>1580</v>
      </c>
      <c r="AC28" s="16"/>
      <c r="AD28" s="14"/>
    </row>
    <row r="29" spans="1:30" ht="80.099999999999994" customHeight="1">
      <c r="A29" s="5">
        <v>13</v>
      </c>
      <c r="B29" s="12">
        <v>2016</v>
      </c>
      <c r="C29" s="12" t="s">
        <v>65</v>
      </c>
      <c r="D29" s="14" t="str">
        <f>'[1]V, inciso o) (OP)'!C27</f>
        <v>DOPI-MUN-RP-PROY-AD-013-2016</v>
      </c>
      <c r="E29" s="13">
        <f>'[1]V, inciso o) (OP)'!V27</f>
        <v>42406</v>
      </c>
      <c r="F29" s="14" t="str">
        <f>'[1]V, inciso o) (OP)'!AA27</f>
        <v>Estudios de mecánica de suelos y diseño de pavimentos de diferentes obras 2016, primera etapa, del municipio de Zapopan, Jalisco.</v>
      </c>
      <c r="G29" s="14" t="s">
        <v>111</v>
      </c>
      <c r="H29" s="15">
        <f>'[1]V, inciso o) (OP)'!L27</f>
        <v>1201315.48</v>
      </c>
      <c r="I29" s="14" t="s">
        <v>1349</v>
      </c>
      <c r="J29" s="12" t="str">
        <f>'[1]V, inciso o) (OP)'!G27</f>
        <v>Héctor Hugo</v>
      </c>
      <c r="K29" s="12" t="str">
        <f>'[1]V, inciso o) (OP)'!H27</f>
        <v>Guillén</v>
      </c>
      <c r="L29" s="12" t="str">
        <f>'[1]V, inciso o) (OP)'!I27</f>
        <v>Guerrero</v>
      </c>
      <c r="M29" s="14" t="str">
        <f>'[1]V, inciso o) (OP)'!J27</f>
        <v>Construdimensión, S.A. de C.V. PCZ-018/2016</v>
      </c>
      <c r="N29" s="14" t="str">
        <f>'[1]V, inciso o) (OP)'!K27</f>
        <v>CON090306I19</v>
      </c>
      <c r="O29" s="15">
        <f t="shared" si="0"/>
        <v>1201315.48</v>
      </c>
      <c r="P29" s="15">
        <v>1199243.8799999999</v>
      </c>
      <c r="Q29" s="12" t="s">
        <v>124</v>
      </c>
      <c r="R29" s="15" t="s">
        <v>124</v>
      </c>
      <c r="S29" s="12" t="s">
        <v>125</v>
      </c>
      <c r="T29" s="17" t="s">
        <v>125</v>
      </c>
      <c r="U29" s="14" t="s">
        <v>43</v>
      </c>
      <c r="V29" s="12" t="s">
        <v>44</v>
      </c>
      <c r="W29" s="13">
        <f>'[1]V, inciso o) (OP)'!AD27</f>
        <v>42408</v>
      </c>
      <c r="X29" s="13">
        <f>'[1]V, inciso o) (OP)'!AE27</f>
        <v>42551</v>
      </c>
      <c r="Y29" s="12" t="s">
        <v>135</v>
      </c>
      <c r="Z29" s="12" t="s">
        <v>85</v>
      </c>
      <c r="AA29" s="12" t="s">
        <v>136</v>
      </c>
      <c r="AB29" s="14" t="s">
        <v>1598</v>
      </c>
      <c r="AC29" s="8" t="s">
        <v>1352</v>
      </c>
      <c r="AD29" s="12"/>
    </row>
    <row r="30" spans="1:30" ht="80.099999999999994" customHeight="1">
      <c r="A30" s="5">
        <v>14</v>
      </c>
      <c r="B30" s="12">
        <v>2016</v>
      </c>
      <c r="C30" s="12" t="s">
        <v>65</v>
      </c>
      <c r="D30" s="14" t="str">
        <f>'[1]V, inciso o) (OP)'!C28</f>
        <v>DOPI-MUN-RP-PROY-AD-014-2016</v>
      </c>
      <c r="E30" s="13">
        <f>'[1]V, inciso o) (OP)'!V28</f>
        <v>42406</v>
      </c>
      <c r="F30" s="14" t="str">
        <f>'[1]V, inciso o) (OP)'!AA28</f>
        <v>Estudios básicos topográficos para diferentes obras 2016, primera etapa, del municipio de Zapopan, Jalisco.</v>
      </c>
      <c r="G30" s="14" t="s">
        <v>111</v>
      </c>
      <c r="H30" s="15">
        <f>'[1]V, inciso o) (OP)'!L28</f>
        <v>1385659.75</v>
      </c>
      <c r="I30" s="14" t="s">
        <v>1349</v>
      </c>
      <c r="J30" s="12" t="str">
        <f>'[1]V, inciso o) (OP)'!G28</f>
        <v>Gabriel</v>
      </c>
      <c r="K30" s="12" t="str">
        <f>'[1]V, inciso o) (OP)'!H28</f>
        <v>Franco</v>
      </c>
      <c r="L30" s="12" t="str">
        <f>'[1]V, inciso o) (OP)'!I28</f>
        <v>Alatorre</v>
      </c>
      <c r="M30" s="14" t="str">
        <f>'[1]V, inciso o) (OP)'!J28</f>
        <v>Constructora de Occidente MS S. A. de C. V. PCZ-038/2016</v>
      </c>
      <c r="N30" s="14" t="str">
        <f>'[1]V, inciso o) (OP)'!K28</f>
        <v>COM141015F48</v>
      </c>
      <c r="O30" s="15">
        <f t="shared" si="0"/>
        <v>1385659.75</v>
      </c>
      <c r="P30" s="15">
        <v>1385659.6500000001</v>
      </c>
      <c r="Q30" s="12" t="s">
        <v>124</v>
      </c>
      <c r="R30" s="15" t="s">
        <v>124</v>
      </c>
      <c r="S30" s="12" t="s">
        <v>125</v>
      </c>
      <c r="T30" s="17" t="s">
        <v>125</v>
      </c>
      <c r="U30" s="14" t="s">
        <v>43</v>
      </c>
      <c r="V30" s="12" t="s">
        <v>44</v>
      </c>
      <c r="W30" s="13">
        <f>'[1]V, inciso o) (OP)'!AD28</f>
        <v>42408</v>
      </c>
      <c r="X30" s="13">
        <f>'[1]V, inciso o) (OP)'!AE28</f>
        <v>42551</v>
      </c>
      <c r="Y30" s="12" t="s">
        <v>137</v>
      </c>
      <c r="Z30" s="12" t="s">
        <v>138</v>
      </c>
      <c r="AA30" s="12" t="s">
        <v>139</v>
      </c>
      <c r="AB30" s="8" t="s">
        <v>1880</v>
      </c>
      <c r="AC30" s="14" t="s">
        <v>48</v>
      </c>
      <c r="AD30" s="14"/>
    </row>
    <row r="31" spans="1:30" ht="80.099999999999994" customHeight="1">
      <c r="A31" s="6">
        <v>15</v>
      </c>
      <c r="B31" s="12">
        <v>2016</v>
      </c>
      <c r="C31" s="12" t="s">
        <v>65</v>
      </c>
      <c r="D31" s="14" t="str">
        <f>'[1]V, inciso o) (OP)'!C29</f>
        <v>DOPI-MUN-RP-EP-AD-015-2016</v>
      </c>
      <c r="E31" s="13">
        <f>'[1]V, inciso o) (OP)'!V29</f>
        <v>42413</v>
      </c>
      <c r="F31" s="14" t="str">
        <f>'[1]V, inciso o) (OP)'!AA29</f>
        <v>Demoliciones, rellenos, construcción de muros, banquetas, estacionamiento, cerca perimetral, banquetas y puente en el parque El Polvorin II, municipio de Zapopan, Jalisco.</v>
      </c>
      <c r="G31" s="14" t="s">
        <v>66</v>
      </c>
      <c r="H31" s="15">
        <f>'[1]V, inciso o) (OP)'!L29</f>
        <v>1547300.2</v>
      </c>
      <c r="I31" s="14" t="s">
        <v>140</v>
      </c>
      <c r="J31" s="12" t="str">
        <f>'[1]V, inciso o) (OP)'!G29</f>
        <v>Hugo Alejandro</v>
      </c>
      <c r="K31" s="12" t="str">
        <f>'[1]V, inciso o) (OP)'!H29</f>
        <v>Almanzor</v>
      </c>
      <c r="L31" s="12" t="str">
        <f>'[1]V, inciso o) (OP)'!I29</f>
        <v>González</v>
      </c>
      <c r="M31" s="14" t="str">
        <f>'[1]V, inciso o) (OP)'!J29</f>
        <v>AL-Mansur Construcciones, S.A. de C.V. PCZ-015/2016</v>
      </c>
      <c r="N31" s="14" t="str">
        <f>'[1]V, inciso o) (OP)'!K29</f>
        <v>ACO0806185Z3</v>
      </c>
      <c r="O31" s="15">
        <f t="shared" si="0"/>
        <v>1547300.2</v>
      </c>
      <c r="P31" s="15">
        <v>1547263.27</v>
      </c>
      <c r="Q31" s="12" t="s">
        <v>141</v>
      </c>
      <c r="R31" s="15">
        <f>O31/2546.52</f>
        <v>607.61360601919478</v>
      </c>
      <c r="S31" s="12" t="s">
        <v>42</v>
      </c>
      <c r="T31" s="17">
        <v>2614</v>
      </c>
      <c r="U31" s="14" t="s">
        <v>43</v>
      </c>
      <c r="V31" s="12" t="s">
        <v>44</v>
      </c>
      <c r="W31" s="13">
        <f>'[1]V, inciso o) (OP)'!AD29</f>
        <v>42415</v>
      </c>
      <c r="X31" s="13">
        <f>'[1]V, inciso o) (OP)'!AE29</f>
        <v>42475</v>
      </c>
      <c r="Y31" s="12" t="s">
        <v>118</v>
      </c>
      <c r="Z31" s="12" t="s">
        <v>142</v>
      </c>
      <c r="AA31" s="12" t="s">
        <v>134</v>
      </c>
      <c r="AB31" s="14" t="s">
        <v>1599</v>
      </c>
      <c r="AC31" s="18"/>
      <c r="AD31" s="14"/>
    </row>
    <row r="32" spans="1:30" ht="80.099999999999994" customHeight="1">
      <c r="A32" s="6">
        <v>16</v>
      </c>
      <c r="B32" s="12">
        <v>2016</v>
      </c>
      <c r="C32" s="14" t="s">
        <v>143</v>
      </c>
      <c r="D32" s="14" t="s">
        <v>144</v>
      </c>
      <c r="E32" s="13">
        <v>42494</v>
      </c>
      <c r="F32" s="14" t="s">
        <v>145</v>
      </c>
      <c r="G32" s="14" t="s">
        <v>66</v>
      </c>
      <c r="H32" s="15">
        <v>3199054.38</v>
      </c>
      <c r="I32" s="14" t="s">
        <v>146</v>
      </c>
      <c r="J32" s="12" t="s">
        <v>132</v>
      </c>
      <c r="K32" s="12" t="s">
        <v>147</v>
      </c>
      <c r="L32" s="12" t="s">
        <v>148</v>
      </c>
      <c r="M32" s="14" t="s">
        <v>149</v>
      </c>
      <c r="N32" s="12" t="s">
        <v>150</v>
      </c>
      <c r="O32" s="15">
        <f t="shared" si="0"/>
        <v>3199054.38</v>
      </c>
      <c r="P32" s="15">
        <v>3059470.45</v>
      </c>
      <c r="Q32" s="12" t="s">
        <v>151</v>
      </c>
      <c r="R32" s="15">
        <f>O32/525</f>
        <v>6093.436914285714</v>
      </c>
      <c r="S32" s="12" t="s">
        <v>42</v>
      </c>
      <c r="T32" s="17">
        <v>2614</v>
      </c>
      <c r="U32" s="14" t="s">
        <v>43</v>
      </c>
      <c r="V32" s="12" t="s">
        <v>44</v>
      </c>
      <c r="W32" s="13">
        <v>42495</v>
      </c>
      <c r="X32" s="13">
        <v>42580</v>
      </c>
      <c r="Y32" s="12" t="s">
        <v>152</v>
      </c>
      <c r="Z32" s="12" t="s">
        <v>153</v>
      </c>
      <c r="AA32" s="12" t="s">
        <v>154</v>
      </c>
      <c r="AB32" s="18" t="s">
        <v>1659</v>
      </c>
      <c r="AC32" s="14" t="s">
        <v>48</v>
      </c>
      <c r="AD32" s="14"/>
    </row>
    <row r="33" spans="1:30" ht="80.099999999999994" customHeight="1">
      <c r="A33" s="5">
        <v>17</v>
      </c>
      <c r="B33" s="12">
        <v>2016</v>
      </c>
      <c r="C33" s="14" t="s">
        <v>143</v>
      </c>
      <c r="D33" s="14" t="s">
        <v>155</v>
      </c>
      <c r="E33" s="13">
        <v>42494</v>
      </c>
      <c r="F33" s="14" t="s">
        <v>156</v>
      </c>
      <c r="G33" s="14" t="s">
        <v>111</v>
      </c>
      <c r="H33" s="15">
        <v>3490706.8</v>
      </c>
      <c r="I33" s="14" t="s">
        <v>157</v>
      </c>
      <c r="J33" s="12" t="s">
        <v>158</v>
      </c>
      <c r="K33" s="12" t="s">
        <v>159</v>
      </c>
      <c r="L33" s="12" t="s">
        <v>131</v>
      </c>
      <c r="M33" s="14" t="s">
        <v>160</v>
      </c>
      <c r="N33" s="12" t="s">
        <v>161</v>
      </c>
      <c r="O33" s="15">
        <f t="shared" si="0"/>
        <v>3490706.8</v>
      </c>
      <c r="P33" s="15">
        <f>O33</f>
        <v>3490706.8</v>
      </c>
      <c r="Q33" s="12" t="s">
        <v>124</v>
      </c>
      <c r="R33" s="12" t="s">
        <v>124</v>
      </c>
      <c r="S33" s="12" t="s">
        <v>125</v>
      </c>
      <c r="T33" s="12" t="s">
        <v>125</v>
      </c>
      <c r="U33" s="14" t="s">
        <v>43</v>
      </c>
      <c r="V33" s="12" t="s">
        <v>44</v>
      </c>
      <c r="W33" s="13">
        <v>42495</v>
      </c>
      <c r="X33" s="13">
        <v>42580</v>
      </c>
      <c r="Y33" s="12" t="s">
        <v>162</v>
      </c>
      <c r="Z33" s="12" t="s">
        <v>163</v>
      </c>
      <c r="AA33" s="12" t="s">
        <v>164</v>
      </c>
      <c r="AB33" s="14" t="s">
        <v>1600</v>
      </c>
      <c r="AC33" s="18"/>
      <c r="AD33" s="14"/>
    </row>
    <row r="34" spans="1:30" ht="80.099999999999994" customHeight="1">
      <c r="A34" s="5">
        <v>19</v>
      </c>
      <c r="B34" s="12">
        <v>2016</v>
      </c>
      <c r="C34" s="14" t="s">
        <v>143</v>
      </c>
      <c r="D34" s="14" t="s">
        <v>165</v>
      </c>
      <c r="E34" s="13">
        <v>42494</v>
      </c>
      <c r="F34" s="14" t="s">
        <v>166</v>
      </c>
      <c r="G34" s="14" t="s">
        <v>66</v>
      </c>
      <c r="H34" s="15">
        <v>4875705.4800000004</v>
      </c>
      <c r="I34" s="14" t="s">
        <v>167</v>
      </c>
      <c r="J34" s="12" t="s">
        <v>168</v>
      </c>
      <c r="K34" s="12" t="s">
        <v>169</v>
      </c>
      <c r="L34" s="12" t="s">
        <v>170</v>
      </c>
      <c r="M34" s="14" t="s">
        <v>171</v>
      </c>
      <c r="N34" s="12" t="s">
        <v>172</v>
      </c>
      <c r="O34" s="15">
        <f t="shared" si="0"/>
        <v>4875705.4800000004</v>
      </c>
      <c r="P34" s="15">
        <v>2807000.49</v>
      </c>
      <c r="Q34" s="12" t="s">
        <v>124</v>
      </c>
      <c r="R34" s="12" t="s">
        <v>124</v>
      </c>
      <c r="S34" s="12" t="s">
        <v>125</v>
      </c>
      <c r="T34" s="12" t="s">
        <v>125</v>
      </c>
      <c r="U34" s="14" t="s">
        <v>43</v>
      </c>
      <c r="V34" s="12" t="s">
        <v>44</v>
      </c>
      <c r="W34" s="13">
        <v>42495</v>
      </c>
      <c r="X34" s="13">
        <v>42580</v>
      </c>
      <c r="Y34" s="12" t="s">
        <v>173</v>
      </c>
      <c r="Z34" s="12" t="s">
        <v>174</v>
      </c>
      <c r="AA34" s="12" t="s">
        <v>175</v>
      </c>
      <c r="AB34" s="16" t="s">
        <v>1581</v>
      </c>
      <c r="AC34" s="16"/>
      <c r="AD34" s="14"/>
    </row>
    <row r="35" spans="1:30" ht="80.099999999999994" customHeight="1">
      <c r="A35" s="5">
        <v>20</v>
      </c>
      <c r="B35" s="12">
        <v>2016</v>
      </c>
      <c r="C35" s="14" t="s">
        <v>31</v>
      </c>
      <c r="D35" s="14" t="s">
        <v>176</v>
      </c>
      <c r="E35" s="13">
        <v>42494</v>
      </c>
      <c r="F35" s="14" t="s">
        <v>177</v>
      </c>
      <c r="G35" s="14" t="s">
        <v>66</v>
      </c>
      <c r="H35" s="15">
        <v>2407303.62</v>
      </c>
      <c r="I35" s="14" t="s">
        <v>178</v>
      </c>
      <c r="J35" s="12" t="s">
        <v>179</v>
      </c>
      <c r="K35" s="12" t="s">
        <v>180</v>
      </c>
      <c r="L35" s="12" t="s">
        <v>181</v>
      </c>
      <c r="M35" s="14" t="s">
        <v>182</v>
      </c>
      <c r="N35" s="12" t="s">
        <v>183</v>
      </c>
      <c r="O35" s="15">
        <f t="shared" si="0"/>
        <v>2407303.62</v>
      </c>
      <c r="P35" s="15">
        <v>2407303.5</v>
      </c>
      <c r="Q35" s="12" t="s">
        <v>184</v>
      </c>
      <c r="R35" s="15">
        <f>O35/1943</f>
        <v>1238.9622336592897</v>
      </c>
      <c r="S35" s="12" t="s">
        <v>42</v>
      </c>
      <c r="T35" s="17">
        <v>8735</v>
      </c>
      <c r="U35" s="14" t="s">
        <v>43</v>
      </c>
      <c r="V35" s="12" t="s">
        <v>44</v>
      </c>
      <c r="W35" s="13">
        <v>42495</v>
      </c>
      <c r="X35" s="13">
        <v>42560</v>
      </c>
      <c r="Y35" s="12" t="s">
        <v>185</v>
      </c>
      <c r="Z35" s="12" t="s">
        <v>186</v>
      </c>
      <c r="AA35" s="12" t="s">
        <v>92</v>
      </c>
      <c r="AB35" s="14" t="s">
        <v>1601</v>
      </c>
      <c r="AC35" s="8" t="s">
        <v>1353</v>
      </c>
      <c r="AD35" s="12"/>
    </row>
    <row r="36" spans="1:30" ht="80.099999999999994" customHeight="1">
      <c r="A36" s="5">
        <v>21</v>
      </c>
      <c r="B36" s="12">
        <v>2016</v>
      </c>
      <c r="C36" s="14" t="s">
        <v>31</v>
      </c>
      <c r="D36" s="14" t="s">
        <v>187</v>
      </c>
      <c r="E36" s="13">
        <v>42494</v>
      </c>
      <c r="F36" s="14" t="s">
        <v>188</v>
      </c>
      <c r="G36" s="14" t="s">
        <v>66</v>
      </c>
      <c r="H36" s="15">
        <v>3751058.09</v>
      </c>
      <c r="I36" s="14" t="s">
        <v>189</v>
      </c>
      <c r="J36" s="12" t="s">
        <v>190</v>
      </c>
      <c r="K36" s="12" t="s">
        <v>85</v>
      </c>
      <c r="L36" s="12" t="s">
        <v>191</v>
      </c>
      <c r="M36" s="14" t="s">
        <v>192</v>
      </c>
      <c r="N36" s="12" t="s">
        <v>193</v>
      </c>
      <c r="O36" s="15">
        <f t="shared" si="0"/>
        <v>3751058.09</v>
      </c>
      <c r="P36" s="15">
        <v>3751058.08</v>
      </c>
      <c r="Q36" s="12" t="s">
        <v>194</v>
      </c>
      <c r="R36" s="15">
        <f>O36/3528</f>
        <v>1063.2250821995465</v>
      </c>
      <c r="S36" s="12" t="s">
        <v>42</v>
      </c>
      <c r="T36" s="17">
        <v>42592</v>
      </c>
      <c r="U36" s="14" t="s">
        <v>43</v>
      </c>
      <c r="V36" s="12" t="s">
        <v>44</v>
      </c>
      <c r="W36" s="13">
        <v>42495</v>
      </c>
      <c r="X36" s="13">
        <v>42560</v>
      </c>
      <c r="Y36" s="12" t="s">
        <v>195</v>
      </c>
      <c r="Z36" s="12" t="s">
        <v>196</v>
      </c>
      <c r="AA36" s="12" t="s">
        <v>197</v>
      </c>
      <c r="AB36" s="14" t="s">
        <v>1602</v>
      </c>
      <c r="AC36" s="18"/>
      <c r="AD36" s="12"/>
    </row>
    <row r="37" spans="1:30" ht="80.099999999999994" customHeight="1">
      <c r="A37" s="5">
        <v>22</v>
      </c>
      <c r="B37" s="12">
        <v>2016</v>
      </c>
      <c r="C37" s="14" t="s">
        <v>31</v>
      </c>
      <c r="D37" s="14" t="s">
        <v>198</v>
      </c>
      <c r="E37" s="13">
        <v>42494</v>
      </c>
      <c r="F37" s="14" t="s">
        <v>199</v>
      </c>
      <c r="G37" s="14" t="s">
        <v>66</v>
      </c>
      <c r="H37" s="15">
        <v>9061398</v>
      </c>
      <c r="I37" s="14" t="s">
        <v>200</v>
      </c>
      <c r="J37" s="12" t="s">
        <v>201</v>
      </c>
      <c r="K37" s="12" t="s">
        <v>202</v>
      </c>
      <c r="L37" s="12" t="s">
        <v>203</v>
      </c>
      <c r="M37" s="14" t="s">
        <v>204</v>
      </c>
      <c r="N37" s="12" t="s">
        <v>205</v>
      </c>
      <c r="O37" s="15">
        <f t="shared" si="0"/>
        <v>9061398</v>
      </c>
      <c r="P37" s="15">
        <v>9061387.8000000007</v>
      </c>
      <c r="Q37" s="12" t="s">
        <v>206</v>
      </c>
      <c r="R37" s="15">
        <f>O37/45550</f>
        <v>198.93299670691547</v>
      </c>
      <c r="S37" s="12" t="s">
        <v>42</v>
      </c>
      <c r="T37" s="17">
        <v>11135</v>
      </c>
      <c r="U37" s="14" t="s">
        <v>43</v>
      </c>
      <c r="V37" s="12" t="s">
        <v>44</v>
      </c>
      <c r="W37" s="13">
        <v>42495</v>
      </c>
      <c r="X37" s="13">
        <v>42560</v>
      </c>
      <c r="Y37" s="12" t="s">
        <v>207</v>
      </c>
      <c r="Z37" s="12" t="s">
        <v>208</v>
      </c>
      <c r="AA37" s="12" t="s">
        <v>47</v>
      </c>
      <c r="AB37" s="16" t="s">
        <v>1603</v>
      </c>
      <c r="AC37" s="8" t="s">
        <v>1354</v>
      </c>
      <c r="AD37" s="12"/>
    </row>
    <row r="38" spans="1:30" ht="80.099999999999994" customHeight="1">
      <c r="A38" s="5">
        <v>23</v>
      </c>
      <c r="B38" s="12">
        <v>2016</v>
      </c>
      <c r="C38" s="14" t="s">
        <v>31</v>
      </c>
      <c r="D38" s="14" t="s">
        <v>209</v>
      </c>
      <c r="E38" s="13">
        <v>42494</v>
      </c>
      <c r="F38" s="14" t="s">
        <v>210</v>
      </c>
      <c r="G38" s="14" t="s">
        <v>66</v>
      </c>
      <c r="H38" s="15">
        <v>5488803.8799999999</v>
      </c>
      <c r="I38" s="14" t="s">
        <v>211</v>
      </c>
      <c r="J38" s="12" t="s">
        <v>212</v>
      </c>
      <c r="K38" s="12" t="s">
        <v>213</v>
      </c>
      <c r="L38" s="12" t="s">
        <v>214</v>
      </c>
      <c r="M38" s="14" t="s">
        <v>215</v>
      </c>
      <c r="N38" s="12" t="s">
        <v>216</v>
      </c>
      <c r="O38" s="15">
        <f t="shared" si="0"/>
        <v>5488803.8799999999</v>
      </c>
      <c r="P38" s="15">
        <v>5488803.8799999999</v>
      </c>
      <c r="Q38" s="12" t="s">
        <v>217</v>
      </c>
      <c r="R38" s="15">
        <f>O38/24196</f>
        <v>226.84757315258719</v>
      </c>
      <c r="S38" s="12" t="s">
        <v>42</v>
      </c>
      <c r="T38" s="17">
        <v>10706</v>
      </c>
      <c r="U38" s="14" t="s">
        <v>43</v>
      </c>
      <c r="V38" s="12" t="s">
        <v>44</v>
      </c>
      <c r="W38" s="13">
        <v>42494</v>
      </c>
      <c r="X38" s="13">
        <v>42559</v>
      </c>
      <c r="Y38" s="12" t="s">
        <v>185</v>
      </c>
      <c r="Z38" s="12" t="s">
        <v>186</v>
      </c>
      <c r="AA38" s="12" t="s">
        <v>92</v>
      </c>
      <c r="AB38" s="14" t="s">
        <v>1604</v>
      </c>
      <c r="AC38" s="14" t="s">
        <v>1355</v>
      </c>
      <c r="AD38" s="12"/>
    </row>
    <row r="39" spans="1:30" ht="80.099999999999994" customHeight="1">
      <c r="A39" s="5">
        <v>24</v>
      </c>
      <c r="B39" s="12">
        <v>2016</v>
      </c>
      <c r="C39" s="14" t="s">
        <v>31</v>
      </c>
      <c r="D39" s="14" t="s">
        <v>218</v>
      </c>
      <c r="E39" s="13">
        <v>42494</v>
      </c>
      <c r="F39" s="14" t="s">
        <v>219</v>
      </c>
      <c r="G39" s="14" t="s">
        <v>66</v>
      </c>
      <c r="H39" s="15">
        <v>4882068.75</v>
      </c>
      <c r="I39" s="14" t="s">
        <v>220</v>
      </c>
      <c r="J39" s="12" t="s">
        <v>221</v>
      </c>
      <c r="K39" s="12" t="s">
        <v>58</v>
      </c>
      <c r="L39" s="12" t="s">
        <v>222</v>
      </c>
      <c r="M39" s="14" t="s">
        <v>223</v>
      </c>
      <c r="N39" s="12" t="s">
        <v>224</v>
      </c>
      <c r="O39" s="15">
        <f t="shared" si="0"/>
        <v>4882068.75</v>
      </c>
      <c r="P39" s="15">
        <v>4544438.6199999992</v>
      </c>
      <c r="Q39" s="12" t="s">
        <v>225</v>
      </c>
      <c r="R39" s="15">
        <f>O39/14500</f>
        <v>336.69439655172414</v>
      </c>
      <c r="S39" s="12" t="s">
        <v>42</v>
      </c>
      <c r="T39" s="17">
        <v>42592</v>
      </c>
      <c r="U39" s="14" t="s">
        <v>43</v>
      </c>
      <c r="V39" s="12" t="s">
        <v>44</v>
      </c>
      <c r="W39" s="13">
        <v>42495</v>
      </c>
      <c r="X39" s="13">
        <v>42560</v>
      </c>
      <c r="Y39" s="12" t="s">
        <v>195</v>
      </c>
      <c r="Z39" s="12" t="s">
        <v>196</v>
      </c>
      <c r="AA39" s="12" t="s">
        <v>197</v>
      </c>
      <c r="AB39" s="16" t="s">
        <v>1582</v>
      </c>
      <c r="AC39" s="12"/>
      <c r="AD39" s="14"/>
    </row>
    <row r="40" spans="1:30" ht="80.099999999999994" customHeight="1">
      <c r="A40" s="5">
        <v>25</v>
      </c>
      <c r="B40" s="12">
        <v>2016</v>
      </c>
      <c r="C40" s="14" t="s">
        <v>31</v>
      </c>
      <c r="D40" s="14" t="s">
        <v>226</v>
      </c>
      <c r="E40" s="13">
        <v>42494</v>
      </c>
      <c r="F40" s="14" t="s">
        <v>227</v>
      </c>
      <c r="G40" s="14" t="s">
        <v>66</v>
      </c>
      <c r="H40" s="15">
        <v>5720790.3899999997</v>
      </c>
      <c r="I40" s="14" t="s">
        <v>228</v>
      </c>
      <c r="J40" s="12" t="s">
        <v>229</v>
      </c>
      <c r="K40" s="12" t="s">
        <v>230</v>
      </c>
      <c r="L40" s="12" t="s">
        <v>231</v>
      </c>
      <c r="M40" s="14" t="s">
        <v>232</v>
      </c>
      <c r="N40" s="12" t="s">
        <v>233</v>
      </c>
      <c r="O40" s="15">
        <f t="shared" si="0"/>
        <v>5720790.3899999997</v>
      </c>
      <c r="P40" s="12" t="s">
        <v>48</v>
      </c>
      <c r="Q40" s="12" t="s">
        <v>234</v>
      </c>
      <c r="R40" s="15">
        <f>O40/4855</f>
        <v>1178.3296374871265</v>
      </c>
      <c r="S40" s="12" t="s">
        <v>42</v>
      </c>
      <c r="T40" s="17">
        <v>134932</v>
      </c>
      <c r="U40" s="14" t="s">
        <v>43</v>
      </c>
      <c r="V40" s="12" t="s">
        <v>44</v>
      </c>
      <c r="W40" s="13">
        <v>42495</v>
      </c>
      <c r="X40" s="13">
        <v>42560</v>
      </c>
      <c r="Y40" s="12" t="s">
        <v>235</v>
      </c>
      <c r="Z40" s="12" t="s">
        <v>236</v>
      </c>
      <c r="AA40" s="12" t="s">
        <v>237</v>
      </c>
      <c r="AB40" s="14" t="s">
        <v>1605</v>
      </c>
      <c r="AC40" s="18"/>
      <c r="AD40" s="14"/>
    </row>
    <row r="41" spans="1:30" ht="80.099999999999994" customHeight="1">
      <c r="A41" s="5">
        <v>26</v>
      </c>
      <c r="B41" s="12">
        <v>2016</v>
      </c>
      <c r="C41" s="14" t="s">
        <v>31</v>
      </c>
      <c r="D41" s="14" t="s">
        <v>238</v>
      </c>
      <c r="E41" s="13">
        <v>42494</v>
      </c>
      <c r="F41" s="14" t="s">
        <v>239</v>
      </c>
      <c r="G41" s="14" t="s">
        <v>66</v>
      </c>
      <c r="H41" s="15">
        <v>5967161.3700000001</v>
      </c>
      <c r="I41" s="14" t="s">
        <v>228</v>
      </c>
      <c r="J41" s="12" t="s">
        <v>240</v>
      </c>
      <c r="K41" s="12" t="s">
        <v>241</v>
      </c>
      <c r="L41" s="12" t="s">
        <v>242</v>
      </c>
      <c r="M41" s="14" t="s">
        <v>243</v>
      </c>
      <c r="N41" s="12" t="s">
        <v>244</v>
      </c>
      <c r="O41" s="15">
        <f t="shared" si="0"/>
        <v>5967161.3700000001</v>
      </c>
      <c r="P41" s="15">
        <v>5807977.7399999993</v>
      </c>
      <c r="Q41" s="12" t="s">
        <v>245</v>
      </c>
      <c r="R41" s="15">
        <f>O41/3883</f>
        <v>1536.7399871233583</v>
      </c>
      <c r="S41" s="12" t="s">
        <v>42</v>
      </c>
      <c r="T41" s="17">
        <v>134932</v>
      </c>
      <c r="U41" s="14" t="s">
        <v>43</v>
      </c>
      <c r="V41" s="12" t="s">
        <v>44</v>
      </c>
      <c r="W41" s="13">
        <v>42495</v>
      </c>
      <c r="X41" s="13">
        <v>42560</v>
      </c>
      <c r="Y41" s="12" t="s">
        <v>246</v>
      </c>
      <c r="Z41" s="12" t="s">
        <v>236</v>
      </c>
      <c r="AA41" s="12" t="s">
        <v>237</v>
      </c>
      <c r="AB41" s="14" t="s">
        <v>1606</v>
      </c>
      <c r="AC41" s="18"/>
      <c r="AD41" s="14"/>
    </row>
    <row r="42" spans="1:30" ht="80.099999999999994" customHeight="1">
      <c r="A42" s="5">
        <v>27</v>
      </c>
      <c r="B42" s="12">
        <v>2016</v>
      </c>
      <c r="C42" s="14" t="s">
        <v>31</v>
      </c>
      <c r="D42" s="14" t="s">
        <v>247</v>
      </c>
      <c r="E42" s="13">
        <v>42494</v>
      </c>
      <c r="F42" s="14" t="s">
        <v>248</v>
      </c>
      <c r="G42" s="14" t="s">
        <v>66</v>
      </c>
      <c r="H42" s="15">
        <v>9872599.0299999993</v>
      </c>
      <c r="I42" s="14" t="s">
        <v>249</v>
      </c>
      <c r="J42" s="12" t="s">
        <v>250</v>
      </c>
      <c r="K42" s="12" t="s">
        <v>251</v>
      </c>
      <c r="L42" s="12" t="s">
        <v>252</v>
      </c>
      <c r="M42" s="14" t="s">
        <v>253</v>
      </c>
      <c r="N42" s="12" t="s">
        <v>254</v>
      </c>
      <c r="O42" s="15">
        <f t="shared" si="0"/>
        <v>9872599.0299999993</v>
      </c>
      <c r="P42" s="15">
        <v>9872599.0199999996</v>
      </c>
      <c r="Q42" s="12" t="s">
        <v>255</v>
      </c>
      <c r="R42" s="15">
        <f>O42/32145</f>
        <v>307.12705024109499</v>
      </c>
      <c r="S42" s="12" t="s">
        <v>42</v>
      </c>
      <c r="T42" s="17">
        <v>119586</v>
      </c>
      <c r="U42" s="14" t="s">
        <v>43</v>
      </c>
      <c r="V42" s="12" t="s">
        <v>44</v>
      </c>
      <c r="W42" s="13">
        <v>42495</v>
      </c>
      <c r="X42" s="13">
        <v>42591</v>
      </c>
      <c r="Y42" s="12" t="s">
        <v>256</v>
      </c>
      <c r="Z42" s="12" t="s">
        <v>257</v>
      </c>
      <c r="AA42" s="12" t="s">
        <v>258</v>
      </c>
      <c r="AB42" s="14" t="s">
        <v>1607</v>
      </c>
      <c r="AC42" s="18"/>
      <c r="AD42" s="14"/>
    </row>
    <row r="43" spans="1:30" ht="80.099999999999994" customHeight="1">
      <c r="A43" s="5">
        <v>28</v>
      </c>
      <c r="B43" s="12">
        <v>2016</v>
      </c>
      <c r="C43" s="14" t="s">
        <v>31</v>
      </c>
      <c r="D43" s="14" t="s">
        <v>259</v>
      </c>
      <c r="E43" s="13">
        <v>42494</v>
      </c>
      <c r="F43" s="14" t="s">
        <v>260</v>
      </c>
      <c r="G43" s="14" t="s">
        <v>66</v>
      </c>
      <c r="H43" s="15">
        <v>9423095.6600000001</v>
      </c>
      <c r="I43" s="14" t="s">
        <v>249</v>
      </c>
      <c r="J43" s="12" t="s">
        <v>250</v>
      </c>
      <c r="K43" s="12" t="s">
        <v>251</v>
      </c>
      <c r="L43" s="12" t="s">
        <v>252</v>
      </c>
      <c r="M43" s="14" t="s">
        <v>253</v>
      </c>
      <c r="N43" s="12" t="s">
        <v>254</v>
      </c>
      <c r="O43" s="15">
        <v>9423095.6600000001</v>
      </c>
      <c r="P43" s="15">
        <v>9423095.5600000005</v>
      </c>
      <c r="Q43" s="12" t="s">
        <v>261</v>
      </c>
      <c r="R43" s="15">
        <f>O43/30824</f>
        <v>305.70645146638981</v>
      </c>
      <c r="S43" s="12" t="s">
        <v>42</v>
      </c>
      <c r="T43" s="17">
        <v>119586</v>
      </c>
      <c r="U43" s="14" t="s">
        <v>43</v>
      </c>
      <c r="V43" s="12" t="s">
        <v>44</v>
      </c>
      <c r="W43" s="13">
        <v>42495</v>
      </c>
      <c r="X43" s="13">
        <v>42591</v>
      </c>
      <c r="Y43" s="12" t="s">
        <v>256</v>
      </c>
      <c r="Z43" s="12" t="s">
        <v>257</v>
      </c>
      <c r="AA43" s="12" t="s">
        <v>258</v>
      </c>
      <c r="AB43" s="14" t="s">
        <v>1608</v>
      </c>
      <c r="AC43" s="18"/>
      <c r="AD43" s="14"/>
    </row>
    <row r="44" spans="1:30" ht="80.099999999999994" customHeight="1">
      <c r="A44" s="5">
        <v>29</v>
      </c>
      <c r="B44" s="12">
        <v>2016</v>
      </c>
      <c r="C44" s="14" t="s">
        <v>31</v>
      </c>
      <c r="D44" s="14" t="s">
        <v>262</v>
      </c>
      <c r="E44" s="13">
        <v>42494</v>
      </c>
      <c r="F44" s="14" t="s">
        <v>263</v>
      </c>
      <c r="G44" s="14" t="s">
        <v>66</v>
      </c>
      <c r="H44" s="15">
        <v>5474275.04</v>
      </c>
      <c r="I44" s="14" t="s">
        <v>249</v>
      </c>
      <c r="J44" s="12" t="s">
        <v>264</v>
      </c>
      <c r="K44" s="12" t="s">
        <v>265</v>
      </c>
      <c r="L44" s="12" t="s">
        <v>266</v>
      </c>
      <c r="M44" s="14" t="s">
        <v>267</v>
      </c>
      <c r="N44" s="12" t="s">
        <v>268</v>
      </c>
      <c r="O44" s="15">
        <f t="shared" ref="O44:O57" si="1">H44</f>
        <v>5474275.04</v>
      </c>
      <c r="P44" s="15">
        <v>4977373.62</v>
      </c>
      <c r="Q44" s="12" t="s">
        <v>269</v>
      </c>
      <c r="R44" s="15">
        <f>O44/17667</f>
        <v>309.85877851361295</v>
      </c>
      <c r="S44" s="12" t="s">
        <v>42</v>
      </c>
      <c r="T44" s="17">
        <v>119586</v>
      </c>
      <c r="U44" s="14" t="s">
        <v>43</v>
      </c>
      <c r="V44" s="12" t="s">
        <v>44</v>
      </c>
      <c r="W44" s="13">
        <v>42495</v>
      </c>
      <c r="X44" s="13">
        <v>42591</v>
      </c>
      <c r="Y44" s="12" t="s">
        <v>256</v>
      </c>
      <c r="Z44" s="12" t="s">
        <v>257</v>
      </c>
      <c r="AA44" s="12" t="s">
        <v>258</v>
      </c>
      <c r="AB44" s="14" t="s">
        <v>1609</v>
      </c>
      <c r="AC44" s="18"/>
      <c r="AD44" s="14"/>
    </row>
    <row r="45" spans="1:30" ht="80.099999999999994" customHeight="1">
      <c r="A45" s="5">
        <v>30</v>
      </c>
      <c r="B45" s="12">
        <v>2016</v>
      </c>
      <c r="C45" s="14" t="s">
        <v>31</v>
      </c>
      <c r="D45" s="14" t="s">
        <v>270</v>
      </c>
      <c r="E45" s="13">
        <v>42494</v>
      </c>
      <c r="F45" s="14" t="s">
        <v>271</v>
      </c>
      <c r="G45" s="14" t="s">
        <v>66</v>
      </c>
      <c r="H45" s="15">
        <v>6468498.2699999996</v>
      </c>
      <c r="I45" s="14" t="s">
        <v>249</v>
      </c>
      <c r="J45" s="12" t="s">
        <v>272</v>
      </c>
      <c r="K45" s="12" t="s">
        <v>273</v>
      </c>
      <c r="L45" s="12" t="s">
        <v>134</v>
      </c>
      <c r="M45" s="14" t="s">
        <v>274</v>
      </c>
      <c r="N45" s="12" t="s">
        <v>275</v>
      </c>
      <c r="O45" s="15">
        <f t="shared" si="1"/>
        <v>6468498.2699999996</v>
      </c>
      <c r="P45" s="15">
        <v>6332481.5099999998</v>
      </c>
      <c r="Q45" s="12" t="s">
        <v>276</v>
      </c>
      <c r="R45" s="15">
        <f>O45/16932</f>
        <v>382.0280102763997</v>
      </c>
      <c r="S45" s="12" t="s">
        <v>42</v>
      </c>
      <c r="T45" s="17">
        <v>119586</v>
      </c>
      <c r="U45" s="14" t="s">
        <v>43</v>
      </c>
      <c r="V45" s="12" t="s">
        <v>44</v>
      </c>
      <c r="W45" s="13">
        <v>42495</v>
      </c>
      <c r="X45" s="13">
        <v>42591</v>
      </c>
      <c r="Y45" s="12" t="s">
        <v>256</v>
      </c>
      <c r="Z45" s="12" t="s">
        <v>257</v>
      </c>
      <c r="AA45" s="12" t="s">
        <v>258</v>
      </c>
      <c r="AB45" s="18" t="s">
        <v>1610</v>
      </c>
      <c r="AC45" s="8" t="s">
        <v>1356</v>
      </c>
      <c r="AD45" s="12"/>
    </row>
    <row r="46" spans="1:30" ht="80.099999999999994" customHeight="1">
      <c r="A46" s="5">
        <v>32</v>
      </c>
      <c r="B46" s="12">
        <v>2016</v>
      </c>
      <c r="C46" s="14" t="s">
        <v>65</v>
      </c>
      <c r="D46" s="14" t="str">
        <f>'[1]V, inciso o) (OP)'!C30</f>
        <v>DOPI-MUN-RP-OC-AD-032-16</v>
      </c>
      <c r="E46" s="13">
        <f>'[1]V, inciso o) (OP)'!V30</f>
        <v>42461</v>
      </c>
      <c r="F46" s="14" t="str">
        <f>'[1]V, inciso o) (OP)'!AA30</f>
        <v>Desazolve y limpieza en el canal Tepeyac ubicado en la Avenida Las Torres colonia Miramar; desazolve, limpieza y rehabilitación de mampostería en el canal Puerta Plata ubicado en las colonias Royal Country y Puerta Plata, municipio de Zapopan, Jalisco.</v>
      </c>
      <c r="G46" s="14" t="s">
        <v>111</v>
      </c>
      <c r="H46" s="15">
        <f>'[1]V, inciso o) (OP)'!L30</f>
        <v>1555449.71</v>
      </c>
      <c r="I46" s="14" t="s">
        <v>277</v>
      </c>
      <c r="J46" s="12" t="str">
        <f>'[1]V, inciso o) (OP)'!G30</f>
        <v>Raul</v>
      </c>
      <c r="K46" s="12" t="str">
        <f>'[1]V, inciso o) (OP)'!H30</f>
        <v>Ortega</v>
      </c>
      <c r="L46" s="12" t="str">
        <f>'[1]V, inciso o) (OP)'!I30</f>
        <v>Jara</v>
      </c>
      <c r="M46" s="14" t="str">
        <f>'[1]V, inciso o) (OP)'!J30</f>
        <v>Construcciones Anayari, S. A. de C. V. PCZ-131/2016</v>
      </c>
      <c r="N46" s="12" t="str">
        <f>'[1]V, inciso o) (OP)'!K30</f>
        <v>CAN030528ME0</v>
      </c>
      <c r="O46" s="15">
        <f t="shared" si="1"/>
        <v>1555449.71</v>
      </c>
      <c r="P46" s="15">
        <v>1405684.59</v>
      </c>
      <c r="Q46" s="12" t="s">
        <v>278</v>
      </c>
      <c r="R46" s="15">
        <f>O46/44265</f>
        <v>35.139494182762903</v>
      </c>
      <c r="S46" s="12" t="s">
        <v>42</v>
      </c>
      <c r="T46" s="17">
        <v>13837</v>
      </c>
      <c r="U46" s="14" t="s">
        <v>43</v>
      </c>
      <c r="V46" s="12" t="s">
        <v>44</v>
      </c>
      <c r="W46" s="13">
        <f>'[1]V, inciso o) (OP)'!AD30</f>
        <v>42464</v>
      </c>
      <c r="X46" s="13">
        <f>'[1]V, inciso o) (OP)'!AE30</f>
        <v>42536</v>
      </c>
      <c r="Y46" s="12" t="s">
        <v>235</v>
      </c>
      <c r="Z46" s="12" t="s">
        <v>279</v>
      </c>
      <c r="AA46" s="12" t="s">
        <v>280</v>
      </c>
      <c r="AB46" s="8" t="s">
        <v>1881</v>
      </c>
      <c r="AC46" s="14" t="s">
        <v>48</v>
      </c>
      <c r="AD46" s="14"/>
    </row>
    <row r="47" spans="1:30" ht="80.099999999999994" customHeight="1">
      <c r="A47" s="6">
        <v>33</v>
      </c>
      <c r="B47" s="12">
        <v>2016</v>
      </c>
      <c r="C47" s="14" t="s">
        <v>65</v>
      </c>
      <c r="D47" s="14" t="str">
        <f>'[1]V, inciso o) (OP)'!C31</f>
        <v>DOPI-MUN-RP-IM-AD-033-16</v>
      </c>
      <c r="E47" s="13">
        <f>'[1]V, inciso o) (OP)'!V31</f>
        <v>42461</v>
      </c>
      <c r="F47" s="14" t="str">
        <f>'[1]V, inciso o) (OP)'!AA31</f>
        <v>Construcción de muro y rehabilitación de banquetas en Panteón Municipal ubicado en la localidad de Santa Ana Tepetitlán, municipio de Zapopan, Jalisco.</v>
      </c>
      <c r="G47" s="14" t="s">
        <v>111</v>
      </c>
      <c r="H47" s="15">
        <f>'[1]V, inciso o) (OP)'!L31</f>
        <v>476740.63</v>
      </c>
      <c r="I47" s="14" t="s">
        <v>281</v>
      </c>
      <c r="J47" s="12" t="str">
        <f>'[1]V, inciso o) (OP)'!G31</f>
        <v>Juan José</v>
      </c>
      <c r="K47" s="12" t="str">
        <f>'[1]V, inciso o) (OP)'!H31</f>
        <v>Gutiérrez</v>
      </c>
      <c r="L47" s="12" t="str">
        <f>'[1]V, inciso o) (OP)'!I31</f>
        <v>Contreras</v>
      </c>
      <c r="M47" s="14" t="str">
        <f>'[1]V, inciso o) (OP)'!J31</f>
        <v>Rencoist Construcciones, S. A. de C. V. PCZ-080/2016</v>
      </c>
      <c r="N47" s="12" t="str">
        <f>'[1]V, inciso o) (OP)'!K31</f>
        <v>RCO130920JX9</v>
      </c>
      <c r="O47" s="15">
        <f t="shared" si="1"/>
        <v>476740.63</v>
      </c>
      <c r="P47" s="15">
        <v>466284.81</v>
      </c>
      <c r="Q47" s="12" t="s">
        <v>282</v>
      </c>
      <c r="R47" s="15">
        <f>O47/248</f>
        <v>1922.3412499999999</v>
      </c>
      <c r="S47" s="12" t="s">
        <v>42</v>
      </c>
      <c r="T47" s="17">
        <v>171759</v>
      </c>
      <c r="U47" s="14" t="s">
        <v>43</v>
      </c>
      <c r="V47" s="12" t="s">
        <v>44</v>
      </c>
      <c r="W47" s="13">
        <f>'[1]V, inciso o) (OP)'!AD31</f>
        <v>42464</v>
      </c>
      <c r="X47" s="13">
        <f>'[1]V, inciso o) (OP)'!AE31</f>
        <v>42510</v>
      </c>
      <c r="Y47" s="12" t="s">
        <v>283</v>
      </c>
      <c r="Z47" s="12" t="s">
        <v>284</v>
      </c>
      <c r="AA47" s="12" t="s">
        <v>81</v>
      </c>
      <c r="AB47" s="16" t="s">
        <v>1584</v>
      </c>
      <c r="AC47" s="16"/>
      <c r="AD47" s="14"/>
    </row>
    <row r="48" spans="1:30" ht="80.099999999999994" customHeight="1">
      <c r="A48" s="5">
        <v>34</v>
      </c>
      <c r="B48" s="12">
        <v>2016</v>
      </c>
      <c r="C48" s="14" t="s">
        <v>65</v>
      </c>
      <c r="D48" s="14" t="str">
        <f>'[1]V, inciso o) (OP)'!C32</f>
        <v>DOPI-MUN-RP-OC-AD-034-16</v>
      </c>
      <c r="E48" s="13">
        <f>'[1]V, inciso o) (OP)'!V32</f>
        <v>42467</v>
      </c>
      <c r="F48" s="14" t="str">
        <f>'[1]V, inciso o) (OP)'!AA32</f>
        <v>Desazolve y rectificación del arroyo seco en el tramo de la colonia Periodistas; en la colonia El Mante y del arroyo El Garabato en la colonia El Briseño, municipio de Zapopan, Jalisco.</v>
      </c>
      <c r="G48" s="14" t="s">
        <v>111</v>
      </c>
      <c r="H48" s="15">
        <f>'[1]V, inciso o) (OP)'!L32</f>
        <v>1475860.34</v>
      </c>
      <c r="I48" s="14" t="s">
        <v>285</v>
      </c>
      <c r="J48" s="12" t="str">
        <f>'[1]V, inciso o) (OP)'!G32</f>
        <v>Bernardo</v>
      </c>
      <c r="K48" s="12" t="str">
        <f>'[1]V, inciso o) (OP)'!H32</f>
        <v>Saenz</v>
      </c>
      <c r="L48" s="12" t="str">
        <f>'[1]V, inciso o) (OP)'!I32</f>
        <v>Barba</v>
      </c>
      <c r="M48" s="14" t="str">
        <f>'[1]V, inciso o) (OP)'!J32</f>
        <v>Grupo Edificador Mayab, S. A. de C. V. PCZ-032/2016</v>
      </c>
      <c r="N48" s="12" t="str">
        <f>'[1]V, inciso o) (OP)'!K32</f>
        <v>GEM070112PX8</v>
      </c>
      <c r="O48" s="15">
        <f t="shared" si="1"/>
        <v>1475860.34</v>
      </c>
      <c r="P48" s="15">
        <v>1475828.06</v>
      </c>
      <c r="Q48" s="12" t="s">
        <v>286</v>
      </c>
      <c r="R48" s="15">
        <f>O48/37800</f>
        <v>39.043924338624343</v>
      </c>
      <c r="S48" s="12" t="s">
        <v>42</v>
      </c>
      <c r="T48" s="17">
        <v>6696</v>
      </c>
      <c r="U48" s="14" t="s">
        <v>43</v>
      </c>
      <c r="V48" s="12" t="s">
        <v>44</v>
      </c>
      <c r="W48" s="13">
        <f>'[1]V, inciso o) (OP)'!AD32</f>
        <v>42471</v>
      </c>
      <c r="X48" s="13">
        <f>'[1]V, inciso o) (OP)'!AE32</f>
        <v>42536</v>
      </c>
      <c r="Y48" s="12" t="s">
        <v>90</v>
      </c>
      <c r="Z48" s="12" t="s">
        <v>287</v>
      </c>
      <c r="AA48" s="12" t="s">
        <v>92</v>
      </c>
      <c r="AB48" s="14" t="s">
        <v>1611</v>
      </c>
      <c r="AC48" s="18"/>
      <c r="AD48" s="14"/>
    </row>
    <row r="49" spans="1:30" ht="80.099999999999994" customHeight="1">
      <c r="A49" s="5">
        <v>35</v>
      </c>
      <c r="B49" s="12">
        <v>2016</v>
      </c>
      <c r="C49" s="14" t="s">
        <v>65</v>
      </c>
      <c r="D49" s="14" t="str">
        <f>'[1]V, inciso o) (OP)'!C33</f>
        <v>DOPI-MUN-RP-OC-AD-035-16</v>
      </c>
      <c r="E49" s="13">
        <f>'[1]V, inciso o) (OP)'!V33</f>
        <v>42475</v>
      </c>
      <c r="F49" s="14" t="str">
        <f>'[1]V, inciso o) (OP)'!AA33</f>
        <v>Desazolve, limpieza y rectificación de canal La Martinica - Paseo de las Aves en el tramo de la colonia Altagracia y la colonia La Martinica; desazolve y limpieza del Arroyo Hondo en la colonia Arroyo Hondo, Municipio de Zapopan, Jalisco.</v>
      </c>
      <c r="G49" s="14" t="s">
        <v>111</v>
      </c>
      <c r="H49" s="15">
        <f>'[1]V, inciso o) (OP)'!L33</f>
        <v>1495685.74</v>
      </c>
      <c r="I49" s="14" t="s">
        <v>288</v>
      </c>
      <c r="J49" s="12" t="str">
        <f>'[1]V, inciso o) (OP)'!G33</f>
        <v>Jorge Guillermo</v>
      </c>
      <c r="K49" s="12" t="str">
        <f>'[1]V, inciso o) (OP)'!H33</f>
        <v>Malacón</v>
      </c>
      <c r="L49" s="12" t="str">
        <f>'[1]V, inciso o) (OP)'!I33</f>
        <v>Sainz</v>
      </c>
      <c r="M49" s="14" t="str">
        <f>'[1]V, inciso o) (OP)'!J33</f>
        <v>Edficaciones Yazmin, S. A. de C. V.  PCZ-146/2016</v>
      </c>
      <c r="N49" s="12" t="str">
        <f>'[1]V, inciso o) (OP)'!K33</f>
        <v>EYA020712BQ6</v>
      </c>
      <c r="O49" s="15">
        <f t="shared" si="1"/>
        <v>1495685.74</v>
      </c>
      <c r="P49" s="15">
        <v>1495685.6300000001</v>
      </c>
      <c r="Q49" s="12" t="s">
        <v>289</v>
      </c>
      <c r="R49" s="15">
        <f>O49/44056</f>
        <v>33.949649082985289</v>
      </c>
      <c r="S49" s="12" t="s">
        <v>42</v>
      </c>
      <c r="T49" s="17">
        <v>10603</v>
      </c>
      <c r="U49" s="14" t="s">
        <v>43</v>
      </c>
      <c r="V49" s="12" t="s">
        <v>44</v>
      </c>
      <c r="W49" s="13">
        <f>'[1]V, inciso o) (OP)'!AD33</f>
        <v>42478</v>
      </c>
      <c r="X49" s="13">
        <f>'[1]V, inciso o) (OP)'!AE33</f>
        <v>42551</v>
      </c>
      <c r="Y49" s="12" t="s">
        <v>195</v>
      </c>
      <c r="Z49" s="12" t="s">
        <v>196</v>
      </c>
      <c r="AA49" s="12" t="s">
        <v>71</v>
      </c>
      <c r="AB49" s="16" t="s">
        <v>1583</v>
      </c>
      <c r="AC49" s="16"/>
      <c r="AD49" s="14"/>
    </row>
    <row r="50" spans="1:30" ht="80.099999999999994" customHeight="1">
      <c r="A50" s="6">
        <v>36</v>
      </c>
      <c r="B50" s="12">
        <v>2016</v>
      </c>
      <c r="C50" s="14" t="s">
        <v>65</v>
      </c>
      <c r="D50" s="14" t="str">
        <f>'[1]V, inciso o) (OP)'!C34</f>
        <v>DOPI-MUN-RP-IM-AD-036-16</v>
      </c>
      <c r="E50" s="13">
        <f>'[1]V, inciso o) (OP)'!V34</f>
        <v>42475</v>
      </c>
      <c r="F50" s="14" t="str">
        <f>'[1]V, inciso o) (OP)'!AA34</f>
        <v>Construcción de Bóveda de seguridad para alojamiento de valores en la recaudadora No. 6 ubicada en la Avenida Guadalupe esquina Periférico Poniente Manuel Gómez Morín, municipio de Zapopan, Jalisco.</v>
      </c>
      <c r="G50" s="14" t="s">
        <v>66</v>
      </c>
      <c r="H50" s="15">
        <f>'[1]V, inciso o) (OP)'!L34</f>
        <v>225850.48</v>
      </c>
      <c r="I50" s="14" t="s">
        <v>290</v>
      </c>
      <c r="J50" s="12" t="str">
        <f>'[1]V, inciso o) (OP)'!G34</f>
        <v>Victor Martín</v>
      </c>
      <c r="K50" s="12" t="str">
        <f>'[1]V, inciso o) (OP)'!H34</f>
        <v>López</v>
      </c>
      <c r="L50" s="12" t="str">
        <f>'[1]V, inciso o) (OP)'!I34</f>
        <v>Santos</v>
      </c>
      <c r="M50" s="14" t="str">
        <f>'[1]V, inciso o) (OP)'!J34</f>
        <v>Construcciones Citus, S. A. de C. V. PCZ-141/2016</v>
      </c>
      <c r="N50" s="12" t="str">
        <f>'[1]V, inciso o) (OP)'!K34</f>
        <v>CCI020411HS5</v>
      </c>
      <c r="O50" s="15">
        <f t="shared" si="1"/>
        <v>225850.48</v>
      </c>
      <c r="P50" s="15">
        <v>224514.38</v>
      </c>
      <c r="Q50" s="12" t="s">
        <v>291</v>
      </c>
      <c r="R50" s="15">
        <f>O50/23</f>
        <v>9819.5860869565222</v>
      </c>
      <c r="S50" s="12" t="s">
        <v>42</v>
      </c>
      <c r="T50" s="17">
        <v>25</v>
      </c>
      <c r="U50" s="14" t="s">
        <v>43</v>
      </c>
      <c r="V50" s="12" t="s">
        <v>44</v>
      </c>
      <c r="W50" s="13">
        <f>'[1]V, inciso o) (OP)'!AD34</f>
        <v>42478</v>
      </c>
      <c r="X50" s="13">
        <f>'[1]V, inciso o) (OP)'!AE34</f>
        <v>42525</v>
      </c>
      <c r="Y50" s="12" t="s">
        <v>235</v>
      </c>
      <c r="Z50" s="12" t="s">
        <v>236</v>
      </c>
      <c r="AA50" s="12" t="s">
        <v>147</v>
      </c>
      <c r="AB50" s="14" t="s">
        <v>48</v>
      </c>
      <c r="AC50" s="14" t="s">
        <v>48</v>
      </c>
      <c r="AD50" s="14"/>
    </row>
    <row r="51" spans="1:30" ht="80.099999999999994" customHeight="1">
      <c r="A51" s="6">
        <v>37</v>
      </c>
      <c r="B51" s="12">
        <v>2016</v>
      </c>
      <c r="C51" s="14" t="s">
        <v>65</v>
      </c>
      <c r="D51" s="14" t="str">
        <f>'[1]V, inciso o) (OP)'!C35</f>
        <v>DOPI-MUN-RP-IM-AD-037-16</v>
      </c>
      <c r="E51" s="13">
        <f>'[1]V, inciso o) (OP)'!V35</f>
        <v>42482</v>
      </c>
      <c r="F51" s="14" t="str">
        <f>'[1]V, inciso o) (OP)'!AA35</f>
        <v>Rehabilitación en las oficinas y ampliación de comedor de empleados en el Dif Laureles, ubicado en Avenida Juan Pablo II, esquina con calle Lázaro Cárdenas, municipio de Zapopan, Jalisco.</v>
      </c>
      <c r="G51" s="14" t="s">
        <v>66</v>
      </c>
      <c r="H51" s="15">
        <f>'[1]V, inciso o) (OP)'!L35</f>
        <v>385554.88</v>
      </c>
      <c r="I51" s="14" t="s">
        <v>292</v>
      </c>
      <c r="J51" s="12" t="str">
        <f>'[1]V, inciso o) (OP)'!G35</f>
        <v>Adriana Del Refugio</v>
      </c>
      <c r="K51" s="12" t="str">
        <f>'[1]V, inciso o) (OP)'!H35</f>
        <v>De la Torre</v>
      </c>
      <c r="L51" s="12" t="str">
        <f>'[1]V, inciso o) (OP)'!I35</f>
        <v>Martín</v>
      </c>
      <c r="M51" s="14" t="str">
        <f>'[1]V, inciso o) (OP)'!J35</f>
        <v>SDT Constructora S. A. de C. V. PCZ-147/2016</v>
      </c>
      <c r="N51" s="12" t="str">
        <f>'[1]V, inciso o) (OP)'!K35</f>
        <v>SCO040813IIA</v>
      </c>
      <c r="O51" s="15">
        <f t="shared" si="1"/>
        <v>385554.88</v>
      </c>
      <c r="P51" s="15">
        <v>361144.17000000004</v>
      </c>
      <c r="Q51" s="12" t="s">
        <v>293</v>
      </c>
      <c r="R51" s="15">
        <f>O51/125</f>
        <v>3084.4390400000002</v>
      </c>
      <c r="S51" s="12" t="s">
        <v>42</v>
      </c>
      <c r="T51" s="17">
        <v>172</v>
      </c>
      <c r="U51" s="14" t="s">
        <v>43</v>
      </c>
      <c r="V51" s="12" t="s">
        <v>44</v>
      </c>
      <c r="W51" s="13">
        <f>'[1]V, inciso o) (OP)'!AD35</f>
        <v>42485</v>
      </c>
      <c r="X51" s="13">
        <f>'[1]V, inciso o) (OP)'!AE35</f>
        <v>42521</v>
      </c>
      <c r="Y51" s="12" t="s">
        <v>294</v>
      </c>
      <c r="Z51" s="12" t="s">
        <v>295</v>
      </c>
      <c r="AA51" s="12" t="s">
        <v>76</v>
      </c>
      <c r="AB51" s="14" t="s">
        <v>48</v>
      </c>
      <c r="AC51" s="14" t="s">
        <v>48</v>
      </c>
      <c r="AD51" s="14"/>
    </row>
    <row r="52" spans="1:30" ht="80.099999999999994" customHeight="1">
      <c r="A52" s="5">
        <v>38</v>
      </c>
      <c r="B52" s="12">
        <v>2016</v>
      </c>
      <c r="C52" s="14" t="s">
        <v>65</v>
      </c>
      <c r="D52" s="14" t="str">
        <f>'[1]V, inciso o) (OP)'!C36</f>
        <v>DOPI-MUN-RP-OC-AD-038-16</v>
      </c>
      <c r="E52" s="13">
        <f>'[1]V, inciso o) (OP)'!V36</f>
        <v>42482</v>
      </c>
      <c r="F52" s="14" t="str">
        <f>'[1]V, inciso o) (OP)'!AA36</f>
        <v>Obras de protección consistentes en construcción de muro de mampostería; construcción de plantilla de zampeado en el arroyo Bugambilias de la colonia La Florida hasta el límite municipal; construcción de muro de contención de mampostería y construcción de losa de piso de mampostería, incluye limpieza y desazolve en la calle Gigante, calle Pino y calle Vicente Guerrero en la colonia Primavera Vicente Guerrero, Municipio de Zapopan, Jalisco.</v>
      </c>
      <c r="G52" s="14" t="s">
        <v>111</v>
      </c>
      <c r="H52" s="15">
        <f>'[1]V, inciso o) (OP)'!L36</f>
        <v>758305.64</v>
      </c>
      <c r="I52" s="14" t="s">
        <v>296</v>
      </c>
      <c r="J52" s="12" t="str">
        <f>'[1]V, inciso o) (OP)'!G36</f>
        <v>Omar</v>
      </c>
      <c r="K52" s="12" t="str">
        <f>'[1]V, inciso o) (OP)'!H36</f>
        <v>Mora</v>
      </c>
      <c r="L52" s="12" t="str">
        <f>'[1]V, inciso o) (OP)'!I36</f>
        <v>Montes de Oca</v>
      </c>
      <c r="M52" s="14" t="str">
        <f>'[1]V, inciso o) (OP)'!J36</f>
        <v>Dommont Construcciones, S. A. de C. V. PCZ-133/2016</v>
      </c>
      <c r="N52" s="12" t="str">
        <f>'[1]V, inciso o) (OP)'!K36</f>
        <v>DCO130215C16</v>
      </c>
      <c r="O52" s="15">
        <f t="shared" si="1"/>
        <v>758305.64</v>
      </c>
      <c r="P52" s="15">
        <v>758301.15</v>
      </c>
      <c r="Q52" s="12" t="s">
        <v>297</v>
      </c>
      <c r="R52" s="15">
        <f>O52/216</f>
        <v>3510.6742592592595</v>
      </c>
      <c r="S52" s="12" t="s">
        <v>42</v>
      </c>
      <c r="T52" s="17">
        <v>4320</v>
      </c>
      <c r="U52" s="14" t="s">
        <v>43</v>
      </c>
      <c r="V52" s="12" t="s">
        <v>44</v>
      </c>
      <c r="W52" s="13">
        <f>'[1]V, inciso o) (OP)'!AD36</f>
        <v>42485</v>
      </c>
      <c r="X52" s="13">
        <f>'[1]V, inciso o) (OP)'!AE36</f>
        <v>42536</v>
      </c>
      <c r="Y52" s="12" t="s">
        <v>90</v>
      </c>
      <c r="Z52" s="12" t="s">
        <v>287</v>
      </c>
      <c r="AA52" s="12" t="s">
        <v>92</v>
      </c>
      <c r="AB52" s="8" t="s">
        <v>1660</v>
      </c>
      <c r="AC52" s="14" t="s">
        <v>48</v>
      </c>
      <c r="AD52" s="14"/>
    </row>
    <row r="53" spans="1:30" ht="80.099999999999994" customHeight="1">
      <c r="A53" s="6">
        <v>39</v>
      </c>
      <c r="B53" s="12">
        <v>2016</v>
      </c>
      <c r="C53" s="14" t="s">
        <v>65</v>
      </c>
      <c r="D53" s="14" t="str">
        <f>'[1]V, inciso o) (OP)'!C37</f>
        <v>DOPI-MUN-RP-ELE-AD-039-16</v>
      </c>
      <c r="E53" s="13">
        <f>'[1]V, inciso o) (OP)'!V37</f>
        <v>42475</v>
      </c>
      <c r="F53" s="14" t="str">
        <f>'[1]V, inciso o) (OP)'!AA37</f>
        <v>Red de alumbrado público y baja tensión en la calle Las Palmas y calle San Gonzálo en la colonia La Limera, municipio de Zapopan Jalisco.</v>
      </c>
      <c r="G53" s="14" t="s">
        <v>66</v>
      </c>
      <c r="H53" s="15">
        <f>'[1]V, inciso o) (OP)'!L37</f>
        <v>377452.12</v>
      </c>
      <c r="I53" s="14" t="s">
        <v>298</v>
      </c>
      <c r="J53" s="12" t="str">
        <f>'[1]V, inciso o) (OP)'!G37</f>
        <v>Juan Pablo</v>
      </c>
      <c r="K53" s="12" t="str">
        <f>'[1]V, inciso o) (OP)'!H37</f>
        <v>Vera</v>
      </c>
      <c r="L53" s="12" t="str">
        <f>'[1]V, inciso o) (OP)'!I37</f>
        <v>Tavares</v>
      </c>
      <c r="M53" s="14" t="str">
        <f>'[1]V, inciso o) (OP)'!J37</f>
        <v>Lizette Construcciones, S. A. de C. V. PCZ-045/2016</v>
      </c>
      <c r="N53" s="12" t="str">
        <f>'[1]V, inciso o) (OP)'!K37</f>
        <v>LCO080228DN2</v>
      </c>
      <c r="O53" s="15">
        <f t="shared" si="1"/>
        <v>377452.12</v>
      </c>
      <c r="P53" s="15">
        <v>273164.68</v>
      </c>
      <c r="Q53" s="12" t="s">
        <v>299</v>
      </c>
      <c r="R53" s="15">
        <f>O53/735</f>
        <v>513.54029931972786</v>
      </c>
      <c r="S53" s="12" t="s">
        <v>42</v>
      </c>
      <c r="T53" s="17">
        <v>865</v>
      </c>
      <c r="U53" s="14" t="s">
        <v>43</v>
      </c>
      <c r="V53" s="12" t="s">
        <v>44</v>
      </c>
      <c r="W53" s="13">
        <f>'[1]V, inciso o) (OP)'!AD37</f>
        <v>42478</v>
      </c>
      <c r="X53" s="13">
        <f>'[1]V, inciso o) (OP)'!AE37</f>
        <v>42545</v>
      </c>
      <c r="Y53" s="12" t="s">
        <v>300</v>
      </c>
      <c r="Z53" s="12" t="s">
        <v>301</v>
      </c>
      <c r="AA53" s="12" t="s">
        <v>302</v>
      </c>
      <c r="AB53" s="8" t="s">
        <v>1661</v>
      </c>
      <c r="AC53" s="14" t="s">
        <v>48</v>
      </c>
      <c r="AD53" s="14"/>
    </row>
    <row r="54" spans="1:30" ht="80.099999999999994" customHeight="1">
      <c r="A54" s="6">
        <v>40</v>
      </c>
      <c r="B54" s="12">
        <v>2016</v>
      </c>
      <c r="C54" s="14" t="s">
        <v>65</v>
      </c>
      <c r="D54" s="14" t="str">
        <f>'[1]V, inciso o) (OP)'!C38</f>
        <v>DOPI-MUN-RP-ELE-AD-040-16</v>
      </c>
      <c r="E54" s="13">
        <f>'[1]V, inciso o) (OP)'!V38</f>
        <v>42461</v>
      </c>
      <c r="F54" s="14" t="str">
        <f>'[1]V, inciso o) (OP)'!AA38</f>
        <v>Red de alumbrado público en las calles Ecología de Conservación a Naturaleza, Conservación de Ecología a Naturaleza, Naturaleza de Conservación a Ecología, en la colonia Río Blanco; Electrificación en media y baja tensión y alumbrado público en las calles Manzano de San Francisco a Matamoros, San Miguel de San Francisco a Matamoros, Santa María  de San Francisco a Matamoros, Dolores Rodríguez de Matamoros a Ameca, Jalisco de Matamoros a Ameca en la colonia Lomas del Refugio, municipio de Zapopan, Jalisco.</v>
      </c>
      <c r="G54" s="14" t="s">
        <v>66</v>
      </c>
      <c r="H54" s="15">
        <f>'[1]V, inciso o) (OP)'!L38</f>
        <v>365693.05</v>
      </c>
      <c r="I54" s="14" t="s">
        <v>303</v>
      </c>
      <c r="J54" s="12" t="str">
        <f>'[1]V, inciso o) (OP)'!G38</f>
        <v>Armando</v>
      </c>
      <c r="K54" s="12" t="str">
        <f>'[1]V, inciso o) (OP)'!H38</f>
        <v>Arroyo</v>
      </c>
      <c r="L54" s="12" t="str">
        <f>'[1]V, inciso o) (OP)'!I38</f>
        <v>Zepeda</v>
      </c>
      <c r="M54" s="14" t="str">
        <f>'[1]V, inciso o) (OP)'!J38</f>
        <v>Construcciones y Extructuras ITZ, S. A. de C. V. PCZ-142/2016</v>
      </c>
      <c r="N54" s="12" t="str">
        <f>'[1]V, inciso o) (OP)'!K38</f>
        <v>CEI000807E95</v>
      </c>
      <c r="O54" s="15">
        <f t="shared" si="1"/>
        <v>365693.05</v>
      </c>
      <c r="P54" s="15">
        <v>262262.07</v>
      </c>
      <c r="Q54" s="12" t="s">
        <v>304</v>
      </c>
      <c r="R54" s="15">
        <f>O54/1543</f>
        <v>237.00132858068696</v>
      </c>
      <c r="S54" s="12" t="s">
        <v>42</v>
      </c>
      <c r="T54" s="17">
        <v>1766</v>
      </c>
      <c r="U54" s="14" t="s">
        <v>43</v>
      </c>
      <c r="V54" s="12" t="s">
        <v>44</v>
      </c>
      <c r="W54" s="13">
        <f>'[1]V, inciso o) (OP)'!AD38</f>
        <v>42464</v>
      </c>
      <c r="X54" s="13">
        <f>'[1]V, inciso o) (OP)'!AE38</f>
        <v>42545</v>
      </c>
      <c r="Y54" s="12" t="s">
        <v>300</v>
      </c>
      <c r="Z54" s="12" t="s">
        <v>301</v>
      </c>
      <c r="AA54" s="12" t="s">
        <v>302</v>
      </c>
      <c r="AB54" s="8" t="s">
        <v>1662</v>
      </c>
      <c r="AC54" s="14" t="s">
        <v>48</v>
      </c>
      <c r="AD54" s="14"/>
    </row>
    <row r="55" spans="1:30" ht="80.099999999999994" customHeight="1">
      <c r="A55" s="6">
        <v>41</v>
      </c>
      <c r="B55" s="12">
        <v>2016</v>
      </c>
      <c r="C55" s="14" t="s">
        <v>65</v>
      </c>
      <c r="D55" s="14" t="str">
        <f>'[1]V, inciso o) (OP)'!C39</f>
        <v>DOPI-MUN-RP-AP-AD-041-16</v>
      </c>
      <c r="E55" s="13">
        <f>'[1]V, inciso o) (OP)'!V39</f>
        <v>42482</v>
      </c>
      <c r="F55" s="14" t="str">
        <f>'[1]V, inciso o) (OP)'!AA39</f>
        <v>Construcción de línea de drenaje sanitario y línea de agua potable en las calles andador Tequila de Tequila a Lagos de Moreno, Prolongación Zapopan de Jalisco a Prolongación Jalisco y Jalisco de Prolongación Zapopan a Prolongación Jalisco, en la colonia Lomas del Refugio, municipio de Zapopan, Jalisco.</v>
      </c>
      <c r="G55" s="14" t="s">
        <v>66</v>
      </c>
      <c r="H55" s="15">
        <f>'[1]V, inciso o) (OP)'!L39</f>
        <v>256955.42</v>
      </c>
      <c r="I55" s="14" t="s">
        <v>305</v>
      </c>
      <c r="J55" s="12" t="str">
        <f>'[1]V, inciso o) (OP)'!G39</f>
        <v>Jesús Alfredo</v>
      </c>
      <c r="K55" s="12" t="str">
        <f>'[1]V, inciso o) (OP)'!H39</f>
        <v>Vargas</v>
      </c>
      <c r="L55" s="12" t="str">
        <f>'[1]V, inciso o) (OP)'!I39</f>
        <v>Castellanos</v>
      </c>
      <c r="M55" s="14" t="str">
        <f>'[1]V, inciso o) (OP)'!J39</f>
        <v>Topus Ingeniería, S. A. de C. V. PCZ-144/2016</v>
      </c>
      <c r="N55" s="12" t="str">
        <f>'[1]V, inciso o) (OP)'!K39</f>
        <v>TIN130227AS1</v>
      </c>
      <c r="O55" s="15">
        <f t="shared" si="1"/>
        <v>256955.42</v>
      </c>
      <c r="P55" s="15">
        <v>226398.84</v>
      </c>
      <c r="Q55" s="12" t="s">
        <v>83</v>
      </c>
      <c r="R55" s="15">
        <f>O55/315</f>
        <v>815.73149206349206</v>
      </c>
      <c r="S55" s="12" t="s">
        <v>42</v>
      </c>
      <c r="T55" s="17">
        <v>1085</v>
      </c>
      <c r="U55" s="14" t="s">
        <v>43</v>
      </c>
      <c r="V55" s="12" t="s">
        <v>44</v>
      </c>
      <c r="W55" s="13">
        <f>'[1]V, inciso o) (OP)'!AD39</f>
        <v>42485</v>
      </c>
      <c r="X55" s="13">
        <f>'[1]V, inciso o) (OP)'!AE39</f>
        <v>42518</v>
      </c>
      <c r="Y55" s="12" t="s">
        <v>306</v>
      </c>
      <c r="Z55" s="12" t="s">
        <v>307</v>
      </c>
      <c r="AA55" s="12" t="s">
        <v>308</v>
      </c>
      <c r="AB55" s="8" t="s">
        <v>1663</v>
      </c>
      <c r="AC55" s="14" t="s">
        <v>48</v>
      </c>
      <c r="AD55" s="14"/>
    </row>
    <row r="56" spans="1:30" ht="80.099999999999994" customHeight="1">
      <c r="A56" s="6">
        <v>42</v>
      </c>
      <c r="B56" s="12">
        <v>2016</v>
      </c>
      <c r="C56" s="14" t="s">
        <v>65</v>
      </c>
      <c r="D56" s="14" t="str">
        <f>'[1]V, inciso o) (OP)'!C40</f>
        <v>DOPI-MUN-RP-IM-AD-042-16</v>
      </c>
      <c r="E56" s="13">
        <f>'[1]V, inciso o) (OP)'!V40</f>
        <v>42501</v>
      </c>
      <c r="F56" s="14" t="str">
        <f>'[1]V, inciso o) (OP)'!AA40</f>
        <v>Construcción de muro perimetral y rehabilitación de herrería en el CDI No. 2 "Pablo Casals", ubicado en la colonia Valle de Atemajac; suministro e instalación de malla sombra en patio central y rehabilitación de área exterior infantil, en el CDI No. 09, ubicado en la colonia Villa de Guadalupe; construcción de muro y malla perimetral en el CDC No. 20, ubicado en la colonia Arenales Tapatios; impermeabilización de azoteas en el CRI ubicado en Av. Laureles, colonia Unidad Fovissste; colocación de ladrillo de azotea e impermeabilización en el CEMAM, ubicado en la calle cerrada Santa Laura, colonia Santa Margarita Primera Sección, muncipio de Zapopan, Jalisco</v>
      </c>
      <c r="G56" s="14" t="s">
        <v>111</v>
      </c>
      <c r="H56" s="15">
        <f>'[1]V, inciso o) (OP)'!L40</f>
        <v>1546969.15</v>
      </c>
      <c r="I56" s="14" t="s">
        <v>309</v>
      </c>
      <c r="J56" s="12" t="str">
        <f>'[1]V, inciso o) (OP)'!G40</f>
        <v>José Antonio</v>
      </c>
      <c r="K56" s="12" t="str">
        <f>'[1]V, inciso o) (OP)'!H40</f>
        <v>Álvarez</v>
      </c>
      <c r="L56" s="12" t="str">
        <f>'[1]V, inciso o) (OP)'!I40</f>
        <v>Garcia</v>
      </c>
      <c r="M56" s="14" t="str">
        <f>'[1]V, inciso o) (OP)'!J40</f>
        <v>Urcoma 1970, S. A. de C. V. PCZ-041/2016</v>
      </c>
      <c r="N56" s="12" t="str">
        <f>'[1]V, inciso o) (OP)'!K40</f>
        <v>UMN160125869</v>
      </c>
      <c r="O56" s="15">
        <f t="shared" si="1"/>
        <v>1546969.15</v>
      </c>
      <c r="P56" s="15">
        <v>1546887.7200000002</v>
      </c>
      <c r="Q56" s="12" t="s">
        <v>310</v>
      </c>
      <c r="R56" s="12" t="s">
        <v>124</v>
      </c>
      <c r="S56" s="12" t="s">
        <v>42</v>
      </c>
      <c r="T56" s="17">
        <v>192531</v>
      </c>
      <c r="U56" s="14" t="s">
        <v>43</v>
      </c>
      <c r="V56" s="12" t="s">
        <v>44</v>
      </c>
      <c r="W56" s="13">
        <f>'[1]V, inciso o) (OP)'!AD40</f>
        <v>42502</v>
      </c>
      <c r="X56" s="13">
        <f>'[1]V, inciso o) (OP)'!AE40</f>
        <v>42582</v>
      </c>
      <c r="Y56" s="12" t="s">
        <v>311</v>
      </c>
      <c r="Z56" s="12" t="s">
        <v>312</v>
      </c>
      <c r="AA56" s="12" t="s">
        <v>64</v>
      </c>
      <c r="AB56" s="8" t="s">
        <v>1773</v>
      </c>
      <c r="AC56" s="18"/>
      <c r="AD56" s="14"/>
    </row>
    <row r="57" spans="1:30" ht="80.099999999999994" customHeight="1">
      <c r="A57" s="5">
        <v>43</v>
      </c>
      <c r="B57" s="12">
        <v>2016</v>
      </c>
      <c r="C57" s="14" t="s">
        <v>65</v>
      </c>
      <c r="D57" s="14" t="str">
        <f>'[1]V, inciso o) (OP)'!C41</f>
        <v>DOPI-MUN-RP-PROY-AD-043-16</v>
      </c>
      <c r="E57" s="13">
        <f>'[1]V, inciso o) (OP)'!V41</f>
        <v>42503</v>
      </c>
      <c r="F57" s="14" t="str">
        <f>'[1]V, inciso o) (OP)'!AA41</f>
        <v>Proyecto ejecutivo para la construcción de la cruz verde ubicada en la colonia Villas de Guadalupe, municipio de Zapopan, Jalisco.</v>
      </c>
      <c r="G57" s="14" t="s">
        <v>66</v>
      </c>
      <c r="H57" s="15">
        <f>'[1]V, inciso o) (OP)'!L41</f>
        <v>1495650.37</v>
      </c>
      <c r="I57" s="14" t="s">
        <v>313</v>
      </c>
      <c r="J57" s="12" t="str">
        <f>'[1]V, inciso o) (OP)'!G41</f>
        <v>Juan Francisco</v>
      </c>
      <c r="K57" s="12" t="str">
        <f>'[1]V, inciso o) (OP)'!H41</f>
        <v>Toscano</v>
      </c>
      <c r="L57" s="12" t="str">
        <f>'[1]V, inciso o) (OP)'!I41</f>
        <v>Lases</v>
      </c>
      <c r="M57" s="14" t="str">
        <f>'[1]V, inciso o) (OP)'!J41</f>
        <v>Infografía Digital de Occidente, S. A. de C. V. PCZ-178/2016</v>
      </c>
      <c r="N57" s="12" t="str">
        <f>'[1]V, inciso o) (OP)'!K41</f>
        <v>IDO100427QG2</v>
      </c>
      <c r="O57" s="15">
        <f t="shared" si="1"/>
        <v>1495650.37</v>
      </c>
      <c r="P57" s="15">
        <v>1175250.3600000001</v>
      </c>
      <c r="Q57" s="12" t="s">
        <v>124</v>
      </c>
      <c r="R57" s="12" t="s">
        <v>124</v>
      </c>
      <c r="S57" s="12" t="s">
        <v>125</v>
      </c>
      <c r="T57" s="17" t="s">
        <v>125</v>
      </c>
      <c r="U57" s="14" t="s">
        <v>43</v>
      </c>
      <c r="V57" s="12" t="s">
        <v>44</v>
      </c>
      <c r="W57" s="13">
        <f>'[1]V, inciso o) (OP)'!AD41</f>
        <v>42506</v>
      </c>
      <c r="X57" s="13">
        <f>'[1]V, inciso o) (OP)'!AE41</f>
        <v>42582</v>
      </c>
      <c r="Y57" s="12" t="s">
        <v>314</v>
      </c>
      <c r="Z57" s="12" t="s">
        <v>315</v>
      </c>
      <c r="AA57" s="12" t="s">
        <v>316</v>
      </c>
      <c r="AB57" s="8" t="s">
        <v>1774</v>
      </c>
      <c r="AC57" s="18"/>
      <c r="AD57" s="14"/>
    </row>
    <row r="58" spans="1:30" ht="80.099999999999994" customHeight="1">
      <c r="A58" s="5">
        <v>44</v>
      </c>
      <c r="B58" s="12">
        <v>2016</v>
      </c>
      <c r="C58" s="14" t="s">
        <v>143</v>
      </c>
      <c r="D58" s="14" t="s">
        <v>317</v>
      </c>
      <c r="E58" s="13">
        <v>42580</v>
      </c>
      <c r="F58" s="14" t="str">
        <f>'[1]V, inciso p) (OP)'!AL23</f>
        <v>Construcción de muro mecánicamente estabilizado (obra complementaria) para conexión al retorno vial a Periférico Norte y Av Juan Palomar y Arias, municipio de Zapopan, Jalisco.</v>
      </c>
      <c r="G58" s="14" t="s">
        <v>66</v>
      </c>
      <c r="H58" s="15">
        <f>'[1]V, inciso p) (OP)'!AG23</f>
        <v>4256046.82</v>
      </c>
      <c r="I58" s="14" t="str">
        <f>'[1]V, inciso p) (OP)'!AS23</f>
        <v>Col. Parque Industrial Belenes</v>
      </c>
      <c r="J58" s="12" t="s">
        <v>318</v>
      </c>
      <c r="K58" s="12" t="s">
        <v>316</v>
      </c>
      <c r="L58" s="12" t="s">
        <v>134</v>
      </c>
      <c r="M58" s="14" t="s">
        <v>319</v>
      </c>
      <c r="N58" s="12" t="s">
        <v>320</v>
      </c>
      <c r="O58" s="15">
        <v>4256046.82</v>
      </c>
      <c r="P58" s="15">
        <v>4256046.5200000005</v>
      </c>
      <c r="Q58" s="12" t="s">
        <v>321</v>
      </c>
      <c r="R58" s="15">
        <f>O58/750</f>
        <v>5674.7290933333334</v>
      </c>
      <c r="S58" s="12" t="s">
        <v>42</v>
      </c>
      <c r="T58" s="17">
        <v>92837</v>
      </c>
      <c r="U58" s="14" t="s">
        <v>43</v>
      </c>
      <c r="V58" s="12" t="s">
        <v>44</v>
      </c>
      <c r="W58" s="13">
        <v>42583</v>
      </c>
      <c r="X58" s="13">
        <v>42627</v>
      </c>
      <c r="Y58" s="12" t="s">
        <v>322</v>
      </c>
      <c r="Z58" s="12" t="s">
        <v>196</v>
      </c>
      <c r="AA58" s="12" t="s">
        <v>197</v>
      </c>
      <c r="AB58" s="18" t="s">
        <v>1659</v>
      </c>
      <c r="AC58" s="14" t="s">
        <v>48</v>
      </c>
      <c r="AD58" s="14"/>
    </row>
    <row r="59" spans="1:30" ht="80.099999999999994" customHeight="1">
      <c r="A59" s="5">
        <v>45</v>
      </c>
      <c r="B59" s="12">
        <v>2016</v>
      </c>
      <c r="C59" s="14" t="s">
        <v>143</v>
      </c>
      <c r="D59" s="14" t="s">
        <v>323</v>
      </c>
      <c r="E59" s="13">
        <v>42580</v>
      </c>
      <c r="F59" s="14" t="str">
        <f>'[1]V, inciso p) (OP)'!AL24</f>
        <v>Construcción de pavimento de concreto hidráulico, sustitución de líneas de agua potable y de drenaje sanitario, construcción de banquetas, guarniciones y alumbrado público, en el carril norte de la calle Puente el Palomar de la calle Campanario a calle Nardo, municipio de Zapopan, Jalisco.</v>
      </c>
      <c r="G59" s="14" t="s">
        <v>66</v>
      </c>
      <c r="H59" s="15">
        <f>'[1]V, inciso p) (OP)'!AG24</f>
        <v>4886861.9000000004</v>
      </c>
      <c r="I59" s="14" t="str">
        <f>'[1]V, inciso p) (OP)'!AS24</f>
        <v>Col. El Campanario</v>
      </c>
      <c r="J59" s="12" t="s">
        <v>324</v>
      </c>
      <c r="K59" s="12" t="s">
        <v>71</v>
      </c>
      <c r="L59" s="12" t="s">
        <v>142</v>
      </c>
      <c r="M59" s="14" t="s">
        <v>325</v>
      </c>
      <c r="N59" s="12" t="s">
        <v>326</v>
      </c>
      <c r="O59" s="15">
        <v>4886861.9000000004</v>
      </c>
      <c r="P59" s="15">
        <v>3720992.6999999997</v>
      </c>
      <c r="Q59" s="12" t="s">
        <v>327</v>
      </c>
      <c r="R59" s="15">
        <f>O59/2466</f>
        <v>1981.6958231954584</v>
      </c>
      <c r="S59" s="12" t="s">
        <v>42</v>
      </c>
      <c r="T59" s="17">
        <v>2159</v>
      </c>
      <c r="U59" s="14" t="s">
        <v>43</v>
      </c>
      <c r="V59" s="12" t="s">
        <v>44</v>
      </c>
      <c r="W59" s="13">
        <v>42583</v>
      </c>
      <c r="X59" s="13">
        <v>42627</v>
      </c>
      <c r="Y59" s="12" t="s">
        <v>328</v>
      </c>
      <c r="Z59" s="12" t="s">
        <v>236</v>
      </c>
      <c r="AA59" s="12" t="s">
        <v>147</v>
      </c>
      <c r="AB59" s="14" t="s">
        <v>48</v>
      </c>
      <c r="AC59" s="14" t="s">
        <v>48</v>
      </c>
      <c r="AD59" s="14"/>
    </row>
    <row r="60" spans="1:30" ht="80.099999999999994" customHeight="1">
      <c r="A60" s="5">
        <v>46</v>
      </c>
      <c r="B60" s="12">
        <v>2016</v>
      </c>
      <c r="C60" s="14" t="s">
        <v>143</v>
      </c>
      <c r="D60" s="14" t="s">
        <v>329</v>
      </c>
      <c r="E60" s="13">
        <v>42580</v>
      </c>
      <c r="F60" s="14" t="str">
        <f>'[1]V, inciso p) (OP)'!AL25</f>
        <v>Construcción de pavimento de concreto hidráulico, sustitución de líneas de agua potable, drenaje sanitario, construcción de banquetas, guarniciones y alumbrado público, en la calle Niños Héroes de Emiliano Zapata a Hidalgo y de Hidalgo de Niños Héroes a Ignacio Allende, en la localidad de Santa Lucia, municipio de Zapopan, Jalisco.</v>
      </c>
      <c r="G60" s="14" t="s">
        <v>66</v>
      </c>
      <c r="H60" s="15">
        <f>'[1]V, inciso p) (OP)'!AG25</f>
        <v>3920653.99</v>
      </c>
      <c r="I60" s="14" t="str">
        <f>'[1]V, inciso p) (OP)'!AS25</f>
        <v>Localidad Santa Lucía</v>
      </c>
      <c r="J60" s="12" t="s">
        <v>330</v>
      </c>
      <c r="K60" s="12" t="s">
        <v>331</v>
      </c>
      <c r="L60" s="12" t="s">
        <v>332</v>
      </c>
      <c r="M60" s="14" t="s">
        <v>333</v>
      </c>
      <c r="N60" s="12" t="s">
        <v>334</v>
      </c>
      <c r="O60" s="15">
        <v>3920653.99</v>
      </c>
      <c r="P60" s="15">
        <v>3452568.75</v>
      </c>
      <c r="Q60" s="12" t="s">
        <v>335</v>
      </c>
      <c r="R60" s="15">
        <f>O60/2014</f>
        <v>1946.7000943396229</v>
      </c>
      <c r="S60" s="12" t="s">
        <v>42</v>
      </c>
      <c r="T60" s="17">
        <v>1748</v>
      </c>
      <c r="U60" s="14" t="s">
        <v>43</v>
      </c>
      <c r="V60" s="12" t="s">
        <v>44</v>
      </c>
      <c r="W60" s="13">
        <v>42583</v>
      </c>
      <c r="X60" s="13">
        <v>42627</v>
      </c>
      <c r="Y60" s="12" t="s">
        <v>336</v>
      </c>
      <c r="Z60" s="12" t="s">
        <v>337</v>
      </c>
      <c r="AA60" s="12" t="s">
        <v>120</v>
      </c>
      <c r="AB60" s="18" t="s">
        <v>1664</v>
      </c>
      <c r="AC60" s="14" t="s">
        <v>48</v>
      </c>
      <c r="AD60" s="14"/>
    </row>
    <row r="61" spans="1:30" ht="80.099999999999994" customHeight="1">
      <c r="A61" s="5">
        <v>47</v>
      </c>
      <c r="B61" s="12">
        <v>2016</v>
      </c>
      <c r="C61" s="14" t="s">
        <v>143</v>
      </c>
      <c r="D61" s="14" t="s">
        <v>338</v>
      </c>
      <c r="E61" s="13">
        <v>42580</v>
      </c>
      <c r="F61" s="14" t="str">
        <f>'[1]V, inciso p) (OP)'!AL26</f>
        <v>Construcción de la red de agua potable y de drenaje sanitario en la carretera La Venta del Astillero - Santa Lucia, en la colonia La Soledad, localidad de Nextipac, municipio de Zapopan, Jalisco</v>
      </c>
      <c r="G61" s="14" t="s">
        <v>66</v>
      </c>
      <c r="H61" s="15">
        <f>'[1]V, inciso p) (OP)'!AG26</f>
        <v>5701133.4699999997</v>
      </c>
      <c r="I61" s="14" t="str">
        <f>'[1]V, inciso p) (OP)'!AS26</f>
        <v>Localidad de Nextipac</v>
      </c>
      <c r="J61" s="12" t="s">
        <v>339</v>
      </c>
      <c r="K61" s="12" t="s">
        <v>340</v>
      </c>
      <c r="L61" s="12" t="s">
        <v>341</v>
      </c>
      <c r="M61" s="14" t="s">
        <v>342</v>
      </c>
      <c r="N61" s="12" t="s">
        <v>343</v>
      </c>
      <c r="O61" s="15">
        <v>5701133.4699999997</v>
      </c>
      <c r="P61" s="15">
        <v>4593684.78</v>
      </c>
      <c r="Q61" s="12" t="s">
        <v>344</v>
      </c>
      <c r="R61" s="15">
        <f>O61/2390</f>
        <v>2385.4114937238492</v>
      </c>
      <c r="S61" s="12" t="s">
        <v>42</v>
      </c>
      <c r="T61" s="17">
        <v>5663</v>
      </c>
      <c r="U61" s="14" t="s">
        <v>43</v>
      </c>
      <c r="V61" s="12" t="s">
        <v>44</v>
      </c>
      <c r="W61" s="13">
        <v>42583</v>
      </c>
      <c r="X61" s="13">
        <v>42642</v>
      </c>
      <c r="Y61" s="12" t="s">
        <v>336</v>
      </c>
      <c r="Z61" s="12" t="s">
        <v>337</v>
      </c>
      <c r="AA61" s="12" t="s">
        <v>120</v>
      </c>
      <c r="AB61" s="14" t="s">
        <v>1612</v>
      </c>
      <c r="AC61" s="18"/>
      <c r="AD61" s="14"/>
    </row>
    <row r="62" spans="1:30" ht="80.099999999999994" customHeight="1">
      <c r="A62" s="5">
        <v>48</v>
      </c>
      <c r="B62" s="12">
        <v>2016</v>
      </c>
      <c r="C62" s="14" t="s">
        <v>143</v>
      </c>
      <c r="D62" s="14" t="s">
        <v>345</v>
      </c>
      <c r="E62" s="13">
        <v>42580</v>
      </c>
      <c r="F62" s="14" t="str">
        <f>'[1]V, inciso p) (OP)'!AL27</f>
        <v>Construcción de líneas de drenaje sanitario y de agua potable, subrasante y base hidráulica en la calle Cesario Rivera desde la carreta a Saltillo a la calle Jacinto González Peña, en la colonia Villas de Guadalupe, municipio de Zapopan, Jalisco.</v>
      </c>
      <c r="G62" s="14" t="s">
        <v>66</v>
      </c>
      <c r="H62" s="15">
        <f>'[1]V, inciso p) (OP)'!AG27</f>
        <v>2157478.2999999998</v>
      </c>
      <c r="I62" s="14" t="str">
        <f>'[1]V, inciso p) (OP)'!AS27</f>
        <v>Col. Villas de Guadalupe</v>
      </c>
      <c r="J62" s="12" t="s">
        <v>100</v>
      </c>
      <c r="K62" s="12" t="s">
        <v>174</v>
      </c>
      <c r="L62" s="12" t="s">
        <v>346</v>
      </c>
      <c r="M62" s="14" t="s">
        <v>347</v>
      </c>
      <c r="N62" s="12" t="s">
        <v>348</v>
      </c>
      <c r="O62" s="15">
        <v>2157478.2999999998</v>
      </c>
      <c r="P62" s="15">
        <v>2082937.62</v>
      </c>
      <c r="Q62" s="12" t="s">
        <v>349</v>
      </c>
      <c r="R62" s="15">
        <f>O62/808</f>
        <v>2670.1464108910891</v>
      </c>
      <c r="S62" s="12" t="s">
        <v>42</v>
      </c>
      <c r="T62" s="17">
        <v>2762</v>
      </c>
      <c r="U62" s="14" t="s">
        <v>43</v>
      </c>
      <c r="V62" s="12" t="s">
        <v>44</v>
      </c>
      <c r="W62" s="13">
        <v>42583</v>
      </c>
      <c r="X62" s="13">
        <v>42642</v>
      </c>
      <c r="Y62" s="12" t="s">
        <v>350</v>
      </c>
      <c r="Z62" s="12" t="s">
        <v>351</v>
      </c>
      <c r="AA62" s="12" t="s">
        <v>352</v>
      </c>
      <c r="AB62" s="14" t="s">
        <v>1613</v>
      </c>
      <c r="AC62" s="18"/>
      <c r="AD62" s="14"/>
    </row>
    <row r="63" spans="1:30" ht="80.099999999999994" customHeight="1">
      <c r="A63" s="5">
        <v>49</v>
      </c>
      <c r="B63" s="12">
        <v>2016</v>
      </c>
      <c r="C63" s="14" t="s">
        <v>143</v>
      </c>
      <c r="D63" s="14" t="s">
        <v>353</v>
      </c>
      <c r="E63" s="13">
        <v>42580</v>
      </c>
      <c r="F63" s="14" t="str">
        <f>'[1]V, inciso p) (OP)'!AL28</f>
        <v>Construcción de líneas de drenaje sanitario y de agua potable, subrasante y base hidráulica en la calle Idolina Gaona entre Decima Oriente y Cuarta Oriente  en la colonia Jardines de Nuevo México, municipio de Zapopan, Jalisco.</v>
      </c>
      <c r="G63" s="14" t="s">
        <v>66</v>
      </c>
      <c r="H63" s="15">
        <f>'[1]V, inciso p) (OP)'!AG28</f>
        <v>3164998.73</v>
      </c>
      <c r="I63" s="14" t="str">
        <f>'[1]V, inciso p) (OP)'!AS28</f>
        <v>Col. Jardines de Nuevo México</v>
      </c>
      <c r="J63" s="12" t="s">
        <v>339</v>
      </c>
      <c r="K63" s="12" t="s">
        <v>354</v>
      </c>
      <c r="L63" s="12" t="s">
        <v>148</v>
      </c>
      <c r="M63" s="14" t="s">
        <v>355</v>
      </c>
      <c r="N63" s="12" t="s">
        <v>356</v>
      </c>
      <c r="O63" s="15">
        <v>3164998.73</v>
      </c>
      <c r="P63" s="15">
        <v>3114529.95</v>
      </c>
      <c r="Q63" s="12" t="s">
        <v>357</v>
      </c>
      <c r="R63" s="15">
        <f>O63/561</f>
        <v>5641.7089661319069</v>
      </c>
      <c r="S63" s="12" t="s">
        <v>42</v>
      </c>
      <c r="T63" s="17">
        <v>4470</v>
      </c>
      <c r="U63" s="14" t="s">
        <v>43</v>
      </c>
      <c r="V63" s="12" t="s">
        <v>44</v>
      </c>
      <c r="W63" s="13">
        <v>42583</v>
      </c>
      <c r="X63" s="13">
        <v>42642</v>
      </c>
      <c r="Y63" s="12" t="s">
        <v>336</v>
      </c>
      <c r="Z63" s="12" t="s">
        <v>337</v>
      </c>
      <c r="AA63" s="12" t="s">
        <v>120</v>
      </c>
      <c r="AB63" s="14" t="s">
        <v>1614</v>
      </c>
      <c r="AC63" s="18"/>
      <c r="AD63" s="14"/>
    </row>
    <row r="64" spans="1:30" ht="80.099999999999994" customHeight="1">
      <c r="A64" s="5">
        <v>50</v>
      </c>
      <c r="B64" s="12">
        <v>2016</v>
      </c>
      <c r="C64" s="14" t="s">
        <v>31</v>
      </c>
      <c r="D64" s="14" t="str">
        <f>'[1]V, inciso p) (OP)'!D29</f>
        <v>DOPI-MUN-PP-PAV-LP-050-2016</v>
      </c>
      <c r="E64" s="13">
        <f>'[1]V, inciso p) (OP)'!AD29</f>
        <v>42593</v>
      </c>
      <c r="F64" s="14" t="str">
        <f>'[1]V, inciso p) (OP)'!AL29</f>
        <v>Construcción de pavimento de concreto hidráulico MR-45, sustitución de líneas de agua potable y de alcantarillado, alumbrado público, construcción de guarniciones y banquetas, en la calle Jalisco de la calle Aldama a la calle San Francisco, en la localidad de Tesistán, municipio de Zapopan, Jalisco.</v>
      </c>
      <c r="G64" s="14" t="s">
        <v>66</v>
      </c>
      <c r="H64" s="15">
        <f>'[1]V, inciso p) (OP)'!AG29</f>
        <v>4426493.25</v>
      </c>
      <c r="I64" s="14" t="str">
        <f>'[1]V, inciso p) (OP)'!AS29</f>
        <v>Tesitán</v>
      </c>
      <c r="J64" s="12" t="str">
        <f>'[1]V, inciso p) (OP)'!T29</f>
        <v>Julio Eduardo</v>
      </c>
      <c r="K64" s="12" t="str">
        <f>'[1]V, inciso p) (OP)'!U29</f>
        <v>Lopez</v>
      </c>
      <c r="L64" s="12" t="str">
        <f>'[1]V, inciso p) (OP)'!V29</f>
        <v>Perez</v>
      </c>
      <c r="M64" s="14" t="str">
        <f>'[1]V, inciso p) (OP)'!W29</f>
        <v>Proyectos e Insumos Industriales Jelp, S.A. de C.V.</v>
      </c>
      <c r="N64" s="12" t="str">
        <f>'[1]V, inciso p) (OP)'!X29</f>
        <v>PEI020208RW0</v>
      </c>
      <c r="O64" s="15">
        <f t="shared" ref="O64:O95" si="2">H64</f>
        <v>4426493.25</v>
      </c>
      <c r="P64" s="15">
        <v>4426493.25</v>
      </c>
      <c r="Q64" s="12" t="s">
        <v>358</v>
      </c>
      <c r="R64" s="15">
        <f>O64/2010</f>
        <v>2202.2354477611939</v>
      </c>
      <c r="S64" s="12" t="s">
        <v>42</v>
      </c>
      <c r="T64" s="17">
        <v>60027</v>
      </c>
      <c r="U64" s="14" t="s">
        <v>43</v>
      </c>
      <c r="V64" s="12" t="s">
        <v>44</v>
      </c>
      <c r="W64" s="13">
        <f>'[1]V, inciso p) (OP)'!AM29</f>
        <v>42614</v>
      </c>
      <c r="X64" s="13">
        <f>'[1]V, inciso p) (OP)'!AN29</f>
        <v>42735</v>
      </c>
      <c r="Y64" s="12" t="s">
        <v>336</v>
      </c>
      <c r="Z64" s="12" t="s">
        <v>337</v>
      </c>
      <c r="AA64" s="12" t="s">
        <v>120</v>
      </c>
      <c r="AB64" s="18" t="s">
        <v>1665</v>
      </c>
      <c r="AC64" s="14" t="s">
        <v>48</v>
      </c>
      <c r="AD64" s="14"/>
    </row>
    <row r="65" spans="1:30" ht="80.099999999999994" customHeight="1">
      <c r="A65" s="5">
        <v>51</v>
      </c>
      <c r="B65" s="12">
        <v>2016</v>
      </c>
      <c r="C65" s="14" t="s">
        <v>31</v>
      </c>
      <c r="D65" s="14" t="str">
        <f>'[1]V, inciso p) (OP)'!D30</f>
        <v>DOPI-MUN-PP-PAV-LP-051-2016</v>
      </c>
      <c r="E65" s="13">
        <f>'[1]V, inciso p) (OP)'!AD30</f>
        <v>42600</v>
      </c>
      <c r="F65" s="14" t="str">
        <f>'[1]V, inciso p) (OP)'!AL30</f>
        <v>Construcción de pavimento de concreto hidráulico MR-45, sustitución de líneas de agua potable y de alcantarillado, alumbrado público, construcción de guarniciones y banquetas, en la calle Hidalgo de la calle Jalisco a la calle Lucio Blanco, en la localidad de Tesistán, municipio de Zapopan, Jalisco.</v>
      </c>
      <c r="G65" s="14" t="s">
        <v>66</v>
      </c>
      <c r="H65" s="15">
        <f>'[1]V, inciso p) (OP)'!AG30</f>
        <v>8579575.5199999996</v>
      </c>
      <c r="I65" s="14" t="str">
        <f>'[1]V, inciso p) (OP)'!AS30</f>
        <v>Tesitán</v>
      </c>
      <c r="J65" s="12" t="str">
        <f>'[1]V, inciso p) (OP)'!T30</f>
        <v xml:space="preserve">Cesar Agustin </v>
      </c>
      <c r="K65" s="12" t="str">
        <f>'[1]V, inciso p) (OP)'!U30</f>
        <v>Salgado</v>
      </c>
      <c r="L65" s="12" t="str">
        <f>'[1]V, inciso p) (OP)'!V30</f>
        <v>Santiago</v>
      </c>
      <c r="M65" s="14" t="str">
        <f>'[1]V, inciso p) (OP)'!W30</f>
        <v>Ecopav de México, S.A. de C.V.</v>
      </c>
      <c r="N65" s="12" t="str">
        <f>'[1]V, inciso p) (OP)'!X30</f>
        <v>FRA070416K99</v>
      </c>
      <c r="O65" s="15">
        <f t="shared" si="2"/>
        <v>8579575.5199999996</v>
      </c>
      <c r="P65" s="15">
        <v>7671137.2599999998</v>
      </c>
      <c r="Q65" s="12" t="s">
        <v>359</v>
      </c>
      <c r="R65" s="15">
        <f>O65/4400</f>
        <v>1949.9035272727272</v>
      </c>
      <c r="S65" s="12" t="s">
        <v>42</v>
      </c>
      <c r="T65" s="17">
        <v>60027</v>
      </c>
      <c r="U65" s="14" t="s">
        <v>43</v>
      </c>
      <c r="V65" s="12" t="s">
        <v>44</v>
      </c>
      <c r="W65" s="13">
        <f>'[1]V, inciso p) (OP)'!AM30</f>
        <v>42614</v>
      </c>
      <c r="X65" s="13">
        <f>'[1]V, inciso p) (OP)'!AN30</f>
        <v>42735</v>
      </c>
      <c r="Y65" s="12" t="s">
        <v>336</v>
      </c>
      <c r="Z65" s="12" t="s">
        <v>337</v>
      </c>
      <c r="AA65" s="12" t="s">
        <v>120</v>
      </c>
      <c r="AB65" s="14" t="s">
        <v>48</v>
      </c>
      <c r="AC65" s="14" t="s">
        <v>48</v>
      </c>
      <c r="AD65" s="14"/>
    </row>
    <row r="66" spans="1:30" ht="80.099999999999994" customHeight="1">
      <c r="A66" s="5">
        <v>52</v>
      </c>
      <c r="B66" s="12">
        <v>2016</v>
      </c>
      <c r="C66" s="14" t="s">
        <v>31</v>
      </c>
      <c r="D66" s="14" t="str">
        <f>'[1]V, inciso p) (OP)'!D31</f>
        <v>DOPI-MUN-PP-PAV-LP-052-2016</v>
      </c>
      <c r="E66" s="13">
        <f>'[1]V, inciso p) (OP)'!AD31</f>
        <v>42601</v>
      </c>
      <c r="F66" s="14" t="str">
        <f>'[1]V, inciso p) (OP)'!AL31</f>
        <v>Construcción de pavimento de concreto hidráulico MR-45, sustitución de líneas de agua potable y de alcantarillado, alumbrado público, construcción de guarniciones y banquetas, en la calle San Francisco de la calle Jalisco a la calle Independencia, en la localidad de Tesistán, municipio de Zapopan, Jalisco.</v>
      </c>
      <c r="G66" s="14" t="s">
        <v>66</v>
      </c>
      <c r="H66" s="15">
        <f>'[1]V, inciso p) (OP)'!AG31</f>
        <v>4875141.67</v>
      </c>
      <c r="I66" s="14" t="str">
        <f>'[1]V, inciso p) (OP)'!AS31</f>
        <v>Tesitán</v>
      </c>
      <c r="J66" s="12" t="str">
        <f>'[1]V, inciso p) (OP)'!T31</f>
        <v>Jose Antonio</v>
      </c>
      <c r="K66" s="12" t="str">
        <f>'[1]V, inciso p) (OP)'!U31</f>
        <v>Alvarez</v>
      </c>
      <c r="L66" s="12" t="str">
        <f>'[1]V, inciso p) (OP)'!V31</f>
        <v>Zuloaga</v>
      </c>
      <c r="M66" s="14" t="str">
        <f>'[1]V, inciso p) (OP)'!W31</f>
        <v>Grupo Desarrollador Alzu, S.A. de C.V.</v>
      </c>
      <c r="N66" s="12" t="str">
        <f>'[1]V, inciso p) (OP)'!X31</f>
        <v>GDA150928286</v>
      </c>
      <c r="O66" s="15">
        <f t="shared" si="2"/>
        <v>4875141.67</v>
      </c>
      <c r="P66" s="15">
        <v>4076634.94</v>
      </c>
      <c r="Q66" s="12" t="s">
        <v>360</v>
      </c>
      <c r="R66" s="15">
        <f>O66/3090</f>
        <v>1577.7157508090615</v>
      </c>
      <c r="S66" s="12" t="s">
        <v>42</v>
      </c>
      <c r="T66" s="17">
        <v>60027</v>
      </c>
      <c r="U66" s="14" t="s">
        <v>43</v>
      </c>
      <c r="V66" s="12" t="s">
        <v>44</v>
      </c>
      <c r="W66" s="13">
        <f>'[1]V, inciso p) (OP)'!AM31</f>
        <v>42614</v>
      </c>
      <c r="X66" s="13">
        <f>'[1]V, inciso p) (OP)'!AN31</f>
        <v>42735</v>
      </c>
      <c r="Y66" s="12" t="s">
        <v>336</v>
      </c>
      <c r="Z66" s="12" t="s">
        <v>337</v>
      </c>
      <c r="AA66" s="12" t="s">
        <v>120</v>
      </c>
      <c r="AB66" s="18" t="s">
        <v>1666</v>
      </c>
      <c r="AC66" s="14" t="s">
        <v>48</v>
      </c>
      <c r="AD66" s="14"/>
    </row>
    <row r="67" spans="1:30" ht="80.099999999999994" customHeight="1">
      <c r="A67" s="5">
        <v>53</v>
      </c>
      <c r="B67" s="12">
        <v>2016</v>
      </c>
      <c r="C67" s="14" t="s">
        <v>31</v>
      </c>
      <c r="D67" s="14" t="str">
        <f>'[1]V, inciso p) (OP)'!D32</f>
        <v>DOPI-MUN-PP-PAV-LP-053-2016</v>
      </c>
      <c r="E67" s="13">
        <f>'[1]V, inciso p) (OP)'!AD32</f>
        <v>42604</v>
      </c>
      <c r="F67" s="14" t="str">
        <f>'[1]V, inciso p) (OP)'!AL32</f>
        <v>Construcción de pavimento de concreto hidráulico MR-45, sustitución de líneas de agua potable y de alcantarillado, alumbrado público, construcción de guarniciones y banquetas, en la calle J. García Praga de la calle Jalisco a la calle Ramón Corona, en la localidad de Tesistán, municipio de Zapopan, Jalisco.</v>
      </c>
      <c r="G67" s="14" t="s">
        <v>66</v>
      </c>
      <c r="H67" s="15">
        <f>'[1]V, inciso p) (OP)'!AG32</f>
        <v>999852.22</v>
      </c>
      <c r="I67" s="14" t="str">
        <f>'[1]V, inciso p) (OP)'!AS32</f>
        <v>Tesitán</v>
      </c>
      <c r="J67" s="12" t="str">
        <f>'[1]V, inciso p) (OP)'!T32</f>
        <v>Guadalupe Alejandrina</v>
      </c>
      <c r="K67" s="12" t="str">
        <f>'[1]V, inciso p) (OP)'!U32</f>
        <v>Maldonado</v>
      </c>
      <c r="L67" s="12" t="str">
        <f>'[1]V, inciso p) (OP)'!V32</f>
        <v>Lara</v>
      </c>
      <c r="M67" s="14" t="str">
        <f>'[1]V, inciso p) (OP)'!W32</f>
        <v>L&amp;A Ejecución, Construcción y Proyectos Corporativo JM, S.A. de C.V.</v>
      </c>
      <c r="N67" s="12" t="str">
        <f>'[1]V, inciso p) (OP)'!X32</f>
        <v>LAE1306263B5</v>
      </c>
      <c r="O67" s="15">
        <f t="shared" si="2"/>
        <v>999852.22</v>
      </c>
      <c r="P67" s="15">
        <v>999852.24000000011</v>
      </c>
      <c r="Q67" s="12" t="s">
        <v>361</v>
      </c>
      <c r="R67" s="15">
        <f>O67/510</f>
        <v>1960.4945490196078</v>
      </c>
      <c r="S67" s="12" t="s">
        <v>42</v>
      </c>
      <c r="T67" s="17">
        <v>60027</v>
      </c>
      <c r="U67" s="14" t="s">
        <v>43</v>
      </c>
      <c r="V67" s="12" t="s">
        <v>44</v>
      </c>
      <c r="W67" s="13">
        <f>'[1]V, inciso p) (OP)'!AM32</f>
        <v>42614</v>
      </c>
      <c r="X67" s="13">
        <f>'[1]V, inciso p) (OP)'!AN32</f>
        <v>42705</v>
      </c>
      <c r="Y67" s="12" t="s">
        <v>336</v>
      </c>
      <c r="Z67" s="12" t="s">
        <v>337</v>
      </c>
      <c r="AA67" s="12" t="s">
        <v>120</v>
      </c>
      <c r="AB67" s="18" t="s">
        <v>1882</v>
      </c>
      <c r="AC67" s="14" t="s">
        <v>48</v>
      </c>
      <c r="AD67" s="14"/>
    </row>
    <row r="68" spans="1:30" ht="80.099999999999994" customHeight="1">
      <c r="A68" s="5">
        <v>54</v>
      </c>
      <c r="B68" s="12">
        <v>2016</v>
      </c>
      <c r="C68" s="14" t="s">
        <v>31</v>
      </c>
      <c r="D68" s="14" t="str">
        <f>'[1]V, inciso p) (OP)'!D33</f>
        <v>DOPI-MUN-PP-PAV-LP-054-2016</v>
      </c>
      <c r="E68" s="13">
        <f>'[1]V, inciso p) (OP)'!AD33</f>
        <v>42605</v>
      </c>
      <c r="F68" s="14" t="str">
        <f>'[1]V, inciso p) (OP)'!AL33</f>
        <v>Construcción de pavimento de concreto hidráulico MR-45, sustitución de líneas de agua potable y de alcantarillado, alumbrado público, construcción de guarniciones y banquetas, en la calle Ramón Corona de la calle Hidalgo a la calle Puebla - 5 de Mayo, en la localidad de Tesistán, municipio de Zapopan, Jalisco.</v>
      </c>
      <c r="G68" s="14" t="s">
        <v>66</v>
      </c>
      <c r="H68" s="15">
        <f>'[1]V, inciso p) (OP)'!AG33</f>
        <v>1223679.9099999999</v>
      </c>
      <c r="I68" s="14" t="str">
        <f>'[1]V, inciso p) (OP)'!AS33</f>
        <v>Tesitán</v>
      </c>
      <c r="J68" s="12" t="str">
        <f>'[1]V, inciso p) (OP)'!T33</f>
        <v>Clarissa Gabriela</v>
      </c>
      <c r="K68" s="12" t="str">
        <f>'[1]V, inciso p) (OP)'!U33</f>
        <v>Valdez</v>
      </c>
      <c r="L68" s="12" t="str">
        <f>'[1]V, inciso p) (OP)'!V33</f>
        <v>Manjarrez</v>
      </c>
      <c r="M68" s="14" t="str">
        <f>'[1]V, inciso p) (OP)'!W33</f>
        <v>Tekton Grupo Empresarial, S.A. de C.V.</v>
      </c>
      <c r="N68" s="12" t="str">
        <f>'[1]V, inciso p) (OP)'!X33</f>
        <v>TGE101215JI6</v>
      </c>
      <c r="O68" s="15">
        <f t="shared" si="2"/>
        <v>1223679.9099999999</v>
      </c>
      <c r="P68" s="15">
        <v>1162470.52</v>
      </c>
      <c r="Q68" s="12" t="s">
        <v>361</v>
      </c>
      <c r="R68" s="15">
        <f>O68/510</f>
        <v>2399.3723725490195</v>
      </c>
      <c r="S68" s="12" t="s">
        <v>42</v>
      </c>
      <c r="T68" s="17">
        <v>60027</v>
      </c>
      <c r="U68" s="14" t="s">
        <v>43</v>
      </c>
      <c r="V68" s="12" t="s">
        <v>44</v>
      </c>
      <c r="W68" s="13">
        <f>'[1]V, inciso p) (OP)'!AM33</f>
        <v>42614</v>
      </c>
      <c r="X68" s="13">
        <f>'[1]V, inciso p) (OP)'!AN33</f>
        <v>42705</v>
      </c>
      <c r="Y68" s="12" t="s">
        <v>336</v>
      </c>
      <c r="Z68" s="12" t="s">
        <v>337</v>
      </c>
      <c r="AA68" s="12" t="s">
        <v>120</v>
      </c>
      <c r="AB68" s="16" t="s">
        <v>1585</v>
      </c>
      <c r="AC68" s="16"/>
      <c r="AD68" s="14"/>
    </row>
    <row r="69" spans="1:30" ht="80.099999999999994" customHeight="1">
      <c r="A69" s="5">
        <v>55</v>
      </c>
      <c r="B69" s="12">
        <v>2016</v>
      </c>
      <c r="C69" s="14" t="s">
        <v>31</v>
      </c>
      <c r="D69" s="14" t="str">
        <f>'[1]V, inciso p) (OP)'!D34</f>
        <v>DOPI-MUN-PP-PAV-LP-055-2016</v>
      </c>
      <c r="E69" s="13">
        <f>'[1]V, inciso p) (OP)'!AD34</f>
        <v>42605</v>
      </c>
      <c r="F69" s="14" t="str">
        <f>'[1]V, inciso p) (OP)'!AL34</f>
        <v>Construcción de pavimento de concreto hidráulico MR-45, sustitución de líneas de agua potable y de alcantarillado, alumbrado público, construcción de guarniciones y banquetas, en la calle 5 Mayo - Puebla de la calle Ramón Corona a la calle Jalisco, en la localidad de Tesistán, municipio de Zapopan, Jalisco.</v>
      </c>
      <c r="G69" s="14" t="s">
        <v>66</v>
      </c>
      <c r="H69" s="15">
        <f>'[1]V, inciso p) (OP)'!AG34</f>
        <v>1229696.57</v>
      </c>
      <c r="I69" s="14" t="str">
        <f>'[1]V, inciso p) (OP)'!AS34</f>
        <v>Tesitán</v>
      </c>
      <c r="J69" s="12" t="str">
        <f>'[1]V, inciso p) (OP)'!T34</f>
        <v>Raul</v>
      </c>
      <c r="K69" s="12" t="str">
        <f>'[1]V, inciso p) (OP)'!U34</f>
        <v xml:space="preserve">Ortega </v>
      </c>
      <c r="L69" s="12" t="str">
        <f>'[1]V, inciso p) (OP)'!V34</f>
        <v>Jara</v>
      </c>
      <c r="M69" s="14" t="str">
        <f>'[1]V, inciso p) (OP)'!W34</f>
        <v>Construcciones Anayari, S.A. de C.V.</v>
      </c>
      <c r="N69" s="12" t="str">
        <f>'[1]V, inciso p) (OP)'!X34</f>
        <v>CAN030528ME0</v>
      </c>
      <c r="O69" s="15">
        <f t="shared" si="2"/>
        <v>1229696.57</v>
      </c>
      <c r="P69" s="15">
        <v>1209411.94</v>
      </c>
      <c r="Q69" s="12" t="s">
        <v>361</v>
      </c>
      <c r="R69" s="15">
        <f>O69/510</f>
        <v>2411.1697450980391</v>
      </c>
      <c r="S69" s="12" t="s">
        <v>42</v>
      </c>
      <c r="T69" s="17">
        <v>60027</v>
      </c>
      <c r="U69" s="14" t="s">
        <v>43</v>
      </c>
      <c r="V69" s="12" t="s">
        <v>44</v>
      </c>
      <c r="W69" s="13">
        <f>'[1]V, inciso p) (OP)'!AM34</f>
        <v>42614</v>
      </c>
      <c r="X69" s="13">
        <f>'[1]V, inciso p) (OP)'!AN34</f>
        <v>42705</v>
      </c>
      <c r="Y69" s="12" t="s">
        <v>336</v>
      </c>
      <c r="Z69" s="12" t="s">
        <v>337</v>
      </c>
      <c r="AA69" s="12" t="s">
        <v>120</v>
      </c>
      <c r="AB69" s="14" t="s">
        <v>1615</v>
      </c>
      <c r="AC69" s="18"/>
      <c r="AD69" s="14"/>
    </row>
    <row r="70" spans="1:30" ht="80.099999999999994" customHeight="1">
      <c r="A70" s="5">
        <v>56</v>
      </c>
      <c r="B70" s="12">
        <v>2016</v>
      </c>
      <c r="C70" s="14" t="s">
        <v>31</v>
      </c>
      <c r="D70" s="14" t="str">
        <f>'[1]V, inciso p) (OP)'!D35</f>
        <v>DOPI-MUN-PP-PAV-LP-056-2016</v>
      </c>
      <c r="E70" s="13">
        <f>'[1]V, inciso p) (OP)'!AD35</f>
        <v>42591</v>
      </c>
      <c r="F70" s="14" t="str">
        <f>'[1]V, inciso p) (OP)'!AL35</f>
        <v>Construcción de pavimento de concreto hidráulico MR-45, sustitución de líneas de agua potable y de alcantarillado, alumbrado público, construcción de guarniciones y banquetas, en la calle Mercurio de la Prolongación Guadalupe a la calle Pirita, en la colonia Arenales Tapatios, municipio de Zapopan, Jalisco.</v>
      </c>
      <c r="G70" s="14" t="s">
        <v>66</v>
      </c>
      <c r="H70" s="15">
        <f>'[1]V, inciso p) (OP)'!AG35</f>
        <v>5518122.6399999997</v>
      </c>
      <c r="I70" s="14" t="str">
        <f>'[1]V, inciso p) (OP)'!AS35</f>
        <v>Colonia Arenales Tapatios</v>
      </c>
      <c r="J70" s="12" t="str">
        <f>'[1]V, inciso p) (OP)'!T35</f>
        <v>Carlos Ignacio</v>
      </c>
      <c r="K70" s="12" t="str">
        <f>'[1]V, inciso p) (OP)'!U35</f>
        <v>Curiel</v>
      </c>
      <c r="L70" s="12" t="str">
        <f>'[1]V, inciso p) (OP)'!V35</f>
        <v>Dueñas</v>
      </c>
      <c r="M70" s="14" t="str">
        <f>'[1]V, inciso p) (OP)'!W35</f>
        <v>Constructora Cecuchi, S.A. de C.V.</v>
      </c>
      <c r="N70" s="12" t="str">
        <f>'[1]V, inciso p) (OP)'!X35</f>
        <v>CCE130723IR7</v>
      </c>
      <c r="O70" s="15">
        <f t="shared" si="2"/>
        <v>5518122.6399999997</v>
      </c>
      <c r="P70" s="15">
        <v>4516237.1500000004</v>
      </c>
      <c r="Q70" s="12" t="s">
        <v>362</v>
      </c>
      <c r="R70" s="15">
        <f>O70/3045</f>
        <v>1812.1913431855501</v>
      </c>
      <c r="S70" s="12" t="s">
        <v>42</v>
      </c>
      <c r="T70" s="17">
        <v>6432</v>
      </c>
      <c r="U70" s="14" t="s">
        <v>43</v>
      </c>
      <c r="V70" s="12" t="s">
        <v>44</v>
      </c>
      <c r="W70" s="13">
        <f>'[1]V, inciso p) (OP)'!AM35</f>
        <v>42592</v>
      </c>
      <c r="X70" s="13">
        <f>'[1]V, inciso p) (OP)'!AN35</f>
        <v>42713</v>
      </c>
      <c r="Y70" s="12" t="s">
        <v>363</v>
      </c>
      <c r="Z70" s="12" t="s">
        <v>236</v>
      </c>
      <c r="AA70" s="12" t="s">
        <v>147</v>
      </c>
      <c r="AB70" s="14" t="s">
        <v>48</v>
      </c>
      <c r="AC70" s="14" t="s">
        <v>48</v>
      </c>
      <c r="AD70" s="14"/>
    </row>
    <row r="71" spans="1:30" ht="80.099999999999994" customHeight="1">
      <c r="A71" s="5">
        <v>57</v>
      </c>
      <c r="B71" s="12">
        <v>2016</v>
      </c>
      <c r="C71" s="14" t="s">
        <v>31</v>
      </c>
      <c r="D71" s="14" t="str">
        <f>'[1]V, inciso p) (OP)'!D36</f>
        <v>DOPI-MUN-PP-PAV-LP-057-2016</v>
      </c>
      <c r="E71" s="13">
        <f>'[1]V, inciso p) (OP)'!AD36</f>
        <v>42591</v>
      </c>
      <c r="F71" s="14" t="str">
        <f>'[1]V, inciso p) (OP)'!AL36</f>
        <v>Construcción de pavimento de concreto hidráulico MR-45, sustitución de líneas de agua potable y de alcantarillado, alumbrado público, construcción de guarniciones y banquetas, en la calle Mercurio de la calle Pirita a la calle Hierro, en la colonia Arenales Tapatios, municipio de Zapopan, Jalisco.</v>
      </c>
      <c r="G71" s="14" t="s">
        <v>66</v>
      </c>
      <c r="H71" s="15">
        <f>'[1]V, inciso p) (OP)'!AG36</f>
        <v>5312056.17</v>
      </c>
      <c r="I71" s="14" t="str">
        <f>'[1]V, inciso p) (OP)'!AS36</f>
        <v>Colonia Arenales Tapatios</v>
      </c>
      <c r="J71" s="12" t="str">
        <f>'[1]V, inciso p) (OP)'!T36</f>
        <v>Sergio Cesar</v>
      </c>
      <c r="K71" s="12" t="str">
        <f>'[1]V, inciso p) (OP)'!U36</f>
        <v>Diaz</v>
      </c>
      <c r="L71" s="12" t="str">
        <f>'[1]V, inciso p) (OP)'!V36</f>
        <v>Quiroz</v>
      </c>
      <c r="M71" s="14" t="str">
        <f>'[1]V, inciso p) (OP)'!W36</f>
        <v>Transcreto S.A. de C.V.</v>
      </c>
      <c r="N71" s="12" t="str">
        <f>'[1]V, inciso p) (OP)'!X36</f>
        <v>TRA750528286</v>
      </c>
      <c r="O71" s="15">
        <f t="shared" si="2"/>
        <v>5312056.17</v>
      </c>
      <c r="P71" s="15">
        <v>5253608.43</v>
      </c>
      <c r="Q71" s="12" t="s">
        <v>362</v>
      </c>
      <c r="R71" s="15">
        <f>O71/3045</f>
        <v>1744.5176256157636</v>
      </c>
      <c r="S71" s="12" t="s">
        <v>42</v>
      </c>
      <c r="T71" s="17">
        <v>6432</v>
      </c>
      <c r="U71" s="14" t="s">
        <v>43</v>
      </c>
      <c r="V71" s="12" t="s">
        <v>44</v>
      </c>
      <c r="W71" s="13">
        <f>'[1]V, inciso p) (OP)'!AM36</f>
        <v>42592</v>
      </c>
      <c r="X71" s="13">
        <f>'[1]V, inciso p) (OP)'!AN36</f>
        <v>42713</v>
      </c>
      <c r="Y71" s="12" t="s">
        <v>363</v>
      </c>
      <c r="Z71" s="12" t="s">
        <v>236</v>
      </c>
      <c r="AA71" s="12" t="s">
        <v>147</v>
      </c>
      <c r="AB71" s="18" t="s">
        <v>1667</v>
      </c>
      <c r="AC71" s="14" t="s">
        <v>48</v>
      </c>
      <c r="AD71" s="14"/>
    </row>
    <row r="72" spans="1:30" ht="80.099999999999994" customHeight="1">
      <c r="A72" s="5">
        <v>58</v>
      </c>
      <c r="B72" s="12">
        <v>2016</v>
      </c>
      <c r="C72" s="14" t="s">
        <v>31</v>
      </c>
      <c r="D72" s="14" t="str">
        <f>'[1]V, inciso p) (OP)'!D37</f>
        <v>DOPI-MUN-PP-PAV-LP-058-2016</v>
      </c>
      <c r="E72" s="13">
        <f>'[1]V, inciso p) (OP)'!AD37</f>
        <v>42591</v>
      </c>
      <c r="F72" s="14" t="str">
        <f>'[1]V, inciso p) (OP)'!AL37</f>
        <v>Reencarpetamiento de la vialidad, desbastado de la carpeta existente, nivelación de pozos de visita, cajas de válvulas, rejillas pluviales, bocas de tormenta y elementos estructurales que sobresalen de la rasante de la vialidad, calafateos, señaletica horizontal, construcción de banquetas, guarniciones, alumbrado público, en Calzada Federalistas - Del Valle de la Avenida Federalistas a camino viejo a Tesistán, municipio de Zapopan, Jalisco.</v>
      </c>
      <c r="G72" s="14" t="s">
        <v>66</v>
      </c>
      <c r="H72" s="15">
        <f>'[1]V, inciso p) (OP)'!AG37</f>
        <v>7853005.75</v>
      </c>
      <c r="I72" s="14" t="str">
        <f>'[1]V, inciso p) (OP)'!AS37</f>
        <v>Tesitán</v>
      </c>
      <c r="J72" s="12" t="str">
        <f>'[1]V, inciso p) (OP)'!T37</f>
        <v>Enrique Christian</v>
      </c>
      <c r="K72" s="12" t="str">
        <f>'[1]V, inciso p) (OP)'!U37</f>
        <v>Anshiro Minakata</v>
      </c>
      <c r="L72" s="12" t="str">
        <f>'[1]V, inciso p) (OP)'!V37</f>
        <v>Morentin</v>
      </c>
      <c r="M72" s="14" t="str">
        <f>'[1]V, inciso p) (OP)'!W37</f>
        <v>Construcciones Mirot, S.A. de C.V.</v>
      </c>
      <c r="N72" s="12" t="str">
        <f>'[1]V, inciso p) (OP)'!X37</f>
        <v>CMI110222AA0</v>
      </c>
      <c r="O72" s="15">
        <f t="shared" si="2"/>
        <v>7853005.75</v>
      </c>
      <c r="P72" s="15">
        <v>7853005.3600000003</v>
      </c>
      <c r="Q72" s="12" t="s">
        <v>364</v>
      </c>
      <c r="R72" s="15">
        <f>O72/13005</f>
        <v>603.84511726259132</v>
      </c>
      <c r="S72" s="12" t="s">
        <v>42</v>
      </c>
      <c r="T72" s="17">
        <v>21089</v>
      </c>
      <c r="U72" s="14" t="s">
        <v>43</v>
      </c>
      <c r="V72" s="12" t="s">
        <v>44</v>
      </c>
      <c r="W72" s="13">
        <f>'[1]V, inciso p) (OP)'!AM37</f>
        <v>42592</v>
      </c>
      <c r="X72" s="13">
        <f>'[1]V, inciso p) (OP)'!AN37</f>
        <v>42683</v>
      </c>
      <c r="Y72" s="12" t="s">
        <v>365</v>
      </c>
      <c r="Z72" s="12" t="s">
        <v>366</v>
      </c>
      <c r="AA72" s="12" t="s">
        <v>367</v>
      </c>
      <c r="AB72" s="14" t="s">
        <v>1616</v>
      </c>
      <c r="AC72" s="18"/>
      <c r="AD72" s="14"/>
    </row>
    <row r="73" spans="1:30" ht="80.099999999999994" customHeight="1">
      <c r="A73" s="5">
        <v>59</v>
      </c>
      <c r="B73" s="12">
        <v>2016</v>
      </c>
      <c r="C73" s="14" t="s">
        <v>31</v>
      </c>
      <c r="D73" s="14" t="str">
        <f>'[1]V, inciso p) (OP)'!D38</f>
        <v>DOPI-MUN-PP-PAV-LP-059-2016</v>
      </c>
      <c r="E73" s="13">
        <f>'[1]V, inciso p) (OP)'!AD38</f>
        <v>42591</v>
      </c>
      <c r="F73" s="14" t="str">
        <f>'[1]V, inciso p) (OP)'!AL38</f>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Valle de Atemajac de la Avenida Central (Federalistas) a Prolongación Acueducto, municipio de Zapopan, Jalisco.</v>
      </c>
      <c r="G73" s="14" t="s">
        <v>66</v>
      </c>
      <c r="H73" s="15">
        <f>'[1]V, inciso p) (OP)'!AG38</f>
        <v>6564336.8600000003</v>
      </c>
      <c r="I73" s="14" t="str">
        <f>'[1]V, inciso p) (OP)'!AS38</f>
        <v>Colonia Valle de Atemajac</v>
      </c>
      <c r="J73" s="12" t="str">
        <f>'[1]V, inciso p) (OP)'!T38</f>
        <v>Rodrigo</v>
      </c>
      <c r="K73" s="12" t="str">
        <f>'[1]V, inciso p) (OP)'!U38</f>
        <v>Ramos</v>
      </c>
      <c r="L73" s="12" t="str">
        <f>'[1]V, inciso p) (OP)'!V38</f>
        <v>Garibi</v>
      </c>
      <c r="M73" s="14" t="str">
        <f>'[1]V, inciso p) (OP)'!W38</f>
        <v>Metro Asfaltos, S.A. de C.V.</v>
      </c>
      <c r="N73" s="12" t="str">
        <f>'[1]V, inciso p) (OP)'!X38</f>
        <v>CMA070307RU6</v>
      </c>
      <c r="O73" s="15">
        <f t="shared" si="2"/>
        <v>6564336.8600000003</v>
      </c>
      <c r="P73" s="15">
        <v>2871543.8000000003</v>
      </c>
      <c r="Q73" s="12" t="s">
        <v>368</v>
      </c>
      <c r="R73" s="15">
        <f>O73/8610</f>
        <v>762.40846225319399</v>
      </c>
      <c r="S73" s="12" t="s">
        <v>42</v>
      </c>
      <c r="T73" s="17">
        <v>21089</v>
      </c>
      <c r="U73" s="14" t="s">
        <v>43</v>
      </c>
      <c r="V73" s="12" t="s">
        <v>44</v>
      </c>
      <c r="W73" s="13">
        <f>'[1]V, inciso p) (OP)'!AM38</f>
        <v>42592</v>
      </c>
      <c r="X73" s="13">
        <f>'[1]V, inciso p) (OP)'!AN38</f>
        <v>42713</v>
      </c>
      <c r="Y73" s="12" t="s">
        <v>365</v>
      </c>
      <c r="Z73" s="12" t="s">
        <v>366</v>
      </c>
      <c r="AA73" s="12" t="s">
        <v>367</v>
      </c>
      <c r="AB73" s="14" t="s">
        <v>1617</v>
      </c>
      <c r="AC73" s="18"/>
      <c r="AD73" s="14"/>
    </row>
    <row r="74" spans="1:30" ht="80.099999999999994" customHeight="1">
      <c r="A74" s="5">
        <v>60</v>
      </c>
      <c r="B74" s="12">
        <v>2016</v>
      </c>
      <c r="C74" s="14" t="s">
        <v>31</v>
      </c>
      <c r="D74" s="14" t="str">
        <f>'[1]V, inciso p) (OP)'!D39</f>
        <v>DOPI-MUN-PP-PAV-LP-060-2016</v>
      </c>
      <c r="E74" s="13">
        <f>'[1]V, inciso p) (OP)'!AD39</f>
        <v>42591</v>
      </c>
      <c r="F74" s="14" t="str">
        <f>'[1]V, inciso p) (OP)'!AL39</f>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Av. Del Valle a calle Jesús, municipio de Zapopan, Jalisco</v>
      </c>
      <c r="G74" s="14" t="s">
        <v>66</v>
      </c>
      <c r="H74" s="15">
        <f>'[1]V, inciso p) (OP)'!AG39</f>
        <v>7287576.9199999999</v>
      </c>
      <c r="I74" s="14" t="str">
        <f>'[1]V, inciso p) (OP)'!AS39</f>
        <v>Colonia Girasoles Acueducto</v>
      </c>
      <c r="J74" s="12" t="str">
        <f>'[1]V, inciso p) (OP)'!T39</f>
        <v>Ignacio Javier</v>
      </c>
      <c r="K74" s="12" t="str">
        <f>'[1]V, inciso p) (OP)'!U39</f>
        <v>Curiel</v>
      </c>
      <c r="L74" s="12" t="str">
        <f>'[1]V, inciso p) (OP)'!V39</f>
        <v>Dueñas</v>
      </c>
      <c r="M74" s="14" t="str">
        <f>'[1]V, inciso p) (OP)'!W39</f>
        <v>Tc Construcción Y Mantenimiento, S.A. de C.V.</v>
      </c>
      <c r="N74" s="12" t="str">
        <f>'[1]V, inciso p) (OP)'!X39</f>
        <v>TCM100915HA1</v>
      </c>
      <c r="O74" s="15">
        <f t="shared" si="2"/>
        <v>7287576.9199999999</v>
      </c>
      <c r="P74" s="15">
        <v>5811520.0300000003</v>
      </c>
      <c r="Q74" s="12" t="s">
        <v>369</v>
      </c>
      <c r="R74" s="15">
        <f>O74/13445</f>
        <v>542.02877798438078</v>
      </c>
      <c r="S74" s="12" t="s">
        <v>42</v>
      </c>
      <c r="T74" s="17">
        <v>21089</v>
      </c>
      <c r="U74" s="14" t="s">
        <v>43</v>
      </c>
      <c r="V74" s="12" t="s">
        <v>44</v>
      </c>
      <c r="W74" s="13">
        <f>'[1]V, inciso p) (OP)'!AM39</f>
        <v>42592</v>
      </c>
      <c r="X74" s="13">
        <f>'[1]V, inciso p) (OP)'!AN39</f>
        <v>42683</v>
      </c>
      <c r="Y74" s="12" t="s">
        <v>365</v>
      </c>
      <c r="Z74" s="12" t="s">
        <v>366</v>
      </c>
      <c r="AA74" s="12" t="s">
        <v>367</v>
      </c>
      <c r="AB74" s="14" t="s">
        <v>1618</v>
      </c>
      <c r="AC74" s="18"/>
      <c r="AD74" s="14"/>
    </row>
    <row r="75" spans="1:30" ht="80.099999999999994" customHeight="1">
      <c r="A75" s="5">
        <v>61</v>
      </c>
      <c r="B75" s="12">
        <v>2016</v>
      </c>
      <c r="C75" s="14" t="s">
        <v>31</v>
      </c>
      <c r="D75" s="14" t="str">
        <f>'[1]V, inciso p) (OP)'!D40</f>
        <v>DOPI-MUN-PP-PAV-LP-061-2016</v>
      </c>
      <c r="E75" s="13">
        <f>'[1]V, inciso p) (OP)'!AD40</f>
        <v>42591</v>
      </c>
      <c r="F75" s="14" t="str">
        <f>'[1]V, inciso p) (OP)'!AL40</f>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calle Jesús a calle Santa Margarita, municipio de Zapopan, Jalisco</v>
      </c>
      <c r="G75" s="14" t="s">
        <v>66</v>
      </c>
      <c r="H75" s="15">
        <f>'[1]V, inciso p) (OP)'!AG40</f>
        <v>6426888.9699999997</v>
      </c>
      <c r="I75" s="14" t="str">
        <f>'[1]V, inciso p) (OP)'!AS40</f>
        <v>Colonia Las Bóvedas</v>
      </c>
      <c r="J75" s="12" t="str">
        <f>'[1]V, inciso p) (OP)'!T40</f>
        <v>Ignacio Javier</v>
      </c>
      <c r="K75" s="12" t="str">
        <f>'[1]V, inciso p) (OP)'!U40</f>
        <v>Curiel</v>
      </c>
      <c r="L75" s="12" t="str">
        <f>'[1]V, inciso p) (OP)'!V40</f>
        <v>Dueñas</v>
      </c>
      <c r="M75" s="14" t="str">
        <f>'[1]V, inciso p) (OP)'!W40</f>
        <v>Tc Construcción Y Mantenimiento, S.A. de C.V.</v>
      </c>
      <c r="N75" s="12" t="str">
        <f>'[1]V, inciso p) (OP)'!X40</f>
        <v>TCM100915HA1</v>
      </c>
      <c r="O75" s="15">
        <f t="shared" si="2"/>
        <v>6426888.9699999997</v>
      </c>
      <c r="P75" s="15">
        <v>4611797.3500000006</v>
      </c>
      <c r="Q75" s="12" t="s">
        <v>370</v>
      </c>
      <c r="R75" s="15">
        <f>O75/11700</f>
        <v>549.30674957264955</v>
      </c>
      <c r="S75" s="12" t="s">
        <v>42</v>
      </c>
      <c r="T75" s="17">
        <v>21089</v>
      </c>
      <c r="U75" s="14" t="s">
        <v>43</v>
      </c>
      <c r="V75" s="12" t="s">
        <v>44</v>
      </c>
      <c r="W75" s="13">
        <f>'[1]V, inciso p) (OP)'!AM40</f>
        <v>42592</v>
      </c>
      <c r="X75" s="13">
        <f>'[1]V, inciso p) (OP)'!AN40</f>
        <v>42683</v>
      </c>
      <c r="Y75" s="12" t="s">
        <v>365</v>
      </c>
      <c r="Z75" s="12" t="s">
        <v>366</v>
      </c>
      <c r="AA75" s="12" t="s">
        <v>367</v>
      </c>
      <c r="AB75" s="14" t="s">
        <v>1619</v>
      </c>
      <c r="AC75" s="18"/>
      <c r="AD75" s="14"/>
    </row>
    <row r="76" spans="1:30" ht="80.099999999999994" customHeight="1">
      <c r="A76" s="5">
        <v>62</v>
      </c>
      <c r="B76" s="12">
        <v>2016</v>
      </c>
      <c r="C76" s="14" t="s">
        <v>31</v>
      </c>
      <c r="D76" s="14" t="str">
        <f>'[1]V, inciso p) (OP)'!D41</f>
        <v>DOPI-MUN-MA-PAV-LP-062-2016</v>
      </c>
      <c r="E76" s="13">
        <f>'[1]V, inciso p) (OP)'!AD41</f>
        <v>42632</v>
      </c>
      <c r="F76" s="14" t="str">
        <f>'[1]V, inciso p) (OP)'!AL41</f>
        <v>Rehabilitación de la pavimentación de la Av. López Mateos Sur de Periférico Sur a Av. Copérnico (carriles centrales se sustituyen con concreto hidráulico).</v>
      </c>
      <c r="G76" s="14" t="s">
        <v>66</v>
      </c>
      <c r="H76" s="15">
        <f>'[1]V, inciso p) (OP)'!AJ41</f>
        <v>79605111.310000002</v>
      </c>
      <c r="I76" s="14" t="s">
        <v>371</v>
      </c>
      <c r="J76" s="12" t="str">
        <f>'[1]V, inciso p) (OP)'!T41</f>
        <v>José Manuel</v>
      </c>
      <c r="K76" s="12" t="str">
        <f>'[1]V, inciso p) (OP)'!U41</f>
        <v>Gómez</v>
      </c>
      <c r="L76" s="12" t="str">
        <f>'[1]V, inciso p) (OP)'!V41</f>
        <v>Castellanos</v>
      </c>
      <c r="M76" s="14" t="str">
        <f>'[1]V, inciso p) (OP)'!W41</f>
        <v>GVA Desarrollos Integrales, S.A. de C.V.</v>
      </c>
      <c r="N76" s="12" t="str">
        <f>'[1]V, inciso p) (OP)'!X41</f>
        <v>GDI020122D2A</v>
      </c>
      <c r="O76" s="15">
        <f t="shared" si="2"/>
        <v>79605111.310000002</v>
      </c>
      <c r="P76" s="15">
        <v>73473638.060000002</v>
      </c>
      <c r="Q76" s="12" t="s">
        <v>372</v>
      </c>
      <c r="R76" s="15">
        <f>O76/38846</f>
        <v>2049.2486050043763</v>
      </c>
      <c r="S76" s="12" t="s">
        <v>42</v>
      </c>
      <c r="T76" s="17">
        <v>845000</v>
      </c>
      <c r="U76" s="14" t="s">
        <v>43</v>
      </c>
      <c r="V76" s="12" t="s">
        <v>44</v>
      </c>
      <c r="W76" s="13">
        <f>'[1]V, inciso p) (OP)'!AM41</f>
        <v>42632</v>
      </c>
      <c r="X76" s="13">
        <f>'[1]V, inciso p) (OP)'!AN41</f>
        <v>42768</v>
      </c>
      <c r="Y76" s="12" t="s">
        <v>373</v>
      </c>
      <c r="Z76" s="12" t="s">
        <v>374</v>
      </c>
      <c r="AA76" s="12" t="s">
        <v>375</v>
      </c>
      <c r="AB76" s="18" t="s">
        <v>1668</v>
      </c>
      <c r="AC76" s="14" t="s">
        <v>48</v>
      </c>
      <c r="AD76" s="14"/>
    </row>
    <row r="77" spans="1:30" ht="80.099999999999994" customHeight="1">
      <c r="A77" s="5">
        <v>63</v>
      </c>
      <c r="B77" s="12">
        <v>2016</v>
      </c>
      <c r="C77" s="14" t="s">
        <v>31</v>
      </c>
      <c r="D77" s="14" t="str">
        <f>'[1]V, inciso p) (OP)'!D42</f>
        <v>DOPI-MUN-MA-PAV-LP-063-2016</v>
      </c>
      <c r="E77" s="13">
        <f>'[1]V, inciso p) (OP)'!AD42</f>
        <v>42632</v>
      </c>
      <c r="F77" s="14" t="str">
        <f>'[1]V, inciso p) (OP)'!AL42</f>
        <v>Rehabilitación y mantenimiento de pavimentos de vialidades (reencarpetamiento, sellado, sustitución de lozas dañadas, calafateo y señalamiento horizontal) en diferentes colonias del municipio.</v>
      </c>
      <c r="G77" s="14" t="s">
        <v>66</v>
      </c>
      <c r="H77" s="15">
        <f>'[1]V, inciso p) (OP)'!AJ42</f>
        <v>79764410.700000003</v>
      </c>
      <c r="I77" s="14" t="s">
        <v>376</v>
      </c>
      <c r="J77" s="12" t="str">
        <f>'[1]V, inciso p) (OP)'!T42</f>
        <v>Diego</v>
      </c>
      <c r="K77" s="12" t="str">
        <f>'[1]V, inciso p) (OP)'!U42</f>
        <v>Valenzuela</v>
      </c>
      <c r="L77" s="12" t="str">
        <f>'[1]V, inciso p) (OP)'!V42</f>
        <v>Cadena</v>
      </c>
      <c r="M77" s="14" t="str">
        <f>'[1]V, inciso p) (OP)'!W42</f>
        <v>Fuerza de Apoyo Constructiva de Occidente, S.A. de C.V.</v>
      </c>
      <c r="N77" s="12" t="str">
        <f>'[1]V, inciso p) (OP)'!X42</f>
        <v>FAC010607TI0</v>
      </c>
      <c r="O77" s="15">
        <f t="shared" si="2"/>
        <v>79764410.700000003</v>
      </c>
      <c r="P77" s="15">
        <f>O77</f>
        <v>79764410.700000003</v>
      </c>
      <c r="Q77" s="12" t="s">
        <v>377</v>
      </c>
      <c r="R77" s="15">
        <f>O77/95806</f>
        <v>832.56174665469803</v>
      </c>
      <c r="S77" s="12" t="s">
        <v>42</v>
      </c>
      <c r="T77" s="17">
        <v>243524</v>
      </c>
      <c r="U77" s="14" t="s">
        <v>43</v>
      </c>
      <c r="V77" s="12" t="s">
        <v>378</v>
      </c>
      <c r="W77" s="13">
        <f>'[1]V, inciso p) (OP)'!AM42</f>
        <v>42632</v>
      </c>
      <c r="X77" s="13">
        <f>'[1]V, inciso p) (OP)'!AN42</f>
        <v>42768</v>
      </c>
      <c r="Y77" s="12" t="s">
        <v>373</v>
      </c>
      <c r="Z77" s="12" t="s">
        <v>374</v>
      </c>
      <c r="AA77" s="12" t="s">
        <v>375</v>
      </c>
      <c r="AB77" s="18" t="s">
        <v>1669</v>
      </c>
      <c r="AC77" s="14" t="s">
        <v>48</v>
      </c>
      <c r="AD77" s="14" t="s">
        <v>1571</v>
      </c>
    </row>
    <row r="78" spans="1:30" ht="80.099999999999994" customHeight="1">
      <c r="A78" s="5">
        <v>64</v>
      </c>
      <c r="B78" s="12">
        <v>2016</v>
      </c>
      <c r="C78" s="14" t="s">
        <v>31</v>
      </c>
      <c r="D78" s="14" t="str">
        <f>'[1]V, inciso p) (OP)'!D43</f>
        <v>DOPI-MUN-AMP-PAV-LP-064-2016</v>
      </c>
      <c r="E78" s="13">
        <f>'[1]V, inciso p) (OP)'!AD43</f>
        <v>42591</v>
      </c>
      <c r="F78" s="14" t="str">
        <f>'[1]V, inciso p) (OP)'!AL43</f>
        <v>Reencarpetamiento de la vialidad, desbastado de la carpeta existente, nivelación de pozos de visita, cajas de válvulas, rejillas pluviales, bocas de tormenta y elementos estructurales que sobresalen de la rasante de la vialidad, calafateos, señalética horizontal en la Av. Juan Gil Preciado (carriles centrales), de carretera a Colotlán a Tesistán, municipio de Zapopan, Jalisco.</v>
      </c>
      <c r="G78" s="14" t="s">
        <v>66</v>
      </c>
      <c r="H78" s="15">
        <f>'[1]V, inciso p) (OP)'!AG43</f>
        <v>12009584.140000001</v>
      </c>
      <c r="I78" s="14" t="str">
        <f>'[1]V, inciso p) (OP)'!AS43</f>
        <v>Colonia Nuevo México</v>
      </c>
      <c r="J78" s="12" t="str">
        <f>'[1]V, inciso p) (OP)'!T43</f>
        <v>Rodrigo</v>
      </c>
      <c r="K78" s="12" t="str">
        <f>'[1]V, inciso p) (OP)'!U43</f>
        <v>Ramos</v>
      </c>
      <c r="L78" s="12" t="str">
        <f>'[1]V, inciso p) (OP)'!V43</f>
        <v>Garibi</v>
      </c>
      <c r="M78" s="14" t="str">
        <f>'[1]V, inciso p) (OP)'!W43</f>
        <v>Metro Asfaltos, S.A. de C.V.</v>
      </c>
      <c r="N78" s="12" t="str">
        <f>'[1]V, inciso p) (OP)'!X43</f>
        <v>CMA070307RU6</v>
      </c>
      <c r="O78" s="15">
        <f t="shared" si="2"/>
        <v>12009584.140000001</v>
      </c>
      <c r="P78" s="15">
        <v>12009584.15</v>
      </c>
      <c r="Q78" s="12" t="s">
        <v>379</v>
      </c>
      <c r="R78" s="15">
        <f>O78/40328</f>
        <v>297.79766266613768</v>
      </c>
      <c r="S78" s="12" t="s">
        <v>42</v>
      </c>
      <c r="T78" s="17">
        <v>60027</v>
      </c>
      <c r="U78" s="14" t="s">
        <v>43</v>
      </c>
      <c r="V78" s="12" t="s">
        <v>44</v>
      </c>
      <c r="W78" s="13">
        <f>'[1]V, inciso p) (OP)'!AM43</f>
        <v>42592</v>
      </c>
      <c r="X78" s="13">
        <f>'[1]V, inciso p) (OP)'!AN43</f>
        <v>42666</v>
      </c>
      <c r="Y78" s="12" t="s">
        <v>380</v>
      </c>
      <c r="Z78" s="12" t="s">
        <v>257</v>
      </c>
      <c r="AA78" s="12" t="s">
        <v>258</v>
      </c>
      <c r="AB78" s="16" t="s">
        <v>1586</v>
      </c>
      <c r="AC78" s="16"/>
      <c r="AD78" s="14"/>
    </row>
    <row r="79" spans="1:30" ht="80.099999999999994" customHeight="1">
      <c r="A79" s="5">
        <v>65</v>
      </c>
      <c r="B79" s="12">
        <v>2016</v>
      </c>
      <c r="C79" s="14" t="s">
        <v>31</v>
      </c>
      <c r="D79" s="14" t="str">
        <f>'[1]V, inciso p) (OP)'!D44</f>
        <v>DOPI-MUN-AMP-PAV-LP-065-2016</v>
      </c>
      <c r="E79" s="13">
        <f>'[1]V, inciso p) (OP)'!AD44</f>
        <v>42592</v>
      </c>
      <c r="F79" s="14" t="str">
        <f>'[1]V, inciso p) (OP)'!AL44</f>
        <v>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laterales), de carretera a Colotlán a Tesistán, municipio de Zapopan, Jalisco.</v>
      </c>
      <c r="G79" s="14" t="s">
        <v>66</v>
      </c>
      <c r="H79" s="15">
        <f>'[1]V, inciso p) (OP)'!AG44</f>
        <v>10115493.029999999</v>
      </c>
      <c r="I79" s="14" t="str">
        <f>'[1]V, inciso p) (OP)'!AS44</f>
        <v>Colonia Nuevo México</v>
      </c>
      <c r="J79" s="12" t="str">
        <f>'[1]V, inciso p) (OP)'!T44</f>
        <v>Jose Luis</v>
      </c>
      <c r="K79" s="12" t="str">
        <f>'[1]V, inciso p) (OP)'!U44</f>
        <v>Brenez</v>
      </c>
      <c r="L79" s="12" t="str">
        <f>'[1]V, inciso p) (OP)'!V44</f>
        <v>Moreno</v>
      </c>
      <c r="M79" s="14" t="str">
        <f>'[1]V, inciso p) (OP)'!W44</f>
        <v>Breysa Constructora, S.A. de C.V.</v>
      </c>
      <c r="N79" s="12" t="str">
        <f>'[1]V, inciso p) (OP)'!X44</f>
        <v>BCO900423GC5</v>
      </c>
      <c r="O79" s="15">
        <f t="shared" si="2"/>
        <v>10115493.029999999</v>
      </c>
      <c r="P79" s="15">
        <v>10088983.83</v>
      </c>
      <c r="Q79" s="12" t="s">
        <v>381</v>
      </c>
      <c r="R79" s="15">
        <f>O79/24640</f>
        <v>410.53137297077922</v>
      </c>
      <c r="S79" s="12" t="s">
        <v>42</v>
      </c>
      <c r="T79" s="17">
        <v>60027</v>
      </c>
      <c r="U79" s="14" t="s">
        <v>43</v>
      </c>
      <c r="V79" s="12" t="s">
        <v>44</v>
      </c>
      <c r="W79" s="13">
        <f>'[1]V, inciso p) (OP)'!AM44</f>
        <v>42592</v>
      </c>
      <c r="X79" s="13">
        <f>'[1]V, inciso p) (OP)'!AN44</f>
        <v>42683</v>
      </c>
      <c r="Y79" s="12" t="s">
        <v>380</v>
      </c>
      <c r="Z79" s="12" t="s">
        <v>257</v>
      </c>
      <c r="AA79" s="12" t="s">
        <v>258</v>
      </c>
      <c r="AB79" s="14" t="s">
        <v>48</v>
      </c>
      <c r="AC79" s="14" t="s">
        <v>48</v>
      </c>
      <c r="AD79" s="14"/>
    </row>
    <row r="80" spans="1:30" ht="80.099999999999994" customHeight="1">
      <c r="A80" s="5">
        <v>66</v>
      </c>
      <c r="B80" s="12">
        <v>2016</v>
      </c>
      <c r="C80" s="14" t="s">
        <v>31</v>
      </c>
      <c r="D80" s="14" t="str">
        <f>'[1]V, inciso p) (OP)'!D45</f>
        <v>DOPI-MUN-AMP-PAV-LP-066-2016</v>
      </c>
      <c r="E80" s="13">
        <f>'[1]V, inciso p) (OP)'!AD45</f>
        <v>42592</v>
      </c>
      <c r="F80" s="14" t="str">
        <f>'[1]V, inciso p) (OP)'!AL45</f>
        <v>Construcción de la primera etapa de pavimento de concreto hidráulico MR-45, de línea de agua potable, drenaje sanitario, alumbrado público, guarniciones, banquetas, ciclovía, señalética y arbolado en la Avenida Ramón Corona carril sur primera etapa, en la colonia Base Áerea Militar , municipio de Zapopan, Jalisco.</v>
      </c>
      <c r="G80" s="14" t="s">
        <v>66</v>
      </c>
      <c r="H80" s="15">
        <f>'[1]V, inciso p) (OP)'!AG45</f>
        <v>9475895.3699999992</v>
      </c>
      <c r="I80" s="14" t="str">
        <f>'[1]V, inciso p) (OP)'!AS45</f>
        <v>Colonia Base Aerea Militar</v>
      </c>
      <c r="J80" s="12" t="str">
        <f>'[1]V, inciso p) (OP)'!T45</f>
        <v>Sergio Cesar</v>
      </c>
      <c r="K80" s="12" t="str">
        <f>'[1]V, inciso p) (OP)'!U45</f>
        <v>Diaz</v>
      </c>
      <c r="L80" s="12" t="str">
        <f>'[1]V, inciso p) (OP)'!V45</f>
        <v>Quiroz</v>
      </c>
      <c r="M80" s="14" t="str">
        <f>'[1]V, inciso p) (OP)'!W45</f>
        <v>Grupo Unicreto S.A. de C.V.</v>
      </c>
      <c r="N80" s="12" t="str">
        <f>'[1]V, inciso p) (OP)'!X45</f>
        <v>GUN880613NY1</v>
      </c>
      <c r="O80" s="15">
        <f t="shared" si="2"/>
        <v>9475895.3699999992</v>
      </c>
      <c r="P80" s="15">
        <v>9475895.3699999992</v>
      </c>
      <c r="Q80" s="12" t="s">
        <v>382</v>
      </c>
      <c r="R80" s="15">
        <f>O80/6073</f>
        <v>1560.3318574016137</v>
      </c>
      <c r="S80" s="12" t="s">
        <v>42</v>
      </c>
      <c r="T80" s="17">
        <v>3428</v>
      </c>
      <c r="U80" s="14" t="s">
        <v>43</v>
      </c>
      <c r="V80" s="12" t="s">
        <v>44</v>
      </c>
      <c r="W80" s="13">
        <f>'[1]V, inciso p) (OP)'!AM45</f>
        <v>42592</v>
      </c>
      <c r="X80" s="13">
        <f>'[1]V, inciso p) (OP)'!AN45</f>
        <v>42713</v>
      </c>
      <c r="Y80" s="12" t="s">
        <v>363</v>
      </c>
      <c r="Z80" s="12" t="s">
        <v>236</v>
      </c>
      <c r="AA80" s="12" t="s">
        <v>147</v>
      </c>
      <c r="AB80" s="18" t="s">
        <v>1883</v>
      </c>
      <c r="AC80" s="14" t="s">
        <v>48</v>
      </c>
      <c r="AD80" s="14"/>
    </row>
    <row r="81" spans="1:30" ht="80.099999999999994" customHeight="1">
      <c r="A81" s="5">
        <v>68</v>
      </c>
      <c r="B81" s="12">
        <v>2016</v>
      </c>
      <c r="C81" s="14" t="s">
        <v>65</v>
      </c>
      <c r="D81" s="14" t="str">
        <f>'[1]V, inciso o) (OP)'!C42</f>
        <v>DOPI-MUN-RM-EM-AD-068-2016</v>
      </c>
      <c r="E81" s="13">
        <f>'[1]V, inciso o) (OP)'!V42</f>
        <v>42545</v>
      </c>
      <c r="F81" s="14" t="str">
        <f>'[1]V, inciso o) (OP)'!AA42</f>
        <v>Construcción de solución pluvial y de reforzamiento en terreno afectado por deslaves en paredes de terreno natural en terreno anexo a Residencial Poniente, Municipio de Zapopan, Jalisco.</v>
      </c>
      <c r="G81" s="14" t="s">
        <v>111</v>
      </c>
      <c r="H81" s="15">
        <f>'[1]V, inciso o) (OP)'!L42</f>
        <v>4496387.16</v>
      </c>
      <c r="I81" s="14" t="s">
        <v>383</v>
      </c>
      <c r="J81" s="12" t="str">
        <f>'[1]V, inciso o) (OP)'!G42</f>
        <v>Alfredo</v>
      </c>
      <c r="K81" s="12" t="str">
        <f>'[1]V, inciso o) (OP)'!H42</f>
        <v>Aguirre</v>
      </c>
      <c r="L81" s="12" t="str">
        <f>'[1]V, inciso o) (OP)'!I42</f>
        <v>Montoya</v>
      </c>
      <c r="M81" s="14" t="str">
        <f>'[1]V, inciso o) (OP)'!J42</f>
        <v>Torres Aguirre Ingenieros, S.A. de C.V.</v>
      </c>
      <c r="N81" s="12" t="str">
        <f>'[1]V, inciso o) (OP)'!K42</f>
        <v>TAI920312952</v>
      </c>
      <c r="O81" s="15">
        <f t="shared" si="2"/>
        <v>4496387.16</v>
      </c>
      <c r="P81" s="15">
        <v>3943234.2199999997</v>
      </c>
      <c r="Q81" s="12" t="s">
        <v>384</v>
      </c>
      <c r="R81" s="15">
        <f>O81/855</f>
        <v>5258.9323508771931</v>
      </c>
      <c r="S81" s="12" t="s">
        <v>42</v>
      </c>
      <c r="T81" s="17">
        <v>342</v>
      </c>
      <c r="U81" s="14" t="s">
        <v>43</v>
      </c>
      <c r="V81" s="12" t="s">
        <v>44</v>
      </c>
      <c r="W81" s="13">
        <f>'[1]V, inciso o) (OP)'!AD42</f>
        <v>42548</v>
      </c>
      <c r="X81" s="13">
        <f>'[1]V, inciso o) (OP)'!AE42</f>
        <v>42637</v>
      </c>
      <c r="Y81" s="12" t="s">
        <v>385</v>
      </c>
      <c r="Z81" s="12" t="s">
        <v>46</v>
      </c>
      <c r="AA81" s="12" t="s">
        <v>47</v>
      </c>
      <c r="AB81" s="14" t="s">
        <v>1620</v>
      </c>
      <c r="AC81" s="18"/>
      <c r="AD81" s="14"/>
    </row>
    <row r="82" spans="1:30" ht="80.099999999999994" customHeight="1">
      <c r="A82" s="5">
        <v>69</v>
      </c>
      <c r="B82" s="12">
        <v>2016</v>
      </c>
      <c r="C82" s="14" t="s">
        <v>65</v>
      </c>
      <c r="D82" s="14" t="str">
        <f>'[1]V, inciso o) (OP)'!C43</f>
        <v>DOPI-MUN-RM-EM-AD-069-2016</v>
      </c>
      <c r="E82" s="13">
        <f>'[1]V, inciso o) (OP)'!V43</f>
        <v>42542</v>
      </c>
      <c r="F82" s="14" t="str">
        <f>'[1]V, inciso o) (OP)'!AA43</f>
        <v>Reconstrucción de la cimentación, instalaciones, estructura y terminados de viviendas, y construcción de casa habitación afectadas por la explosion sucitada en el fraccionamiento Tabachines en las confluencias de la calle Frambuesos y la Av. Caobas, Municipio de Zapopan, Jalisco.</v>
      </c>
      <c r="G82" s="14" t="s">
        <v>66</v>
      </c>
      <c r="H82" s="15">
        <f>'[1]V, inciso o) (OP)'!Y43</f>
        <v>2358235.4400000004</v>
      </c>
      <c r="I82" s="14" t="s">
        <v>386</v>
      </c>
      <c r="J82" s="12" t="str">
        <f>'[1]V, inciso o) (OP)'!G43</f>
        <v>José Antonio</v>
      </c>
      <c r="K82" s="12" t="str">
        <f>'[1]V, inciso o) (OP)'!H43</f>
        <v>Cuevas</v>
      </c>
      <c r="L82" s="12" t="str">
        <f>'[1]V, inciso o) (OP)'!I43</f>
        <v>Briseño</v>
      </c>
      <c r="M82" s="14" t="str">
        <f>'[1]V, inciso o) (OP)'!J43</f>
        <v>José Antonio Cuevas Briseño</v>
      </c>
      <c r="N82" s="12" t="str">
        <f>'[1]V, inciso o) (OP)'!K43</f>
        <v>CUBA5705179V8</v>
      </c>
      <c r="O82" s="15">
        <f t="shared" si="2"/>
        <v>2358235.4400000004</v>
      </c>
      <c r="P82" s="15">
        <v>1022713.77</v>
      </c>
      <c r="Q82" s="12" t="s">
        <v>387</v>
      </c>
      <c r="R82" s="15">
        <f>O82/462</f>
        <v>5104.4057142857155</v>
      </c>
      <c r="S82" s="12" t="s">
        <v>42</v>
      </c>
      <c r="T82" s="17">
        <v>14</v>
      </c>
      <c r="U82" s="14" t="s">
        <v>43</v>
      </c>
      <c r="V82" s="12" t="s">
        <v>44</v>
      </c>
      <c r="W82" s="13">
        <f>'[1]V, inciso o) (OP)'!AD43</f>
        <v>42543</v>
      </c>
      <c r="X82" s="13">
        <f>'[1]V, inciso o) (OP)'!AE43</f>
        <v>42632</v>
      </c>
      <c r="Y82" s="12" t="s">
        <v>388</v>
      </c>
      <c r="Z82" s="12" t="s">
        <v>389</v>
      </c>
      <c r="AA82" s="12" t="s">
        <v>390</v>
      </c>
      <c r="AB82" s="14" t="s">
        <v>1621</v>
      </c>
      <c r="AC82" s="18"/>
      <c r="AD82" s="14"/>
    </row>
    <row r="83" spans="1:30" ht="80.099999999999994" customHeight="1">
      <c r="A83" s="5">
        <v>70</v>
      </c>
      <c r="B83" s="12">
        <v>2016</v>
      </c>
      <c r="C83" s="14" t="s">
        <v>65</v>
      </c>
      <c r="D83" s="14" t="str">
        <f>'[1]V, inciso o) (OP)'!C44</f>
        <v>DOPI-MUN-RM-CA-AD-070-2016</v>
      </c>
      <c r="E83" s="13">
        <f>'[1]V, inciso o) (OP)'!V44</f>
        <v>42542</v>
      </c>
      <c r="F83" s="14" t="str">
        <f>'[1]V, inciso o) (OP)'!AA44</f>
        <v>Rehabilitación de daños por sismo en aplanados, impermeabilizantes, pintura, plafones, pisos interiores y exteriores, jardineras, construcción de rampas, cubierta exterior, adecuaciones hidráulicas y acciones varias, en la Cruz Verde Santa Lucía, Municipio de Zapopan, Jalisco.</v>
      </c>
      <c r="G83" s="14" t="s">
        <v>111</v>
      </c>
      <c r="H83" s="15">
        <f>'[1]V, inciso o) (OP)'!Y44</f>
        <v>1449650.2300000002</v>
      </c>
      <c r="I83" s="14" t="s">
        <v>391</v>
      </c>
      <c r="J83" s="12" t="str">
        <f>'[1]V, inciso o) (OP)'!G44</f>
        <v xml:space="preserve">Eduardo </v>
      </c>
      <c r="K83" s="12" t="str">
        <f>'[1]V, inciso o) (OP)'!H44</f>
        <v>Plascencia</v>
      </c>
      <c r="L83" s="12" t="str">
        <f>'[1]V, inciso o) (OP)'!I44</f>
        <v>Macias</v>
      </c>
      <c r="M83" s="14" t="str">
        <f>'[1]V, inciso o) (OP)'!J44</f>
        <v>Constructora y Edificadora Plasma, S.A. de C.V.</v>
      </c>
      <c r="N83" s="12" t="str">
        <f>'[1]V, inciso o) (OP)'!K44</f>
        <v>CEP080129EK6</v>
      </c>
      <c r="O83" s="15">
        <f t="shared" si="2"/>
        <v>1449650.2300000002</v>
      </c>
      <c r="P83" s="15">
        <v>1049516.9099999999</v>
      </c>
      <c r="Q83" s="12" t="s">
        <v>392</v>
      </c>
      <c r="R83" s="15">
        <f>O83/1137</f>
        <v>1274.9782145998242</v>
      </c>
      <c r="S83" s="12" t="s">
        <v>42</v>
      </c>
      <c r="T83" s="17">
        <v>89669</v>
      </c>
      <c r="U83" s="14" t="s">
        <v>43</v>
      </c>
      <c r="V83" s="12" t="s">
        <v>44</v>
      </c>
      <c r="W83" s="13">
        <f>'[1]V, inciso o) (OP)'!AD44</f>
        <v>42543</v>
      </c>
      <c r="X83" s="13">
        <f>'[1]V, inciso o) (OP)'!AE44</f>
        <v>42632</v>
      </c>
      <c r="Y83" s="12" t="s">
        <v>336</v>
      </c>
      <c r="Z83" s="12" t="s">
        <v>337</v>
      </c>
      <c r="AA83" s="12" t="s">
        <v>120</v>
      </c>
      <c r="AB83" s="8" t="s">
        <v>1670</v>
      </c>
      <c r="AC83" s="14" t="s">
        <v>48</v>
      </c>
      <c r="AD83" s="14"/>
    </row>
    <row r="84" spans="1:30" ht="80.099999999999994" customHeight="1">
      <c r="A84" s="5">
        <v>71</v>
      </c>
      <c r="B84" s="12">
        <v>2016</v>
      </c>
      <c r="C84" s="14" t="s">
        <v>65</v>
      </c>
      <c r="D84" s="14" t="str">
        <f>'[1]V, inciso o) (OP)'!C45</f>
        <v>DOPI-MUN-RM-CA-AD-071-2016</v>
      </c>
      <c r="E84" s="13">
        <f>'[1]V, inciso o) (OP)'!V45</f>
        <v>42542</v>
      </c>
      <c r="F84" s="14" t="str">
        <f>'[1]V, inciso o) (OP)'!AA45</f>
        <v>Construcción de banquetas, guarnición, pasos holandeses, cruces pluviales, muros de mamposteo, renivelaciones asfálticas y alumbrado público sobre Periférico Norte en las confluencias de la calle Parres Arias - Zona  CUCSH, para garantizar el cruce seguro de estudiantes, en zona Belenes, Municipio de Zapopan, Jalisco.</v>
      </c>
      <c r="G84" s="14" t="s">
        <v>66</v>
      </c>
      <c r="H84" s="15">
        <f>'[1]V, inciso o) (OP)'!Y45</f>
        <v>1301258.44</v>
      </c>
      <c r="I84" s="14" t="s">
        <v>393</v>
      </c>
      <c r="J84" s="12" t="str">
        <f>'[1]V, inciso o) (OP)'!G45</f>
        <v>Ofelia</v>
      </c>
      <c r="K84" s="12" t="str">
        <f>'[1]V, inciso o) (OP)'!H45</f>
        <v>Reyes</v>
      </c>
      <c r="L84" s="12" t="str">
        <f>'[1]V, inciso o) (OP)'!I45</f>
        <v>Estrella</v>
      </c>
      <c r="M84" s="14" t="str">
        <f>'[1]V, inciso o) (OP)'!J45</f>
        <v>Wences Construcciones, S.A. de C.V.</v>
      </c>
      <c r="N84" s="12" t="str">
        <f>'[1]V, inciso o) (OP)'!K45</f>
        <v>WCO130628TM3</v>
      </c>
      <c r="O84" s="15">
        <f t="shared" si="2"/>
        <v>1301258.44</v>
      </c>
      <c r="P84" s="15">
        <v>1301248.2200000002</v>
      </c>
      <c r="Q84" s="12" t="s">
        <v>394</v>
      </c>
      <c r="R84" s="15">
        <f>O84/112</f>
        <v>11618.378928571428</v>
      </c>
      <c r="S84" s="12" t="s">
        <v>42</v>
      </c>
      <c r="T84" s="17">
        <v>36304</v>
      </c>
      <c r="U84" s="14" t="s">
        <v>43</v>
      </c>
      <c r="V84" s="12" t="s">
        <v>44</v>
      </c>
      <c r="W84" s="13">
        <f>'[1]V, inciso o) (OP)'!AD45</f>
        <v>42543</v>
      </c>
      <c r="X84" s="13">
        <f>'[1]V, inciso o) (OP)'!AE45</f>
        <v>42602</v>
      </c>
      <c r="Y84" s="12" t="s">
        <v>365</v>
      </c>
      <c r="Z84" s="12" t="s">
        <v>366</v>
      </c>
      <c r="AA84" s="12" t="s">
        <v>367</v>
      </c>
      <c r="AB84" s="8" t="s">
        <v>1884</v>
      </c>
      <c r="AC84" s="14" t="s">
        <v>48</v>
      </c>
      <c r="AD84" s="14"/>
    </row>
    <row r="85" spans="1:30" ht="80.099999999999994" customHeight="1">
      <c r="A85" s="5">
        <v>72</v>
      </c>
      <c r="B85" s="12">
        <v>2016</v>
      </c>
      <c r="C85" s="14" t="s">
        <v>65</v>
      </c>
      <c r="D85" s="14" t="str">
        <f>'[1]V, inciso o) (OP)'!C46</f>
        <v>DOPI-MUN-RM-PAV-AD-072-2016</v>
      </c>
      <c r="E85" s="13">
        <f>'[1]V, inciso o) (OP)'!V46</f>
        <v>42542</v>
      </c>
      <c r="F85" s="14" t="str">
        <f>'[1]V, inciso o) (OP)'!AA46</f>
        <v>Construcción de pavimento de concreto zampeado, guarniciones y banquetas, instalaciones hidrosanitarias y pluviales, conexión a puente peatonal, preparaciones de red eléctrica y de alumbrado público, en la calle  Venustiano Carranza en la colonia Agua Fría, Municipio de Zapopan, Jalisco.</v>
      </c>
      <c r="G85" s="14" t="s">
        <v>111</v>
      </c>
      <c r="H85" s="15">
        <f>'[1]V, inciso o) (OP)'!Y46</f>
        <v>1503202.18</v>
      </c>
      <c r="I85" s="14" t="s">
        <v>395</v>
      </c>
      <c r="J85" s="12" t="str">
        <f>'[1]V, inciso o) (OP)'!G46</f>
        <v>Elba</v>
      </c>
      <c r="K85" s="12" t="str">
        <f>'[1]V, inciso o) (OP)'!H46</f>
        <v xml:space="preserve">González </v>
      </c>
      <c r="L85" s="12" t="str">
        <f>'[1]V, inciso o) (OP)'!I46</f>
        <v>Aguirre</v>
      </c>
      <c r="M85" s="14" t="str">
        <f>'[1]V, inciso o) (OP)'!J46</f>
        <v>GA Urbanización, S.A. de C.V.</v>
      </c>
      <c r="N85" s="12" t="str">
        <f>'[1]V, inciso o) (OP)'!K46</f>
        <v>GUR120612P22</v>
      </c>
      <c r="O85" s="15">
        <f t="shared" si="2"/>
        <v>1503202.18</v>
      </c>
      <c r="P85" s="15">
        <v>704023.13</v>
      </c>
      <c r="Q85" s="12" t="s">
        <v>396</v>
      </c>
      <c r="R85" s="15">
        <f>O85/680</f>
        <v>2210.5914411764707</v>
      </c>
      <c r="S85" s="12" t="s">
        <v>42</v>
      </c>
      <c r="T85" s="17">
        <v>918</v>
      </c>
      <c r="U85" s="14" t="s">
        <v>43</v>
      </c>
      <c r="V85" s="12" t="s">
        <v>44</v>
      </c>
      <c r="W85" s="13">
        <f>'[1]V, inciso o) (OP)'!AD46</f>
        <v>42543</v>
      </c>
      <c r="X85" s="13">
        <f>'[1]V, inciso o) (OP)'!AE46</f>
        <v>42632</v>
      </c>
      <c r="Y85" s="12" t="s">
        <v>350</v>
      </c>
      <c r="Z85" s="12" t="s">
        <v>351</v>
      </c>
      <c r="AA85" s="12" t="s">
        <v>352</v>
      </c>
      <c r="AB85" s="14" t="s">
        <v>1622</v>
      </c>
      <c r="AC85" s="18"/>
      <c r="AD85" s="14"/>
    </row>
    <row r="86" spans="1:30" ht="80.099999999999994" customHeight="1">
      <c r="A86" s="5">
        <v>73</v>
      </c>
      <c r="B86" s="12">
        <v>2016</v>
      </c>
      <c r="C86" s="14" t="s">
        <v>65</v>
      </c>
      <c r="D86" s="14" t="str">
        <f>'[1]V, inciso o) (OP)'!C47</f>
        <v>DOPI-MUN-RM-IM-AD-073-2016</v>
      </c>
      <c r="E86" s="13">
        <f>'[1]V, inciso o) (OP)'!V47</f>
        <v>42545</v>
      </c>
      <c r="F86" s="14" t="str">
        <f>'[1]V, inciso o) (OP)'!AA47</f>
        <v>Construcción y rehabilitación de bardas perimetrales en el Centro Comunitario No. 15 del DIF ubicado en San Juan de Ocotán y en la guardería CAIC del DIF ubicado en Miramar, Municipio de Zapopan, Jalisco.</v>
      </c>
      <c r="G86" s="14" t="s">
        <v>111</v>
      </c>
      <c r="H86" s="15">
        <f>'[1]V, inciso o) (OP)'!Y47</f>
        <v>1398736.1200000003</v>
      </c>
      <c r="I86" s="14" t="s">
        <v>397</v>
      </c>
      <c r="J86" s="12" t="str">
        <f>'[1]V, inciso o) (OP)'!G47</f>
        <v>Hugo Armando</v>
      </c>
      <c r="K86" s="12" t="str">
        <f>'[1]V, inciso o) (OP)'!H47</f>
        <v>Prieto</v>
      </c>
      <c r="L86" s="12" t="str">
        <f>'[1]V, inciso o) (OP)'!I47</f>
        <v>Jiménez</v>
      </c>
      <c r="M86" s="14" t="str">
        <f>'[1]V, inciso o) (OP)'!J47</f>
        <v>Constructora Rural del Pais, S.A. de C.V.</v>
      </c>
      <c r="N86" s="12" t="str">
        <f>'[1]V, inciso o) (OP)'!K47</f>
        <v>CRP870708I62</v>
      </c>
      <c r="O86" s="15">
        <f t="shared" si="2"/>
        <v>1398736.1200000003</v>
      </c>
      <c r="P86" s="15">
        <v>911743.97000000009</v>
      </c>
      <c r="Q86" s="12" t="s">
        <v>398</v>
      </c>
      <c r="R86" s="15">
        <f>O86/312</f>
        <v>4483.128589743591</v>
      </c>
      <c r="S86" s="12" t="s">
        <v>42</v>
      </c>
      <c r="T86" s="17">
        <v>19228</v>
      </c>
      <c r="U86" s="14" t="s">
        <v>43</v>
      </c>
      <c r="V86" s="12" t="s">
        <v>44</v>
      </c>
      <c r="W86" s="13">
        <f>'[1]V, inciso o) (OP)'!AD47</f>
        <v>42548</v>
      </c>
      <c r="X86" s="13">
        <f>'[1]V, inciso o) (OP)'!AE47</f>
        <v>42607</v>
      </c>
      <c r="Y86" s="12" t="s">
        <v>399</v>
      </c>
      <c r="Z86" s="12" t="s">
        <v>284</v>
      </c>
      <c r="AA86" s="12" t="s">
        <v>81</v>
      </c>
      <c r="AB86" s="14" t="s">
        <v>1623</v>
      </c>
      <c r="AC86" s="18"/>
      <c r="AD86" s="14"/>
    </row>
    <row r="87" spans="1:30" ht="80.099999999999994" customHeight="1">
      <c r="A87" s="5">
        <v>74</v>
      </c>
      <c r="B87" s="12">
        <v>2016</v>
      </c>
      <c r="C87" s="14" t="s">
        <v>65</v>
      </c>
      <c r="D87" s="14" t="str">
        <f>'[1]V, inciso o) (OP)'!C48</f>
        <v>DOPI-MUN-R33FORTA-OC-AD-074-2016</v>
      </c>
      <c r="E87" s="13">
        <f>'[1]V, inciso o) (OP)'!V48</f>
        <v>42521</v>
      </c>
      <c r="F87" s="14" t="str">
        <f>'[1]V, inciso o) (OP)'!AA48</f>
        <v>Desazolve y construcción de muros de contención con mamposteria del Canal Puerta Plata en unión con Canal Santa Isabel, y desazolve de Canal Santa Lucia en la Colonia Santa Mónica Los Chorritos y Colonia Santa Lucia, Municipio de Zapopan, Jalisco.</v>
      </c>
      <c r="G87" s="14" t="s">
        <v>111</v>
      </c>
      <c r="H87" s="15">
        <f>'[1]V, inciso o) (OP)'!Y48</f>
        <v>1472628.4000000001</v>
      </c>
      <c r="I87" s="14" t="s">
        <v>400</v>
      </c>
      <c r="J87" s="12" t="str">
        <f>'[1]V, inciso o) (OP)'!G48</f>
        <v>Luis German</v>
      </c>
      <c r="K87" s="12" t="str">
        <f>'[1]V, inciso o) (OP)'!H48</f>
        <v xml:space="preserve">Delgadillo </v>
      </c>
      <c r="L87" s="12" t="str">
        <f>'[1]V, inciso o) (OP)'!I48</f>
        <v>Alcazar</v>
      </c>
      <c r="M87" s="14" t="str">
        <f>'[1]V, inciso o) (OP)'!J48</f>
        <v>Axioma Proyectos e Ingeniería, S. A. de C. V.</v>
      </c>
      <c r="N87" s="12" t="str">
        <f>'[1]V, inciso o) (OP)'!K48</f>
        <v>APE111122MI0</v>
      </c>
      <c r="O87" s="15">
        <f t="shared" si="2"/>
        <v>1472628.4000000001</v>
      </c>
      <c r="P87" s="15">
        <v>1381638.21</v>
      </c>
      <c r="Q87" s="12" t="s">
        <v>401</v>
      </c>
      <c r="R87" s="15">
        <f>O87/4700</f>
        <v>313.32519148936171</v>
      </c>
      <c r="S87" s="12" t="s">
        <v>123</v>
      </c>
      <c r="T87" s="17">
        <v>122345</v>
      </c>
      <c r="U87" s="14" t="s">
        <v>43</v>
      </c>
      <c r="V87" s="12" t="s">
        <v>44</v>
      </c>
      <c r="W87" s="13">
        <f>'[1]V, inciso o) (OP)'!AD48</f>
        <v>42522</v>
      </c>
      <c r="X87" s="13">
        <f>'[1]V, inciso o) (OP)'!AE48</f>
        <v>42566</v>
      </c>
      <c r="Y87" s="12" t="s">
        <v>185</v>
      </c>
      <c r="Z87" s="12" t="s">
        <v>186</v>
      </c>
      <c r="AA87" s="12" t="s">
        <v>92</v>
      </c>
      <c r="AB87" s="14" t="s">
        <v>1624</v>
      </c>
      <c r="AC87" s="18"/>
      <c r="AD87" s="14"/>
    </row>
    <row r="88" spans="1:30" ht="80.099999999999994" customHeight="1">
      <c r="A88" s="5">
        <v>75</v>
      </c>
      <c r="B88" s="12">
        <v>2016</v>
      </c>
      <c r="C88" s="14" t="s">
        <v>65</v>
      </c>
      <c r="D88" s="14" t="str">
        <f>'[1]V, inciso o) (OP)'!C49</f>
        <v>DOPI-MUN-R33FORTA-OC-AD-075-2016</v>
      </c>
      <c r="E88" s="13">
        <f>'[1]V, inciso o) (OP)'!V49</f>
        <v>42521</v>
      </c>
      <c r="F88" s="14" t="str">
        <f>'[1]V, inciso o) (OP)'!AA49</f>
        <v>Desazolve y limpieza en el canal Santa Catalina en el tramo de Av. Patria a Av. Mariano Otero, municipio de Zapopan, Jalisco.</v>
      </c>
      <c r="G88" s="14" t="s">
        <v>111</v>
      </c>
      <c r="H88" s="15">
        <f>'[1]V, inciso o) (OP)'!Y49</f>
        <v>1386929.62</v>
      </c>
      <c r="I88" s="14" t="s">
        <v>402</v>
      </c>
      <c r="J88" s="12" t="str">
        <f>'[1]V, inciso o) (OP)'!G49</f>
        <v>Sergio Alberto</v>
      </c>
      <c r="K88" s="12" t="str">
        <f>'[1]V, inciso o) (OP)'!H49</f>
        <v>Baylon</v>
      </c>
      <c r="L88" s="12" t="str">
        <f>'[1]V, inciso o) (OP)'!I49</f>
        <v>Moreno</v>
      </c>
      <c r="M88" s="14" t="str">
        <f>'[1]V, inciso o) (OP)'!J49</f>
        <v>Edificaciones Estructurales Cobay, S. A. de C. V.</v>
      </c>
      <c r="N88" s="12" t="str">
        <f>'[1]V, inciso o) (OP)'!K49</f>
        <v>EEC9909173A7</v>
      </c>
      <c r="O88" s="15">
        <f t="shared" si="2"/>
        <v>1386929.62</v>
      </c>
      <c r="P88" s="15">
        <v>1386928.81</v>
      </c>
      <c r="Q88" s="12" t="s">
        <v>403</v>
      </c>
      <c r="R88" s="15">
        <f>O88/30700</f>
        <v>45.176860586319222</v>
      </c>
      <c r="S88" s="12" t="s">
        <v>123</v>
      </c>
      <c r="T88" s="17">
        <v>164322</v>
      </c>
      <c r="U88" s="14" t="s">
        <v>43</v>
      </c>
      <c r="V88" s="12" t="s">
        <v>44</v>
      </c>
      <c r="W88" s="13">
        <f>'[1]V, inciso o) (OP)'!AD49</f>
        <v>42522</v>
      </c>
      <c r="X88" s="13">
        <f>'[1]V, inciso o) (OP)'!AE49</f>
        <v>42566</v>
      </c>
      <c r="Y88" s="12" t="s">
        <v>195</v>
      </c>
      <c r="Z88" s="12" t="s">
        <v>196</v>
      </c>
      <c r="AA88" s="12" t="s">
        <v>197</v>
      </c>
      <c r="AB88" s="14" t="s">
        <v>1625</v>
      </c>
      <c r="AC88" s="18"/>
      <c r="AD88" s="14"/>
    </row>
    <row r="89" spans="1:30" ht="80.099999999999994" customHeight="1">
      <c r="A89" s="5">
        <v>76</v>
      </c>
      <c r="B89" s="12">
        <v>2016</v>
      </c>
      <c r="C89" s="14" t="s">
        <v>65</v>
      </c>
      <c r="D89" s="14" t="str">
        <f>'[1]V, inciso o) (OP)'!C50</f>
        <v>DOPI-MUN-R33FORTA-OC-AD-076-2016</v>
      </c>
      <c r="E89" s="13">
        <f>'[1]V, inciso o) (OP)'!V50</f>
        <v>42523</v>
      </c>
      <c r="F89" s="14" t="str">
        <f>'[1]V, inciso o) (OP)'!AA50</f>
        <v>Reparación de muros de contención de mamposteria, demolición de elementos estructurales de concreto armado, construcción y rectificación de plantilla y de muro de mamposteria, rehabilitación y colocación de malla ciclonica de protección perimetral, construcción de puente peatonal metalico, limpieza y desazolve en el canal pluvial Villas Perisur, en la Colonia El Briseño; Construcción de muro de concreto reforzado divisorio de carriles para corregir escurrimientos superficiales para mitigar inundación en retorno deprimido en Periférico Póniente y Mariano Otero, Municipio de Zapopan, Jalisco.</v>
      </c>
      <c r="G89" s="14" t="s">
        <v>111</v>
      </c>
      <c r="H89" s="15">
        <f>'[1]V, inciso o) (OP)'!Y50</f>
        <v>1414800.1500000001</v>
      </c>
      <c r="I89" s="14" t="s">
        <v>402</v>
      </c>
      <c r="J89" s="12" t="str">
        <f>'[1]V, inciso o) (OP)'!G50</f>
        <v xml:space="preserve">Guillermo Alberto </v>
      </c>
      <c r="K89" s="12" t="str">
        <f>'[1]V, inciso o) (OP)'!H50</f>
        <v>Rodríguez</v>
      </c>
      <c r="L89" s="12" t="str">
        <f>'[1]V, inciso o) (OP)'!I50</f>
        <v>Allende</v>
      </c>
      <c r="M89" s="14" t="str">
        <f>'[1]V, inciso o) (OP)'!J50</f>
        <v>Grupo Constructor MR de Jalisco, S. A. de C. V.</v>
      </c>
      <c r="N89" s="12" t="str">
        <f>'[1]V, inciso o) (OP)'!K50</f>
        <v>GCM121112J86</v>
      </c>
      <c r="O89" s="15">
        <f t="shared" si="2"/>
        <v>1414800.1500000001</v>
      </c>
      <c r="P89" s="15">
        <v>1390957.67</v>
      </c>
      <c r="Q89" s="12" t="s">
        <v>404</v>
      </c>
      <c r="R89" s="15">
        <f>O89/2495</f>
        <v>567.05416833667346</v>
      </c>
      <c r="S89" s="12" t="s">
        <v>123</v>
      </c>
      <c r="T89" s="17">
        <v>264114</v>
      </c>
      <c r="U89" s="14" t="s">
        <v>43</v>
      </c>
      <c r="V89" s="12" t="s">
        <v>44</v>
      </c>
      <c r="W89" s="13">
        <f>'[1]V, inciso o) (OP)'!AD50</f>
        <v>42524</v>
      </c>
      <c r="X89" s="13">
        <f>'[1]V, inciso o) (OP)'!AE50</f>
        <v>42573</v>
      </c>
      <c r="Y89" s="12" t="str">
        <f>Y87</f>
        <v xml:space="preserve">Carlos Gerardo </v>
      </c>
      <c r="Z89" s="12" t="str">
        <f>Z87</f>
        <v xml:space="preserve">Peña </v>
      </c>
      <c r="AA89" s="12" t="str">
        <f>AA87</f>
        <v>Ortega</v>
      </c>
      <c r="AB89" s="8" t="s">
        <v>1671</v>
      </c>
      <c r="AC89" s="14" t="s">
        <v>48</v>
      </c>
      <c r="AD89" s="14"/>
    </row>
    <row r="90" spans="1:30" ht="80.099999999999994" customHeight="1">
      <c r="A90" s="5">
        <v>77</v>
      </c>
      <c r="B90" s="12">
        <v>2016</v>
      </c>
      <c r="C90" s="14" t="s">
        <v>65</v>
      </c>
      <c r="D90" s="14" t="str">
        <f>'[1]V, inciso o) (OP)'!C51</f>
        <v>DOPI-MUN-R33FORTA-PROY-AD-077-2016</v>
      </c>
      <c r="E90" s="13">
        <f>'[1]V, inciso o) (OP)'!V51</f>
        <v>42530</v>
      </c>
      <c r="F90" s="14" t="str">
        <f>'[1]V, inciso o) (OP)'!AA51</f>
        <v>Proyecto ejecutivo para la construcción de las unidades deportivas Santa María del Pueblito ubicada en calle Independencia S/N colonia Santa María del Pueblito; Santa Margarita ubicada en calle Santa Matilde S/N colonia Santa Margarita; Miguel de la Madrid ubicada en calle López Portillo S/N colonia Miguel de la Madrid; y Villas de Guadalupe ubicada en calle Febronio Lara esquina María Perfecta Llamas S/N colonia Villas de Guadalupe, Municipio de Zapopan, Jalisco.</v>
      </c>
      <c r="G90" s="14" t="s">
        <v>111</v>
      </c>
      <c r="H90" s="15">
        <f>'[1]V, inciso o) (OP)'!Y51</f>
        <v>1495650.3600000003</v>
      </c>
      <c r="I90" s="14" t="s">
        <v>402</v>
      </c>
      <c r="J90" s="12" t="str">
        <f>'[1]V, inciso o) (OP)'!G51</f>
        <v>David</v>
      </c>
      <c r="K90" s="12" t="str">
        <f>'[1]V, inciso o) (OP)'!H51</f>
        <v>Ledesma</v>
      </c>
      <c r="L90" s="12" t="str">
        <f>'[1]V, inciso o) (OP)'!I51</f>
        <v>Martin del Campo</v>
      </c>
      <c r="M90" s="14" t="str">
        <f>'[1]V, inciso o) (OP)'!J51</f>
        <v>Ing. David Ledesma Martin Del Campo</v>
      </c>
      <c r="N90" s="12" t="str">
        <f>'[1]V, inciso o) (OP)'!K51</f>
        <v>LEMD880217U53</v>
      </c>
      <c r="O90" s="15">
        <f t="shared" si="2"/>
        <v>1495650.3600000003</v>
      </c>
      <c r="P90" s="15">
        <v>1495650.36</v>
      </c>
      <c r="Q90" s="12" t="s">
        <v>124</v>
      </c>
      <c r="R90" s="12" t="s">
        <v>124</v>
      </c>
      <c r="S90" s="12" t="s">
        <v>125</v>
      </c>
      <c r="T90" s="17" t="s">
        <v>125</v>
      </c>
      <c r="U90" s="14" t="s">
        <v>43</v>
      </c>
      <c r="V90" s="12" t="s">
        <v>44</v>
      </c>
      <c r="W90" s="13">
        <f>'[1]V, inciso o) (OP)'!AD51</f>
        <v>42531</v>
      </c>
      <c r="X90" s="13">
        <f>'[1]V, inciso o) (OP)'!AE51</f>
        <v>42643</v>
      </c>
      <c r="Y90" s="12" t="s">
        <v>314</v>
      </c>
      <c r="Z90" s="12" t="s">
        <v>315</v>
      </c>
      <c r="AA90" s="12" t="s">
        <v>316</v>
      </c>
      <c r="AB90" s="14" t="s">
        <v>1626</v>
      </c>
      <c r="AC90" s="18"/>
      <c r="AD90" s="14"/>
    </row>
    <row r="91" spans="1:30" ht="80.099999999999994" customHeight="1">
      <c r="A91" s="5">
        <v>78</v>
      </c>
      <c r="B91" s="12">
        <v>2016</v>
      </c>
      <c r="C91" s="14" t="s">
        <v>65</v>
      </c>
      <c r="D91" s="14" t="str">
        <f>'[1]V, inciso o) (OP)'!C52</f>
        <v>DOPI-MUN-RM-IM-AD-078-2016</v>
      </c>
      <c r="E91" s="13">
        <f>'[1]V, inciso o) (OP)'!V52</f>
        <v>42545</v>
      </c>
      <c r="F91" s="14" t="str">
        <f>'[1]V, inciso o) (OP)'!AA52</f>
        <v>Construcción de estacionamiento con pavimento asfáltico y sello tipo Slurry Seal, guarniciones, banquetas, adecuaciones a la instalación eléctrica y aire acondicionado en el archivo histórico de Zapopan, Municipio de Zapopan, Jalisco.</v>
      </c>
      <c r="G91" s="14" t="s">
        <v>111</v>
      </c>
      <c r="H91" s="15">
        <f>'[1]V, inciso o) (OP)'!Y52</f>
        <v>1598479.88</v>
      </c>
      <c r="I91" s="14" t="s">
        <v>405</v>
      </c>
      <c r="J91" s="12" t="str">
        <f>'[1]V, inciso o) (OP)'!G52</f>
        <v>J. Gerardo</v>
      </c>
      <c r="K91" s="12" t="str">
        <f>'[1]V, inciso o) (OP)'!H52</f>
        <v>Nicanor</v>
      </c>
      <c r="L91" s="12" t="str">
        <f>'[1]V, inciso o) (OP)'!I52</f>
        <v>Mejia Mariscal</v>
      </c>
      <c r="M91" s="14" t="str">
        <f>'[1]V, inciso o) (OP)'!J52</f>
        <v>Ineco Construye, S.A. de C.V.</v>
      </c>
      <c r="N91" s="12" t="str">
        <f>'[1]V, inciso o) (OP)'!K52</f>
        <v>ICO980722M04</v>
      </c>
      <c r="O91" s="15">
        <f t="shared" si="2"/>
        <v>1598479.88</v>
      </c>
      <c r="P91" s="15">
        <v>1496015.05</v>
      </c>
      <c r="Q91" s="12" t="s">
        <v>406</v>
      </c>
      <c r="R91" s="15">
        <f>O91/812</f>
        <v>1968.5712807881771</v>
      </c>
      <c r="S91" s="12" t="s">
        <v>42</v>
      </c>
      <c r="T91" s="17">
        <v>134</v>
      </c>
      <c r="U91" s="14" t="s">
        <v>43</v>
      </c>
      <c r="V91" s="12" t="s">
        <v>44</v>
      </c>
      <c r="W91" s="13">
        <f>'[1]V, inciso o) (OP)'!AD52</f>
        <v>42548</v>
      </c>
      <c r="X91" s="13">
        <f>'[1]V, inciso o) (OP)'!AE52</f>
        <v>42607</v>
      </c>
      <c r="Y91" s="12" t="s">
        <v>388</v>
      </c>
      <c r="Z91" s="12" t="s">
        <v>389</v>
      </c>
      <c r="AA91" s="12" t="s">
        <v>390</v>
      </c>
      <c r="AB91" s="14" t="s">
        <v>1627</v>
      </c>
      <c r="AC91" s="18"/>
      <c r="AD91" s="14"/>
    </row>
    <row r="92" spans="1:30" ht="80.099999999999994" customHeight="1">
      <c r="A92" s="6">
        <v>79</v>
      </c>
      <c r="B92" s="12">
        <v>2016</v>
      </c>
      <c r="C92" s="14" t="s">
        <v>65</v>
      </c>
      <c r="D92" s="14" t="str">
        <f>'[1]V, inciso o) (OP)'!C53</f>
        <v>DOPI-MUN-RM-PROY-AD-079-2016</v>
      </c>
      <c r="E92" s="13">
        <f>'[1]V, inciso o) (OP)'!V53</f>
        <v>42545</v>
      </c>
      <c r="F92" s="14" t="str">
        <f>'[1]V, inciso o) (OP)'!AA53</f>
        <v>Proyecto ejecutivo para la construcción de la celda 5 en el relleno sanitario Picachos, Municipio de Zapopan, Jalisco.</v>
      </c>
      <c r="G92" s="14" t="s">
        <v>111</v>
      </c>
      <c r="H92" s="15">
        <f>'[1]V, inciso o) (OP)'!Y53</f>
        <v>1115518.2</v>
      </c>
      <c r="I92" s="14" t="s">
        <v>124</v>
      </c>
      <c r="J92" s="12" t="str">
        <f>'[1]V, inciso o) (OP)'!G53</f>
        <v>Juan Ramón</v>
      </c>
      <c r="K92" s="12" t="str">
        <f>'[1]V, inciso o) (OP)'!H53</f>
        <v>Ramírez</v>
      </c>
      <c r="L92" s="12" t="str">
        <f>'[1]V, inciso o) (OP)'!I53</f>
        <v>Alatorre</v>
      </c>
      <c r="M92" s="14" t="str">
        <f>'[1]V, inciso o) (OP)'!J53</f>
        <v>Quercus Geosoluciones, S.A. de C.V.</v>
      </c>
      <c r="N92" s="12" t="str">
        <f>'[1]V, inciso o) (OP)'!K53</f>
        <v>QGE080213988</v>
      </c>
      <c r="O92" s="15">
        <f t="shared" si="2"/>
        <v>1115518.2</v>
      </c>
      <c r="P92" s="15">
        <v>797155.02</v>
      </c>
      <c r="Q92" s="12" t="s">
        <v>124</v>
      </c>
      <c r="R92" s="12" t="s">
        <v>124</v>
      </c>
      <c r="S92" s="12" t="s">
        <v>125</v>
      </c>
      <c r="T92" s="17" t="s">
        <v>125</v>
      </c>
      <c r="U92" s="14" t="s">
        <v>43</v>
      </c>
      <c r="V92" s="12" t="s">
        <v>44</v>
      </c>
      <c r="W92" s="13">
        <f>'[1]V, inciso o) (OP)'!AD53</f>
        <v>42548</v>
      </c>
      <c r="X92" s="13">
        <f>'[1]V, inciso o) (OP)'!AE53</f>
        <v>42592</v>
      </c>
      <c r="Y92" s="12" t="s">
        <v>407</v>
      </c>
      <c r="Z92" s="12" t="s">
        <v>315</v>
      </c>
      <c r="AA92" s="12" t="s">
        <v>316</v>
      </c>
      <c r="AB92" s="14" t="s">
        <v>1628</v>
      </c>
      <c r="AC92" s="18"/>
      <c r="AD92" s="14"/>
    </row>
    <row r="93" spans="1:30" ht="80.099999999999994" customHeight="1">
      <c r="A93" s="5">
        <v>80</v>
      </c>
      <c r="B93" s="12">
        <v>2016</v>
      </c>
      <c r="C93" s="14" t="s">
        <v>65</v>
      </c>
      <c r="D93" s="14" t="str">
        <f>'[1]V, inciso o) (OP)'!C54</f>
        <v>DOPI-MUN-RM-MOV-AD-080-2016</v>
      </c>
      <c r="E93" s="13">
        <f>'[1]V, inciso o) (OP)'!V54</f>
        <v>42552</v>
      </c>
      <c r="F93" s="14" t="str">
        <f>'[1]V, inciso o) (OP)'!AA54</f>
        <v>Señalización vertical y horizontal en diferentes obras del municipio de Zapopan, Jalisco, frente 1.</v>
      </c>
      <c r="G93" s="14" t="s">
        <v>111</v>
      </c>
      <c r="H93" s="15">
        <f>'[1]V, inciso o) (OP)'!Y54</f>
        <v>1250236.98</v>
      </c>
      <c r="I93" s="14" t="s">
        <v>1349</v>
      </c>
      <c r="J93" s="12" t="str">
        <f>'[1]V, inciso o) (OP)'!G54</f>
        <v>Jorge Alberto</v>
      </c>
      <c r="K93" s="12" t="str">
        <f>'[1]V, inciso o) (OP)'!H54</f>
        <v>Mena</v>
      </c>
      <c r="L93" s="12" t="str">
        <f>'[1]V, inciso o) (OP)'!I54</f>
        <v>Adames</v>
      </c>
      <c r="M93" s="14" t="str">
        <f>'[1]V, inciso o) (OP)'!J54</f>
        <v>Divicon, S.A. de C.V.</v>
      </c>
      <c r="N93" s="12" t="str">
        <f>'[1]V, inciso o) (OP)'!K54</f>
        <v>DIV010905510</v>
      </c>
      <c r="O93" s="15">
        <f t="shared" si="2"/>
        <v>1250236.98</v>
      </c>
      <c r="P93" s="15">
        <v>1174977.01</v>
      </c>
      <c r="Q93" s="12" t="s">
        <v>124</v>
      </c>
      <c r="R93" s="15" t="s">
        <v>124</v>
      </c>
      <c r="S93" s="12" t="s">
        <v>42</v>
      </c>
      <c r="T93" s="17">
        <v>333068</v>
      </c>
      <c r="U93" s="14" t="s">
        <v>43</v>
      </c>
      <c r="V93" s="12" t="s">
        <v>44</v>
      </c>
      <c r="W93" s="13">
        <f>'[1]V, inciso o) (OP)'!AD54</f>
        <v>42555</v>
      </c>
      <c r="X93" s="13">
        <f>'[1]V, inciso o) (OP)'!AE54</f>
        <v>42724</v>
      </c>
      <c r="Y93" s="12" t="s">
        <v>408</v>
      </c>
      <c r="Z93" s="12" t="s">
        <v>409</v>
      </c>
      <c r="AA93" s="12" t="s">
        <v>107</v>
      </c>
      <c r="AB93" s="14" t="s">
        <v>1629</v>
      </c>
      <c r="AC93" s="18"/>
      <c r="AD93" s="14"/>
    </row>
    <row r="94" spans="1:30" ht="80.099999999999994" customHeight="1">
      <c r="A94" s="5">
        <v>81</v>
      </c>
      <c r="B94" s="12">
        <v>2016</v>
      </c>
      <c r="C94" s="14" t="s">
        <v>65</v>
      </c>
      <c r="D94" s="14" t="str">
        <f>'[1]V, inciso o) (OP)'!C55</f>
        <v>DOPI-MUN-RM-PAV-AD-081-2016</v>
      </c>
      <c r="E94" s="13">
        <f>'[1]V, inciso o) (OP)'!V55</f>
        <v>42552</v>
      </c>
      <c r="F94" s="14" t="str">
        <f>'[1]V, inciso o) (OP)'!AA55</f>
        <v>Construcción de pavimento de concreto hidráulico MR45, machuelos, banquetas e instalaciones hidráulicas en la calle Canal del Andador a la calle General Arteaga de la calle General Arteaga, de la calle Canal a la calle Agustín Rivera, colonia el Batán, municipio de Zapopan, Jalisco.</v>
      </c>
      <c r="G94" s="14" t="s">
        <v>111</v>
      </c>
      <c r="H94" s="15">
        <f>'[1]V, inciso o) (OP)'!Y55</f>
        <v>1475028.6100000003</v>
      </c>
      <c r="I94" s="14" t="s">
        <v>410</v>
      </c>
      <c r="J94" s="12" t="str">
        <f>'[1]V, inciso o) (OP)'!G55</f>
        <v>Miguel</v>
      </c>
      <c r="K94" s="12" t="str">
        <f>'[1]V, inciso o) (OP)'!H55</f>
        <v>Rodríguez</v>
      </c>
      <c r="L94" s="12" t="str">
        <f>'[1]V, inciso o) (OP)'!I55</f>
        <v>Rosas</v>
      </c>
      <c r="M94" s="14" t="str">
        <f>'[1]V, inciso o) (OP)'!J55</f>
        <v>Stella Construcciones, S.A. de C.V.</v>
      </c>
      <c r="N94" s="12" t="str">
        <f>'[1]V, inciso o) (OP)'!K55</f>
        <v>SCO0102137E1</v>
      </c>
      <c r="O94" s="15">
        <f t="shared" si="2"/>
        <v>1475028.6100000003</v>
      </c>
      <c r="P94" s="15">
        <v>1266125.6299999999</v>
      </c>
      <c r="Q94" s="12" t="s">
        <v>411</v>
      </c>
      <c r="R94" s="15">
        <f>O94/768</f>
        <v>1920.6101692708337</v>
      </c>
      <c r="S94" s="12" t="s">
        <v>42</v>
      </c>
      <c r="T94" s="17">
        <v>1929</v>
      </c>
      <c r="U94" s="14" t="s">
        <v>43</v>
      </c>
      <c r="V94" s="12" t="s">
        <v>44</v>
      </c>
      <c r="W94" s="13">
        <f>'[1]V, inciso o) (OP)'!AD55</f>
        <v>42555</v>
      </c>
      <c r="X94" s="13">
        <f>'[1]V, inciso o) (OP)'!AE55</f>
        <v>42613</v>
      </c>
      <c r="Y94" s="12" t="s">
        <v>322</v>
      </c>
      <c r="Z94" s="12" t="s">
        <v>196</v>
      </c>
      <c r="AA94" s="12" t="s">
        <v>197</v>
      </c>
      <c r="AB94" s="14" t="s">
        <v>1630</v>
      </c>
      <c r="AC94" s="18"/>
      <c r="AD94" s="14"/>
    </row>
    <row r="95" spans="1:30" ht="80.099999999999994" customHeight="1">
      <c r="A95" s="5">
        <v>82</v>
      </c>
      <c r="B95" s="12">
        <v>2016</v>
      </c>
      <c r="C95" s="14" t="s">
        <v>65</v>
      </c>
      <c r="D95" s="14" t="str">
        <f>'[1]V, inciso o) (OP)'!C56</f>
        <v>DOPI-MUN-RM-PAV-AD-082-2016</v>
      </c>
      <c r="E95" s="13">
        <f>'[1]V, inciso o) (OP)'!V56</f>
        <v>42555</v>
      </c>
      <c r="F95" s="14" t="str">
        <f>'[1]V, inciso o) (OP)'!AA56</f>
        <v>Construcción de pavimento de concreto hidráulico MR45, adecuaciones de pavimentos asfálticos, adecuaciones pluviales, corrección vial, muros de contención, banquetas, corrección de flujos viales y paso seguro de peatones, en el paso a desnivel aéreo y subterráneo de Juan Palomar y Arias y Periférico Poniente; y Construcción de banquetas en la calle Guillermo González Camarena y Av. Paseo Valle Real, municipio de Zapopan, Jalisco.</v>
      </c>
      <c r="G95" s="14" t="s">
        <v>111</v>
      </c>
      <c r="H95" s="15">
        <f>'[1]V, inciso o) (OP)'!Y56</f>
        <v>1497852.13</v>
      </c>
      <c r="I95" s="14" t="s">
        <v>412</v>
      </c>
      <c r="J95" s="12" t="str">
        <f>'[1]V, inciso o) (OP)'!G56</f>
        <v xml:space="preserve">José Luis </v>
      </c>
      <c r="K95" s="12" t="str">
        <f>'[1]V, inciso o) (OP)'!H56</f>
        <v xml:space="preserve">Castillo </v>
      </c>
      <c r="L95" s="12" t="str">
        <f>'[1]V, inciso o) (OP)'!I56</f>
        <v>Rodríguez</v>
      </c>
      <c r="M95" s="14" t="str">
        <f>'[1]V, inciso o) (OP)'!J56</f>
        <v>Felal Construcciones, S.A. de C.V.</v>
      </c>
      <c r="N95" s="12" t="str">
        <f>'[1]V, inciso o) (OP)'!K56</f>
        <v>FCO9911092V5</v>
      </c>
      <c r="O95" s="15">
        <f t="shared" si="2"/>
        <v>1497852.13</v>
      </c>
      <c r="P95" s="15">
        <v>1303068.2</v>
      </c>
      <c r="Q95" s="12" t="s">
        <v>413</v>
      </c>
      <c r="R95" s="15">
        <f>O95/925</f>
        <v>1619.2995999999998</v>
      </c>
      <c r="S95" s="12" t="s">
        <v>42</v>
      </c>
      <c r="T95" s="17">
        <v>98751</v>
      </c>
      <c r="U95" s="14" t="s">
        <v>43</v>
      </c>
      <c r="V95" s="12" t="s">
        <v>44</v>
      </c>
      <c r="W95" s="13">
        <f>'[1]V, inciso o) (OP)'!AD56</f>
        <v>42556</v>
      </c>
      <c r="X95" s="13">
        <f>'[1]V, inciso o) (OP)'!AE56</f>
        <v>42585</v>
      </c>
      <c r="Y95" s="12" t="s">
        <v>322</v>
      </c>
      <c r="Z95" s="12" t="s">
        <v>196</v>
      </c>
      <c r="AA95" s="12" t="s">
        <v>197</v>
      </c>
      <c r="AB95" s="14" t="s">
        <v>1631</v>
      </c>
      <c r="AC95" s="18"/>
      <c r="AD95" s="14"/>
    </row>
    <row r="96" spans="1:30" ht="80.099999999999994" customHeight="1">
      <c r="A96" s="5">
        <v>83</v>
      </c>
      <c r="B96" s="12">
        <v>2016</v>
      </c>
      <c r="C96" s="14" t="s">
        <v>65</v>
      </c>
      <c r="D96" s="14" t="str">
        <f>'[1]V, inciso o) (OP)'!C57</f>
        <v>DOPI-MUN-RM-OC-AD-083-2016</v>
      </c>
      <c r="E96" s="13">
        <f>'[1]V, inciso o) (OP)'!V57</f>
        <v>42555</v>
      </c>
      <c r="F96" s="14" t="str">
        <f>'[1]V, inciso o) (OP)'!AA57</f>
        <v>Corrección de canal pluvial, construcción de mamposteos, zampeados, puente peatonal, accesos y aproches en el cruce del arroyo ubicado en la colonia Las Higueras, municipio de Zapopan, Jalisco.</v>
      </c>
      <c r="G96" s="14" t="s">
        <v>111</v>
      </c>
      <c r="H96" s="15">
        <f>'[1]V, inciso o) (OP)'!Y57</f>
        <v>1394254.6600000001</v>
      </c>
      <c r="I96" s="14" t="s">
        <v>414</v>
      </c>
      <c r="J96" s="12" t="str">
        <f>'[1]V, inciso o) (OP)'!G57</f>
        <v>José Gilberto</v>
      </c>
      <c r="K96" s="12" t="str">
        <f>'[1]V, inciso o) (OP)'!H57</f>
        <v>Luján</v>
      </c>
      <c r="L96" s="12" t="str">
        <f>'[1]V, inciso o) (OP)'!I57</f>
        <v>Barajas</v>
      </c>
      <c r="M96" s="14" t="str">
        <f>'[1]V, inciso o) (OP)'!J57</f>
        <v>Gilco Ingeniería, S.A. de C.V.</v>
      </c>
      <c r="N96" s="12" t="str">
        <f>'[1]V, inciso o) (OP)'!K57</f>
        <v>GIN1202272F9</v>
      </c>
      <c r="O96" s="15">
        <f t="shared" ref="O96:O127" si="3">H96</f>
        <v>1394254.6600000001</v>
      </c>
      <c r="P96" s="15">
        <v>1273795.43</v>
      </c>
      <c r="Q96" s="12" t="s">
        <v>415</v>
      </c>
      <c r="R96" s="15">
        <f>O96/5324</f>
        <v>261.88104057099929</v>
      </c>
      <c r="S96" s="12" t="s">
        <v>42</v>
      </c>
      <c r="T96" s="17">
        <v>3061</v>
      </c>
      <c r="U96" s="14" t="s">
        <v>43</v>
      </c>
      <c r="V96" s="12" t="s">
        <v>44</v>
      </c>
      <c r="W96" s="13">
        <f>'[1]V, inciso o) (OP)'!AD57</f>
        <v>42556</v>
      </c>
      <c r="X96" s="13">
        <f>'[1]V, inciso o) (OP)'!AE57</f>
        <v>42615</v>
      </c>
      <c r="Y96" s="12" t="s">
        <v>399</v>
      </c>
      <c r="Z96" s="12" t="s">
        <v>284</v>
      </c>
      <c r="AA96" s="12" t="s">
        <v>81</v>
      </c>
      <c r="AB96" s="8" t="s">
        <v>1672</v>
      </c>
      <c r="AC96" s="14" t="s">
        <v>48</v>
      </c>
      <c r="AD96" s="14"/>
    </row>
    <row r="97" spans="1:30" ht="80.099999999999994" customHeight="1">
      <c r="A97" s="5">
        <v>84</v>
      </c>
      <c r="B97" s="12">
        <v>2016</v>
      </c>
      <c r="C97" s="14" t="s">
        <v>31</v>
      </c>
      <c r="D97" s="14" t="str">
        <f>'[1]V, inciso p) (OP)'!D46</f>
        <v>DOPI-FED-R23-PAV-LP-084-2016</v>
      </c>
      <c r="E97" s="13">
        <f>'[1]V, inciso p) (OP)'!AD46</f>
        <v>42656</v>
      </c>
      <c r="F97" s="14" t="str">
        <f>'[1]V, inciso p) (OP)'!I46</f>
        <v>Reencarpetamiento de la Av. Obreros de Cananea, municipio de Zapopan, Jalisco.</v>
      </c>
      <c r="G97" s="14" t="s">
        <v>416</v>
      </c>
      <c r="H97" s="15">
        <f>'[1]V, inciso p) (OP)'!AG46</f>
        <v>8740845.9000000004</v>
      </c>
      <c r="I97" s="14" t="str">
        <f>'[1]V, inciso p) (OP)'!AS46</f>
        <v>Colonia El Paraiso</v>
      </c>
      <c r="J97" s="12" t="str">
        <f>'[1]V, inciso p) (OP)'!T46</f>
        <v>Salvador</v>
      </c>
      <c r="K97" s="12" t="str">
        <f>'[1]V, inciso p) (OP)'!U46</f>
        <v>Meza</v>
      </c>
      <c r="L97" s="12" t="str">
        <f>'[1]V, inciso p) (OP)'!V46</f>
        <v>López</v>
      </c>
      <c r="M97" s="14" t="str">
        <f>'[1]V, inciso p) (OP)'!W46</f>
        <v>Constructores en Corporación, S.A. de C.V.</v>
      </c>
      <c r="N97" s="12" t="str">
        <f>'[1]V, inciso p) (OP)'!X46</f>
        <v>CCO780607JD6</v>
      </c>
      <c r="O97" s="15">
        <f t="shared" si="3"/>
        <v>8740845.9000000004</v>
      </c>
      <c r="P97" s="15">
        <v>8740845.9000000004</v>
      </c>
      <c r="Q97" s="12" t="s">
        <v>417</v>
      </c>
      <c r="R97" s="15">
        <f>O97/28562</f>
        <v>306.03059659687699</v>
      </c>
      <c r="S97" s="12" t="s">
        <v>42</v>
      </c>
      <c r="T97" s="17">
        <v>4325</v>
      </c>
      <c r="U97" s="14" t="s">
        <v>43</v>
      </c>
      <c r="V97" s="12" t="s">
        <v>44</v>
      </c>
      <c r="W97" s="13">
        <f>'[1]V, inciso p) (OP)'!AM46</f>
        <v>42656</v>
      </c>
      <c r="X97" s="13">
        <f>'[1]V, inciso p) (OP)'!AN46</f>
        <v>42722</v>
      </c>
      <c r="Y97" s="12" t="s">
        <v>418</v>
      </c>
      <c r="Z97" s="12" t="s">
        <v>419</v>
      </c>
      <c r="AA97" s="12" t="s">
        <v>420</v>
      </c>
      <c r="AB97" s="18" t="s">
        <v>1673</v>
      </c>
      <c r="AC97" s="14" t="s">
        <v>48</v>
      </c>
      <c r="AD97" s="14"/>
    </row>
    <row r="98" spans="1:30" ht="80.099999999999994" customHeight="1">
      <c r="A98" s="5">
        <v>85</v>
      </c>
      <c r="B98" s="12">
        <v>2016</v>
      </c>
      <c r="C98" s="14" t="s">
        <v>31</v>
      </c>
      <c r="D98" s="14" t="str">
        <f>'[1]V, inciso p) (OP)'!D47</f>
        <v>DOPI-FED-R23-PAV-LP-085-2016</v>
      </c>
      <c r="E98" s="13">
        <f>'[1]V, inciso p) (OP)'!AD47</f>
        <v>42656</v>
      </c>
      <c r="F98" s="14" t="str">
        <f>'[1]V, inciso p) (OP)'!I47</f>
        <v>Reencarpetamiento de la Calle Industria, municipio de Zapopan, Jalisco.</v>
      </c>
      <c r="G98" s="14" t="s">
        <v>416</v>
      </c>
      <c r="H98" s="15">
        <f>'[1]V, inciso p) (OP)'!AG47</f>
        <v>3747446.55</v>
      </c>
      <c r="I98" s="14" t="str">
        <f>'[1]V, inciso p) (OP)'!AS47</f>
        <v>Colonia El Paraiso</v>
      </c>
      <c r="J98" s="12" t="str">
        <f>'[1]V, inciso p) (OP)'!T47</f>
        <v>Ernesto</v>
      </c>
      <c r="K98" s="12" t="str">
        <f>'[1]V, inciso p) (OP)'!U47</f>
        <v>Zamora</v>
      </c>
      <c r="L98" s="12" t="str">
        <f>'[1]V, inciso p) (OP)'!V47</f>
        <v>Corona</v>
      </c>
      <c r="M98" s="14" t="str">
        <f>'[1]V, inciso p) (OP)'!W47</f>
        <v>Keops Ingenieria y Construccion, S.A. de C.V.</v>
      </c>
      <c r="N98" s="12" t="str">
        <f>'[1]V, inciso p) (OP)'!X47</f>
        <v>KIC040617JIA</v>
      </c>
      <c r="O98" s="15">
        <f t="shared" si="3"/>
        <v>3747446.55</v>
      </c>
      <c r="P98" s="15">
        <v>3747446.55</v>
      </c>
      <c r="Q98" s="12" t="s">
        <v>421</v>
      </c>
      <c r="R98" s="15">
        <f>O98/22150</f>
        <v>169.18494582392776</v>
      </c>
      <c r="S98" s="12" t="s">
        <v>42</v>
      </c>
      <c r="T98" s="17">
        <v>4365</v>
      </c>
      <c r="U98" s="14" t="s">
        <v>43</v>
      </c>
      <c r="V98" s="12" t="s">
        <v>44</v>
      </c>
      <c r="W98" s="13">
        <f>'[1]V, inciso p) (OP)'!AM47</f>
        <v>42656</v>
      </c>
      <c r="X98" s="13">
        <f>'[1]V, inciso p) (OP)'!AN47</f>
        <v>42722</v>
      </c>
      <c r="Y98" s="12" t="s">
        <v>418</v>
      </c>
      <c r="Z98" s="12" t="s">
        <v>419</v>
      </c>
      <c r="AA98" s="12" t="s">
        <v>420</v>
      </c>
      <c r="AB98" s="18" t="s">
        <v>1674</v>
      </c>
      <c r="AC98" s="14" t="s">
        <v>48</v>
      </c>
      <c r="AD98" s="14"/>
    </row>
    <row r="99" spans="1:30" ht="80.099999999999994" customHeight="1">
      <c r="A99" s="5">
        <v>86</v>
      </c>
      <c r="B99" s="12">
        <v>2016</v>
      </c>
      <c r="C99" s="14" t="s">
        <v>31</v>
      </c>
      <c r="D99" s="14" t="str">
        <f>'[1]V, inciso p) (OP)'!D48</f>
        <v>DOPI-FED-R23-PAV-LP-086-2016</v>
      </c>
      <c r="E99" s="13">
        <f>'[1]V, inciso p) (OP)'!AD48</f>
        <v>42656</v>
      </c>
      <c r="F99" s="14" t="str">
        <f>'[1]V, inciso p) (OP)'!I48</f>
        <v>Reencarpetamiento de la Calle Epigmenio Preciado, municipio de Zapopan, Jalisco.</v>
      </c>
      <c r="G99" s="14" t="s">
        <v>416</v>
      </c>
      <c r="H99" s="15">
        <f>'[1]V, inciso p) (OP)'!AG48</f>
        <v>3579474.78</v>
      </c>
      <c r="I99" s="14" t="str">
        <f>'[1]V, inciso p) (OP)'!AS48</f>
        <v>Colonia El Paraiso</v>
      </c>
      <c r="J99" s="12" t="str">
        <f>'[1]V, inciso p) (OP)'!T48</f>
        <v>Ignacio Javier</v>
      </c>
      <c r="K99" s="12" t="str">
        <f>'[1]V, inciso p) (OP)'!U48</f>
        <v>Curiel</v>
      </c>
      <c r="L99" s="12" t="str">
        <f>'[1]V, inciso p) (OP)'!V48</f>
        <v>Dueñas</v>
      </c>
      <c r="M99" s="14" t="str">
        <f>'[1]V, inciso p) (OP)'!W48</f>
        <v>TC Construcción y Mantenimiento, S.A. de C.V.</v>
      </c>
      <c r="N99" s="12" t="str">
        <f>'[1]V, inciso p) (OP)'!X48</f>
        <v>TCM100915HA1</v>
      </c>
      <c r="O99" s="15">
        <f t="shared" si="3"/>
        <v>3579474.78</v>
      </c>
      <c r="P99" s="15">
        <v>3579474.78</v>
      </c>
      <c r="Q99" s="12" t="s">
        <v>422</v>
      </c>
      <c r="R99" s="15">
        <f>O99/10640</f>
        <v>336.41680263157895</v>
      </c>
      <c r="S99" s="12" t="s">
        <v>42</v>
      </c>
      <c r="T99" s="17">
        <v>4220</v>
      </c>
      <c r="U99" s="14" t="s">
        <v>43</v>
      </c>
      <c r="V99" s="12" t="s">
        <v>44</v>
      </c>
      <c r="W99" s="13">
        <f>'[1]V, inciso p) (OP)'!AM48</f>
        <v>42656</v>
      </c>
      <c r="X99" s="13">
        <f>'[1]V, inciso p) (OP)'!AN48</f>
        <v>42722</v>
      </c>
      <c r="Y99" s="12" t="s">
        <v>418</v>
      </c>
      <c r="Z99" s="12" t="s">
        <v>419</v>
      </c>
      <c r="AA99" s="12" t="s">
        <v>420</v>
      </c>
      <c r="AB99" s="18" t="s">
        <v>1675</v>
      </c>
      <c r="AC99" s="14" t="s">
        <v>48</v>
      </c>
      <c r="AD99" s="14"/>
    </row>
    <row r="100" spans="1:30" ht="80.099999999999994" customHeight="1">
      <c r="A100" s="5">
        <v>87</v>
      </c>
      <c r="B100" s="12">
        <v>2016</v>
      </c>
      <c r="C100" s="14" t="s">
        <v>31</v>
      </c>
      <c r="D100" s="14" t="str">
        <f>'[1]V, inciso p) (OP)'!D49</f>
        <v>DOPI-FED-R23-PAV-LP-087-2016</v>
      </c>
      <c r="E100" s="13">
        <f>'[1]V, inciso p) (OP)'!AD49</f>
        <v>42656</v>
      </c>
      <c r="F100" s="14" t="str">
        <f>'[1]V, inciso p) (OP)'!I49</f>
        <v>Reencarpetamiento de la Av. Constituyentes, municipio de Zapopan, Jalisco.</v>
      </c>
      <c r="G100" s="14" t="s">
        <v>416</v>
      </c>
      <c r="H100" s="15">
        <f>'[1]V, inciso p) (OP)'!AG49</f>
        <v>2527207.35</v>
      </c>
      <c r="I100" s="14" t="str">
        <f>'[1]V, inciso p) (OP)'!AS49</f>
        <v>Colonia Constitución</v>
      </c>
      <c r="J100" s="12" t="str">
        <f>'[1]V, inciso p) (OP)'!T49</f>
        <v>Ignacio Javier</v>
      </c>
      <c r="K100" s="12" t="str">
        <f>'[1]V, inciso p) (OP)'!U49</f>
        <v>Curiel</v>
      </c>
      <c r="L100" s="12" t="str">
        <f>'[1]V, inciso p) (OP)'!V49</f>
        <v>Dueñas</v>
      </c>
      <c r="M100" s="14" t="str">
        <f>'[1]V, inciso p) (OP)'!W49</f>
        <v>TC Construcción y Mantenimiento, S.A. de C.V.</v>
      </c>
      <c r="N100" s="12" t="str">
        <f>'[1]V, inciso p) (OP)'!X49</f>
        <v>TCM100915HA1</v>
      </c>
      <c r="O100" s="15">
        <f t="shared" si="3"/>
        <v>2527207.35</v>
      </c>
      <c r="P100" s="15">
        <v>2527207.35</v>
      </c>
      <c r="Q100" s="12" t="s">
        <v>423</v>
      </c>
      <c r="R100" s="15">
        <f>O100/7380</f>
        <v>342.44002032520325</v>
      </c>
      <c r="S100" s="12" t="s">
        <v>42</v>
      </c>
      <c r="T100" s="17">
        <v>8642</v>
      </c>
      <c r="U100" s="14" t="s">
        <v>43</v>
      </c>
      <c r="V100" s="12" t="s">
        <v>44</v>
      </c>
      <c r="W100" s="13">
        <f>'[1]V, inciso p) (OP)'!AM49</f>
        <v>42656</v>
      </c>
      <c r="X100" s="13">
        <f>'[1]V, inciso p) (OP)'!AN49</f>
        <v>42722</v>
      </c>
      <c r="Y100" s="12" t="s">
        <v>418</v>
      </c>
      <c r="Z100" s="12" t="s">
        <v>419</v>
      </c>
      <c r="AA100" s="12" t="s">
        <v>420</v>
      </c>
      <c r="AB100" s="18" t="s">
        <v>1676</v>
      </c>
      <c r="AC100" s="14" t="s">
        <v>48</v>
      </c>
      <c r="AD100" s="14"/>
    </row>
    <row r="101" spans="1:30" ht="80.099999999999994" customHeight="1">
      <c r="A101" s="5">
        <v>88</v>
      </c>
      <c r="B101" s="12">
        <v>2016</v>
      </c>
      <c r="C101" s="14" t="s">
        <v>31</v>
      </c>
      <c r="D101" s="14" t="str">
        <f>'[1]V, inciso p) (OP)'!D50</f>
        <v>DOPI-FED-PR-PAV-LP-088-2016</v>
      </c>
      <c r="E101" s="13">
        <f>'[1]V, inciso p) (OP)'!AD50</f>
        <v>42656</v>
      </c>
      <c r="F101" s="14" t="str">
        <f>'[1]V, inciso p) (OP)'!I50</f>
        <v>Construcción de vialidad con concreto hidráulico calle Elote entre calle Indígena y calle Alberto Mora López, incluye: guarniciones, banquetas, red de agua potable, alcantarillado y alumbrado público, zona las Mesas, en el Municipio de Zapopan, Jalisco.</v>
      </c>
      <c r="G101" s="14" t="s">
        <v>416</v>
      </c>
      <c r="H101" s="15">
        <f>'[1]V, inciso p) (OP)'!AG50</f>
        <v>1331847.2</v>
      </c>
      <c r="I101" s="14" t="str">
        <f>'[1]V, inciso p) (OP)'!AS50</f>
        <v>Zona de Las Mesas</v>
      </c>
      <c r="J101" s="12" t="str">
        <f>'[1]V, inciso p) (OP)'!T50</f>
        <v>Carlos Ignacio</v>
      </c>
      <c r="K101" s="12" t="str">
        <f>'[1]V, inciso p) (OP)'!U50</f>
        <v>Curiel</v>
      </c>
      <c r="L101" s="12" t="str">
        <f>'[1]V, inciso p) (OP)'!V50</f>
        <v>Dueñas</v>
      </c>
      <c r="M101" s="14" t="str">
        <f>'[1]V, inciso p) (OP)'!W50</f>
        <v>Constructora Cecuchi, S.A. de C.V.</v>
      </c>
      <c r="N101" s="12" t="str">
        <f>'[1]V, inciso p) (OP)'!X50</f>
        <v>CCE130723IR7</v>
      </c>
      <c r="O101" s="15">
        <f t="shared" si="3"/>
        <v>1331847.2</v>
      </c>
      <c r="P101" s="15">
        <v>1621192.93</v>
      </c>
      <c r="Q101" s="12" t="s">
        <v>115</v>
      </c>
      <c r="R101" s="15">
        <f>O101/850</f>
        <v>1566.8790588235292</v>
      </c>
      <c r="S101" s="12" t="s">
        <v>42</v>
      </c>
      <c r="T101" s="17">
        <v>3612</v>
      </c>
      <c r="U101" s="14" t="s">
        <v>43</v>
      </c>
      <c r="V101" s="12" t="s">
        <v>44</v>
      </c>
      <c r="W101" s="13">
        <f>'[1]V, inciso p) (OP)'!AM50</f>
        <v>42656</v>
      </c>
      <c r="X101" s="13">
        <f>'[1]V, inciso p) (OP)'!AN50</f>
        <v>42722</v>
      </c>
      <c r="Y101" s="12" t="s">
        <v>350</v>
      </c>
      <c r="Z101" s="12" t="s">
        <v>351</v>
      </c>
      <c r="AA101" s="12" t="s">
        <v>352</v>
      </c>
      <c r="AB101" s="18" t="s">
        <v>1677</v>
      </c>
      <c r="AC101" s="14" t="s">
        <v>48</v>
      </c>
      <c r="AD101" s="14"/>
    </row>
    <row r="102" spans="1:30" ht="80.099999999999994" customHeight="1">
      <c r="A102" s="5">
        <v>89</v>
      </c>
      <c r="B102" s="12">
        <v>2016</v>
      </c>
      <c r="C102" s="14" t="s">
        <v>31</v>
      </c>
      <c r="D102" s="14" t="str">
        <f>'[1]V, inciso p) (OP)'!D51</f>
        <v>DOPI-FED-PR-PAV-LP-089-2016</v>
      </c>
      <c r="E102" s="13">
        <f>'[1]V, inciso p) (OP)'!AD51</f>
        <v>42656</v>
      </c>
      <c r="F102" s="14" t="str">
        <f>'[1]V, inciso p) (OP)'!I51</f>
        <v>Construcción de vialidad con concreto hidráulico calle Michí desde la calle Cuatlicue a la calle Comitl, incluye: guarniciones, banquetas, red de agua potable, alcantarillado y alumbrado público, zona las Mesas, Municipio de Zapopan, Jalisco.</v>
      </c>
      <c r="G102" s="14" t="s">
        <v>416</v>
      </c>
      <c r="H102" s="15">
        <f>'[1]V, inciso p) (OP)'!AG51</f>
        <v>1301540.1000000001</v>
      </c>
      <c r="I102" s="14" t="str">
        <f>'[1]V, inciso p) (OP)'!AS51</f>
        <v>Zona de Las Mesas</v>
      </c>
      <c r="J102" s="12" t="str">
        <f>'[1]V, inciso p) (OP)'!T51</f>
        <v>Carlos Ignacio</v>
      </c>
      <c r="K102" s="12" t="str">
        <f>'[1]V, inciso p) (OP)'!U51</f>
        <v>Curiel</v>
      </c>
      <c r="L102" s="12" t="str">
        <f>'[1]V, inciso p) (OP)'!V51</f>
        <v>Dueñas</v>
      </c>
      <c r="M102" s="14" t="str">
        <f>'[1]V, inciso p) (OP)'!W51</f>
        <v>Constructora Cecuchi, S.A. de C.V.</v>
      </c>
      <c r="N102" s="12" t="str">
        <f>'[1]V, inciso p) (OP)'!X51</f>
        <v>CCE130723IR7</v>
      </c>
      <c r="O102" s="15">
        <f t="shared" si="3"/>
        <v>1301540.1000000001</v>
      </c>
      <c r="P102" s="12" t="s">
        <v>48</v>
      </c>
      <c r="Q102" s="12" t="s">
        <v>424</v>
      </c>
      <c r="R102" s="15">
        <f>O102/840</f>
        <v>1549.4525000000001</v>
      </c>
      <c r="S102" s="12" t="s">
        <v>42</v>
      </c>
      <c r="T102" s="17">
        <v>2351</v>
      </c>
      <c r="U102" s="14" t="s">
        <v>43</v>
      </c>
      <c r="V102" s="12" t="s">
        <v>44</v>
      </c>
      <c r="W102" s="13">
        <f>'[1]V, inciso p) (OP)'!AM51</f>
        <v>42657</v>
      </c>
      <c r="X102" s="13">
        <f>'[1]V, inciso p) (OP)'!AN51</f>
        <v>42723</v>
      </c>
      <c r="Y102" s="12" t="s">
        <v>350</v>
      </c>
      <c r="Z102" s="12" t="s">
        <v>351</v>
      </c>
      <c r="AA102" s="12" t="s">
        <v>352</v>
      </c>
      <c r="AB102" s="14" t="s">
        <v>48</v>
      </c>
      <c r="AC102" s="14" t="s">
        <v>48</v>
      </c>
      <c r="AD102" s="14"/>
    </row>
    <row r="103" spans="1:30" ht="80.099999999999994" customHeight="1">
      <c r="A103" s="5">
        <v>90</v>
      </c>
      <c r="B103" s="12">
        <v>2016</v>
      </c>
      <c r="C103" s="14" t="s">
        <v>31</v>
      </c>
      <c r="D103" s="14" t="str">
        <f>'[1]V, inciso p) (OP)'!D52</f>
        <v>DOPI-FED-PR-PAV-LP-090-2016</v>
      </c>
      <c r="E103" s="13">
        <f>'[1]V, inciso p) (OP)'!AD52</f>
        <v>42656</v>
      </c>
      <c r="F103" s="14" t="str">
        <f>'[1]V, inciso p) (OP)'!I52</f>
        <v>Construcción de vialidad con concreto hidráulico calle Cuatlicue desde la calle Ozomatlí a la calle Michí, incluye: guarniciones, banquetas, red de agua potable, alcantarillado y alumbrado público, zona las Mesas, Municipio de Zapopan, Jalisco.</v>
      </c>
      <c r="G103" s="14" t="s">
        <v>416</v>
      </c>
      <c r="H103" s="15">
        <f>'[1]V, inciso p) (OP)'!AG52</f>
        <v>1504875.62</v>
      </c>
      <c r="I103" s="14" t="str">
        <f>'[1]V, inciso p) (OP)'!AS52</f>
        <v>Zona de Las Mesas</v>
      </c>
      <c r="J103" s="12" t="str">
        <f>'[1]V, inciso p) (OP)'!T52</f>
        <v>José Omar</v>
      </c>
      <c r="K103" s="12" t="str">
        <f>'[1]V, inciso p) (OP)'!U52</f>
        <v>Fernández</v>
      </c>
      <c r="L103" s="12" t="str">
        <f>'[1]V, inciso p) (OP)'!V52</f>
        <v>Vázquez</v>
      </c>
      <c r="M103" s="14" t="str">
        <f>'[1]V, inciso p) (OP)'!W52</f>
        <v>Extra Construcciones, S.A. de C.V.</v>
      </c>
      <c r="N103" s="12" t="str">
        <f>'[1]V, inciso p) (OP)'!X52</f>
        <v>ECO0908115Z7</v>
      </c>
      <c r="O103" s="15">
        <f t="shared" si="3"/>
        <v>1504875.62</v>
      </c>
      <c r="P103" s="15">
        <v>872134.26</v>
      </c>
      <c r="Q103" s="12" t="s">
        <v>424</v>
      </c>
      <c r="R103" s="15">
        <f>O103/840</f>
        <v>1791.5185952380953</v>
      </c>
      <c r="S103" s="12" t="s">
        <v>42</v>
      </c>
      <c r="T103" s="17">
        <v>2622</v>
      </c>
      <c r="U103" s="14" t="s">
        <v>43</v>
      </c>
      <c r="V103" s="12" t="s">
        <v>44</v>
      </c>
      <c r="W103" s="13">
        <f>'[1]V, inciso p) (OP)'!AM52</f>
        <v>42656</v>
      </c>
      <c r="X103" s="13">
        <f>'[1]V, inciso p) (OP)'!AN52</f>
        <v>42722</v>
      </c>
      <c r="Y103" s="12" t="s">
        <v>350</v>
      </c>
      <c r="Z103" s="12" t="s">
        <v>351</v>
      </c>
      <c r="AA103" s="12" t="s">
        <v>352</v>
      </c>
      <c r="AB103" s="18" t="s">
        <v>1678</v>
      </c>
      <c r="AC103" s="14" t="s">
        <v>48</v>
      </c>
      <c r="AD103" s="14"/>
    </row>
    <row r="104" spans="1:30" ht="80.099999999999994" customHeight="1">
      <c r="A104" s="5">
        <v>91</v>
      </c>
      <c r="B104" s="12">
        <v>2016</v>
      </c>
      <c r="C104" s="14" t="s">
        <v>31</v>
      </c>
      <c r="D104" s="14" t="str">
        <f>'[1]V, inciso p) (OP)'!D53</f>
        <v>DOPI-FED-PR-PAV-LP-091-2016</v>
      </c>
      <c r="E104" s="13">
        <f>'[1]V, inciso p) (OP)'!AD53</f>
        <v>42656</v>
      </c>
      <c r="F104" s="14" t="str">
        <f>'[1]V, inciso p) (OP)'!I53</f>
        <v>Construcción de vialidad con concreto hidráulico calle Comitl desde la calle Dellí a la calle Michí, incluye: guarniciones, banquetas, red de agua potable, alcantarillado y alumbrado público, zona las Mesas, Municipio de Zapopan, Jalisco.</v>
      </c>
      <c r="G104" s="14" t="s">
        <v>416</v>
      </c>
      <c r="H104" s="15">
        <f>'[1]V, inciso p) (OP)'!AG53</f>
        <v>6611635.3700000001</v>
      </c>
      <c r="I104" s="14" t="str">
        <f>'[1]V, inciso p) (OP)'!AS53</f>
        <v>Zona de Las Mesas</v>
      </c>
      <c r="J104" s="12" t="str">
        <f>'[1]V, inciso p) (OP)'!T53</f>
        <v>Sergio Alberto</v>
      </c>
      <c r="K104" s="12" t="str">
        <f>'[1]V, inciso p) (OP)'!U53</f>
        <v>Baylon</v>
      </c>
      <c r="L104" s="12" t="str">
        <f>'[1]V, inciso p) (OP)'!V53</f>
        <v>Moreno</v>
      </c>
      <c r="M104" s="14" t="str">
        <f>'[1]V, inciso p) (OP)'!W53</f>
        <v>Edificaciones Estructurales Cobay, S. A. de C. V.</v>
      </c>
      <c r="N104" s="12" t="str">
        <f>'[1]V, inciso p) (OP)'!X53</f>
        <v>EEC9909173A7</v>
      </c>
      <c r="O104" s="15">
        <f t="shared" si="3"/>
        <v>6611635.3700000001</v>
      </c>
      <c r="P104" s="15">
        <v>6611635.3700000001</v>
      </c>
      <c r="Q104" s="12" t="s">
        <v>425</v>
      </c>
      <c r="R104" s="15">
        <f>O104/4015</f>
        <v>1646.733591531756</v>
      </c>
      <c r="S104" s="12" t="s">
        <v>42</v>
      </c>
      <c r="T104" s="17">
        <v>2453</v>
      </c>
      <c r="U104" s="14" t="s">
        <v>43</v>
      </c>
      <c r="V104" s="12" t="s">
        <v>44</v>
      </c>
      <c r="W104" s="13">
        <f>'[1]V, inciso p) (OP)'!AM53</f>
        <v>42657</v>
      </c>
      <c r="X104" s="13">
        <f>'[1]V, inciso p) (OP)'!AN53</f>
        <v>42723</v>
      </c>
      <c r="Y104" s="12" t="s">
        <v>350</v>
      </c>
      <c r="Z104" s="12" t="s">
        <v>351</v>
      </c>
      <c r="AA104" s="12" t="s">
        <v>352</v>
      </c>
      <c r="AB104" s="18" t="s">
        <v>1679</v>
      </c>
      <c r="AC104" s="14" t="s">
        <v>48</v>
      </c>
      <c r="AD104" s="14"/>
    </row>
    <row r="105" spans="1:30" ht="80.099999999999994" customHeight="1">
      <c r="A105" s="5">
        <v>92</v>
      </c>
      <c r="B105" s="12">
        <v>2016</v>
      </c>
      <c r="C105" s="14" t="s">
        <v>31</v>
      </c>
      <c r="D105" s="14" t="str">
        <f>'[1]V, inciso p) (OP)'!D54</f>
        <v>DOPI-FED-PR-PAV-LP-092-2016</v>
      </c>
      <c r="E105" s="13">
        <f>'[1]V, inciso p) (OP)'!AD54</f>
        <v>42656</v>
      </c>
      <c r="F105" s="14" t="str">
        <f>'[1]V, inciso p) (OP)'!I54</f>
        <v>Construcción de vialidad con concreto hidráulico calle Eligio Delgado entre calle Tepatl a calle Indígena, incluye: guarniciones, banquetas, red de agua potable, alcantarillado y alumbrado público, zona las Mesas, Municipio de Zapopan, Jalisco.</v>
      </c>
      <c r="G105" s="14" t="s">
        <v>416</v>
      </c>
      <c r="H105" s="15">
        <f>'[1]V, inciso p) (OP)'!AG54</f>
        <v>3070604.74</v>
      </c>
      <c r="I105" s="14" t="str">
        <f>'[1]V, inciso p) (OP)'!AS54</f>
        <v>Zona de Las Mesas</v>
      </c>
      <c r="J105" s="12" t="str">
        <f>'[1]V, inciso p) (OP)'!T54</f>
        <v>Bernardo</v>
      </c>
      <c r="K105" s="12" t="str">
        <f>'[1]V, inciso p) (OP)'!U54</f>
        <v>Saenz</v>
      </c>
      <c r="L105" s="12" t="str">
        <f>'[1]V, inciso p) (OP)'!V54</f>
        <v>Barba</v>
      </c>
      <c r="M105" s="14" t="str">
        <f>'[1]V, inciso p) (OP)'!W54</f>
        <v>Grupo Edificador Mayab, S.A. de C.V.</v>
      </c>
      <c r="N105" s="12" t="str">
        <f>'[1]V, inciso p) (OP)'!X54</f>
        <v>GEM070112PX8</v>
      </c>
      <c r="O105" s="15">
        <f t="shared" si="3"/>
        <v>3070604.74</v>
      </c>
      <c r="P105" s="15">
        <v>3070604.74</v>
      </c>
      <c r="Q105" s="12" t="s">
        <v>426</v>
      </c>
      <c r="R105" s="15">
        <f>O105/1885</f>
        <v>1628.9680318302389</v>
      </c>
      <c r="S105" s="12" t="s">
        <v>42</v>
      </c>
      <c r="T105" s="17">
        <v>2728</v>
      </c>
      <c r="U105" s="14" t="s">
        <v>43</v>
      </c>
      <c r="V105" s="12" t="s">
        <v>44</v>
      </c>
      <c r="W105" s="13">
        <f>'[1]V, inciso p) (OP)'!AM54</f>
        <v>42657</v>
      </c>
      <c r="X105" s="13">
        <f>'[1]V, inciso p) (OP)'!AN54</f>
        <v>42723</v>
      </c>
      <c r="Y105" s="12" t="s">
        <v>350</v>
      </c>
      <c r="Z105" s="12" t="s">
        <v>351</v>
      </c>
      <c r="AA105" s="12" t="s">
        <v>352</v>
      </c>
      <c r="AB105" s="14" t="s">
        <v>48</v>
      </c>
      <c r="AC105" s="14" t="s">
        <v>48</v>
      </c>
      <c r="AD105" s="14"/>
    </row>
    <row r="106" spans="1:30" ht="80.099999999999994" customHeight="1">
      <c r="A106" s="5">
        <v>93</v>
      </c>
      <c r="B106" s="12">
        <v>2016</v>
      </c>
      <c r="C106" s="14" t="s">
        <v>31</v>
      </c>
      <c r="D106" s="14" t="str">
        <f>'[1]V, inciso p) (OP)'!D55</f>
        <v>DOPI-FED-PR-PAV-LP-093-2016</v>
      </c>
      <c r="E106" s="13">
        <f>'[1]V, inciso p) (OP)'!AD55</f>
        <v>42656</v>
      </c>
      <c r="F106" s="14" t="str">
        <f>'[1]V, inciso p) (OP)'!I55</f>
        <v>Construcción de vialidad con concreto hidráulico calle Ozomatlí desde la calle Cholollan a la calle Lenteja, incluye: guarniciones, banquetas, red de agua potable, alcantarillado y alumbrado público, zona las Mesas, Municipio de Zapopan, Jalisco.</v>
      </c>
      <c r="G106" s="14" t="s">
        <v>416</v>
      </c>
      <c r="H106" s="15">
        <f>'[1]V, inciso p) (OP)'!AG55</f>
        <v>5663734.8300000001</v>
      </c>
      <c r="I106" s="14" t="str">
        <f>'[1]V, inciso p) (OP)'!AS55</f>
        <v>Zona de Las Mesas</v>
      </c>
      <c r="J106" s="12" t="str">
        <f>'[1]V, inciso p) (OP)'!T55</f>
        <v>Ignacio Javier</v>
      </c>
      <c r="K106" s="12" t="str">
        <f>'[1]V, inciso p) (OP)'!U55</f>
        <v>Curiel</v>
      </c>
      <c r="L106" s="12" t="str">
        <f>'[1]V, inciso p) (OP)'!V55</f>
        <v>Dueñas</v>
      </c>
      <c r="M106" s="14" t="str">
        <f>'[1]V, inciso p) (OP)'!W55</f>
        <v>TC Construcción y Mantenimiento, S.A. de C.V.</v>
      </c>
      <c r="N106" s="12" t="str">
        <f>'[1]V, inciso p) (OP)'!X55</f>
        <v>TCM100915HA1</v>
      </c>
      <c r="O106" s="15">
        <f t="shared" si="3"/>
        <v>5663734.8300000001</v>
      </c>
      <c r="P106" s="15">
        <v>3910076.93</v>
      </c>
      <c r="Q106" s="12" t="s">
        <v>427</v>
      </c>
      <c r="R106" s="15">
        <f>O106/3796</f>
        <v>1492.0270890410959</v>
      </c>
      <c r="S106" s="12" t="s">
        <v>42</v>
      </c>
      <c r="T106" s="17">
        <v>2612</v>
      </c>
      <c r="U106" s="14" t="s">
        <v>43</v>
      </c>
      <c r="V106" s="12" t="s">
        <v>44</v>
      </c>
      <c r="W106" s="13">
        <f>'[1]V, inciso p) (OP)'!AM55</f>
        <v>42657</v>
      </c>
      <c r="X106" s="13">
        <f>'[1]V, inciso p) (OP)'!AN55</f>
        <v>42723</v>
      </c>
      <c r="Y106" s="12" t="s">
        <v>350</v>
      </c>
      <c r="Z106" s="12" t="s">
        <v>351</v>
      </c>
      <c r="AA106" s="12" t="s">
        <v>352</v>
      </c>
      <c r="AB106" s="18" t="s">
        <v>1680</v>
      </c>
      <c r="AC106" s="14" t="s">
        <v>48</v>
      </c>
      <c r="AD106" s="14"/>
    </row>
    <row r="107" spans="1:30" ht="80.099999999999994" customHeight="1">
      <c r="A107" s="5">
        <v>94</v>
      </c>
      <c r="B107" s="12">
        <v>2016</v>
      </c>
      <c r="C107" s="14" t="s">
        <v>31</v>
      </c>
      <c r="D107" s="14" t="str">
        <f>'[1]V, inciso p) (OP)'!D56</f>
        <v>DOPI-FED-PR-PAV-LP-094-2016</v>
      </c>
      <c r="E107" s="13">
        <f>'[1]V, inciso p) (OP)'!AD56</f>
        <v>42656</v>
      </c>
      <c r="F107" s="14" t="str">
        <f>'[1]V, inciso p) (OP)'!I56</f>
        <v>Construcción de vialidades con concreto hidráulico de las calles Cholollan y Paseo de los Membrillos entre las calles Chichenitza y Paseo de los Cerezos, incluye: puente vehicular de aproximadamente 30 metros de longitud para cruzar arroyo, guarniciones, banquetas, red de agua potable, alcantarillado y alumbrado publico.</v>
      </c>
      <c r="G107" s="14" t="s">
        <v>416</v>
      </c>
      <c r="H107" s="15">
        <f>'[1]V, inciso p) (OP)'!AG56</f>
        <v>9145513.7300000004</v>
      </c>
      <c r="I107" s="14" t="str">
        <f>'[1]V, inciso p) (OP)'!AS56</f>
        <v>Mesa Colorada</v>
      </c>
      <c r="J107" s="12" t="str">
        <f>'[1]V, inciso p) (OP)'!T56</f>
        <v>J. Gerardo</v>
      </c>
      <c r="K107" s="12" t="str">
        <f>'[1]V, inciso p) (OP)'!U56</f>
        <v>Nicanor</v>
      </c>
      <c r="L107" s="12" t="str">
        <f>'[1]V, inciso p) (OP)'!V56</f>
        <v>Mejia Mariscal</v>
      </c>
      <c r="M107" s="14" t="str">
        <f>'[1]V, inciso p) (OP)'!W56</f>
        <v>Ineco Construye, S.A. de C.V.</v>
      </c>
      <c r="N107" s="12" t="str">
        <f>'[1]V, inciso p) (OP)'!X56</f>
        <v>ICO980722M04</v>
      </c>
      <c r="O107" s="15">
        <f t="shared" si="3"/>
        <v>9145513.7300000004</v>
      </c>
      <c r="P107" s="15">
        <v>9145513.7300000004</v>
      </c>
      <c r="Q107" s="12" t="s">
        <v>428</v>
      </c>
      <c r="R107" s="15">
        <f>O107/4847</f>
        <v>1886.840051578296</v>
      </c>
      <c r="S107" s="12" t="s">
        <v>42</v>
      </c>
      <c r="T107" s="17">
        <v>4325</v>
      </c>
      <c r="U107" s="14" t="s">
        <v>43</v>
      </c>
      <c r="V107" s="12" t="s">
        <v>44</v>
      </c>
      <c r="W107" s="13">
        <f>'[1]V, inciso p) (OP)'!AM56</f>
        <v>42657</v>
      </c>
      <c r="X107" s="13">
        <f>'[1]V, inciso p) (OP)'!AN56</f>
        <v>42723</v>
      </c>
      <c r="Y107" s="12" t="s">
        <v>350</v>
      </c>
      <c r="Z107" s="12" t="s">
        <v>351</v>
      </c>
      <c r="AA107" s="12" t="s">
        <v>352</v>
      </c>
      <c r="AB107" s="18" t="s">
        <v>1681</v>
      </c>
      <c r="AC107" s="14" t="s">
        <v>48</v>
      </c>
      <c r="AD107" s="14"/>
    </row>
    <row r="108" spans="1:30" ht="80.099999999999994" customHeight="1">
      <c r="A108" s="5">
        <v>95</v>
      </c>
      <c r="B108" s="12">
        <v>2016</v>
      </c>
      <c r="C108" s="14" t="s">
        <v>31</v>
      </c>
      <c r="D108" s="14" t="str">
        <f>'[1]V, inciso p) (OP)'!D57</f>
        <v>DOPI-FED-PR-PAV-LP-095-2016</v>
      </c>
      <c r="E108" s="13">
        <f>'[1]V, inciso p) (OP)'!AD57</f>
        <v>42656</v>
      </c>
      <c r="F108" s="14" t="str">
        <f>'[1]V, inciso p) (OP)'!I57</f>
        <v>Reencarpetamiento de la Av. Santa Margarita, en la colonia Santa Margarita, incluye: guarniciones, banquetas, renivelación de pozos y cajas, señalamiento vertical y horizontal, Municipio de Zapopan, Jalisco, frente 1.</v>
      </c>
      <c r="G108" s="14" t="s">
        <v>416</v>
      </c>
      <c r="H108" s="15">
        <f>'[1]V, inciso p) (OP)'!AG57</f>
        <v>6756554.5</v>
      </c>
      <c r="I108" s="14" t="str">
        <f>'[1]V, inciso p) (OP)'!AS57</f>
        <v>Colonia Santa Margarita</v>
      </c>
      <c r="J108" s="12" t="str">
        <f>'[1]V, inciso p) (OP)'!T57</f>
        <v>Víctor Manuel</v>
      </c>
      <c r="K108" s="12" t="str">
        <f>'[1]V, inciso p) (OP)'!U57</f>
        <v>Jauregui</v>
      </c>
      <c r="L108" s="12" t="str">
        <f>'[1]V, inciso p) (OP)'!V57</f>
        <v>Torres</v>
      </c>
      <c r="M108" s="14" t="str">
        <f>'[1]V, inciso p) (OP)'!W57</f>
        <v>Constructora Erlort y Asociados, S.A. de C.V.</v>
      </c>
      <c r="N108" s="12" t="str">
        <f>'[1]V, inciso p) (OP)'!X57</f>
        <v>CEA070208SB1</v>
      </c>
      <c r="O108" s="15">
        <f t="shared" si="3"/>
        <v>6756554.5</v>
      </c>
      <c r="P108" s="15">
        <v>6756554.5</v>
      </c>
      <c r="Q108" s="12" t="s">
        <v>429</v>
      </c>
      <c r="R108" s="15">
        <f>O108/11696</f>
        <v>577.68078830369359</v>
      </c>
      <c r="S108" s="12" t="s">
        <v>42</v>
      </c>
      <c r="T108" s="17">
        <v>52846</v>
      </c>
      <c r="U108" s="14" t="s">
        <v>43</v>
      </c>
      <c r="V108" s="12" t="s">
        <v>44</v>
      </c>
      <c r="W108" s="13">
        <f>'[1]V, inciso p) (OP)'!AM57</f>
        <v>42657</v>
      </c>
      <c r="X108" s="13">
        <f>'[1]V, inciso p) (OP)'!AN57</f>
        <v>42732</v>
      </c>
      <c r="Y108" s="12" t="s">
        <v>365</v>
      </c>
      <c r="Z108" s="12" t="s">
        <v>366</v>
      </c>
      <c r="AA108" s="12" t="s">
        <v>367</v>
      </c>
      <c r="AB108" s="14" t="s">
        <v>48</v>
      </c>
      <c r="AC108" s="14" t="s">
        <v>48</v>
      </c>
      <c r="AD108" s="14"/>
    </row>
    <row r="109" spans="1:30" ht="80.099999999999994" customHeight="1">
      <c r="A109" s="5">
        <v>96</v>
      </c>
      <c r="B109" s="12">
        <v>2016</v>
      </c>
      <c r="C109" s="14" t="s">
        <v>31</v>
      </c>
      <c r="D109" s="14" t="str">
        <f>'[1]V, inciso p) (OP)'!D58</f>
        <v>DOPI-FED-PR-PAV-LP-096-2016</v>
      </c>
      <c r="E109" s="13">
        <f>'[1]V, inciso p) (OP)'!AD58</f>
        <v>42656</v>
      </c>
      <c r="F109" s="14" t="str">
        <f>'[1]V, inciso p) (OP)'!I58</f>
        <v>Reencarpetamiento de la Av. Santa Margarita, en la colonia Santa Margarita, incluye: guarniciones, banquetas, renivelación de pozos y cajas, señalamiento vertical y horizontal, Municipio de Zapopan, Jalisco, frente 2.</v>
      </c>
      <c r="G109" s="14" t="s">
        <v>416</v>
      </c>
      <c r="H109" s="15">
        <f>'[1]V, inciso p) (OP)'!AG58</f>
        <v>8604721.4600000009</v>
      </c>
      <c r="I109" s="14" t="str">
        <f>'[1]V, inciso p) (OP)'!AS58</f>
        <v>Colonia Santa Margarita</v>
      </c>
      <c r="J109" s="12" t="str">
        <f>'[1]V, inciso p) (OP)'!T58</f>
        <v>Víctor Manuel</v>
      </c>
      <c r="K109" s="12" t="str">
        <f>'[1]V, inciso p) (OP)'!U58</f>
        <v>Jauregui</v>
      </c>
      <c r="L109" s="12" t="str">
        <f>'[1]V, inciso p) (OP)'!V58</f>
        <v>Torres</v>
      </c>
      <c r="M109" s="14" t="str">
        <f>'[1]V, inciso p) (OP)'!W58</f>
        <v>Constructora Erlort y Asociados, S.A. de C.V.</v>
      </c>
      <c r="N109" s="12" t="str">
        <f>'[1]V, inciso p) (OP)'!X58</f>
        <v>CEA070208SB1</v>
      </c>
      <c r="O109" s="15">
        <f t="shared" si="3"/>
        <v>8604721.4600000009</v>
      </c>
      <c r="P109" s="15">
        <v>8604721.4600000009</v>
      </c>
      <c r="Q109" s="12" t="s">
        <v>430</v>
      </c>
      <c r="R109" s="15">
        <f>O109/14923</f>
        <v>576.60801849494078</v>
      </c>
      <c r="S109" s="12" t="s">
        <v>42</v>
      </c>
      <c r="T109" s="17">
        <v>52846</v>
      </c>
      <c r="U109" s="14" t="s">
        <v>43</v>
      </c>
      <c r="V109" s="12" t="s">
        <v>44</v>
      </c>
      <c r="W109" s="13">
        <f>'[1]V, inciso p) (OP)'!AM58</f>
        <v>42657</v>
      </c>
      <c r="X109" s="13">
        <f>'[1]V, inciso p) (OP)'!AN58</f>
        <v>42732</v>
      </c>
      <c r="Y109" s="12" t="s">
        <v>365</v>
      </c>
      <c r="Z109" s="12" t="s">
        <v>366</v>
      </c>
      <c r="AA109" s="12" t="s">
        <v>367</v>
      </c>
      <c r="AB109" s="18" t="s">
        <v>1682</v>
      </c>
      <c r="AC109" s="14" t="s">
        <v>48</v>
      </c>
      <c r="AD109" s="14"/>
    </row>
    <row r="110" spans="1:30" ht="80.099999999999994" customHeight="1">
      <c r="A110" s="5">
        <v>97</v>
      </c>
      <c r="B110" s="12">
        <v>2016</v>
      </c>
      <c r="C110" s="14" t="s">
        <v>31</v>
      </c>
      <c r="D110" s="14" t="str">
        <f>'[1]V, inciso p) (OP)'!D59</f>
        <v>DOPI-FED-PR-PAV-LP-097-2016</v>
      </c>
      <c r="E110" s="13">
        <f>'[1]V, inciso p) (OP)'!AD59</f>
        <v>42656</v>
      </c>
      <c r="F110" s="14" t="str">
        <f>'[1]V, inciso p) (OP)'!I59</f>
        <v>Reencarpetamiento de la Av. Santa Margarita, en la colonia Santa Margarita, incluye: guarniciones, banquetas, renivelación de pozos y cajas, señalamiento vertical y horizontal, Municipio de Zapopan, Jalisco, frente 3.</v>
      </c>
      <c r="G110" s="14" t="s">
        <v>416</v>
      </c>
      <c r="H110" s="15">
        <f>'[1]V, inciso p) (OP)'!AG59</f>
        <v>7620310.1200000001</v>
      </c>
      <c r="I110" s="14" t="str">
        <f>'[1]V, inciso p) (OP)'!AS59</f>
        <v>Colonia Santa Margarita</v>
      </c>
      <c r="J110" s="12" t="str">
        <f>'[1]V, inciso p) (OP)'!T59</f>
        <v>Víctor Manuel</v>
      </c>
      <c r="K110" s="12" t="str">
        <f>'[1]V, inciso p) (OP)'!U59</f>
        <v>Jauregui</v>
      </c>
      <c r="L110" s="12" t="str">
        <f>'[1]V, inciso p) (OP)'!V59</f>
        <v>Torres</v>
      </c>
      <c r="M110" s="14" t="str">
        <f>'[1]V, inciso p) (OP)'!W59</f>
        <v>Constructora Erlort y Asociados, S.A. de C.V.</v>
      </c>
      <c r="N110" s="12" t="str">
        <f>'[1]V, inciso p) (OP)'!X59</f>
        <v>CEA070208SB1</v>
      </c>
      <c r="O110" s="15">
        <f t="shared" si="3"/>
        <v>7620310.1200000001</v>
      </c>
      <c r="P110" s="15">
        <v>7822343.5300000003</v>
      </c>
      <c r="Q110" s="12" t="s">
        <v>431</v>
      </c>
      <c r="R110" s="15">
        <f>O110/13168</f>
        <v>578.69912818955038</v>
      </c>
      <c r="S110" s="12" t="s">
        <v>42</v>
      </c>
      <c r="T110" s="17">
        <v>52846</v>
      </c>
      <c r="U110" s="14" t="s">
        <v>43</v>
      </c>
      <c r="V110" s="12" t="s">
        <v>44</v>
      </c>
      <c r="W110" s="13">
        <f>'[1]V, inciso p) (OP)'!AM59</f>
        <v>42657</v>
      </c>
      <c r="X110" s="13">
        <f>'[1]V, inciso p) (OP)'!AN59</f>
        <v>42732</v>
      </c>
      <c r="Y110" s="12" t="s">
        <v>365</v>
      </c>
      <c r="Z110" s="12" t="s">
        <v>366</v>
      </c>
      <c r="AA110" s="12" t="s">
        <v>367</v>
      </c>
      <c r="AB110" s="18" t="s">
        <v>1683</v>
      </c>
      <c r="AC110" s="14" t="s">
        <v>48</v>
      </c>
      <c r="AD110" s="14"/>
    </row>
    <row r="111" spans="1:30" ht="80.099999999999994" customHeight="1">
      <c r="A111" s="5">
        <v>98</v>
      </c>
      <c r="B111" s="12">
        <v>2016</v>
      </c>
      <c r="C111" s="14" t="s">
        <v>31</v>
      </c>
      <c r="D111" s="14" t="str">
        <f>'[1]V, inciso p) (OP)'!D60</f>
        <v>DOPI-FED-PR-PAV-LP-098-2016</v>
      </c>
      <c r="E111" s="13">
        <f>'[1]V, inciso p) (OP)'!AD60</f>
        <v>42685</v>
      </c>
      <c r="F111" s="14" t="str">
        <f>'[1]V, inciso p) (OP)'!I60</f>
        <v>Construcción de la vialidad con concreto hidráulico de la Av. Ramón Corona, incluye: guarniciones, banquetas, red de agua potable, alcantarillado, alumbrado público y forestación, Municipio de Zapopan, Jalisco, frente 1.</v>
      </c>
      <c r="G111" s="14" t="s">
        <v>416</v>
      </c>
      <c r="H111" s="15">
        <f>'[1]V, inciso p) (OP)'!AG60</f>
        <v>11081287.630000001</v>
      </c>
      <c r="I111" s="14" t="str">
        <f>'[1]V, inciso p) (OP)'!AS60</f>
        <v>Colonia La Mojonera</v>
      </c>
      <c r="J111" s="12" t="str">
        <f>'[1]V, inciso p) (OP)'!T60</f>
        <v>J. Gerardo</v>
      </c>
      <c r="K111" s="12" t="str">
        <f>'[1]V, inciso p) (OP)'!U60</f>
        <v>Nicanor</v>
      </c>
      <c r="L111" s="12" t="str">
        <f>'[1]V, inciso p) (OP)'!V60</f>
        <v>Mejia Mariscal</v>
      </c>
      <c r="M111" s="14" t="str">
        <f>'[1]V, inciso p) (OP)'!W60</f>
        <v>Ineco Construye, S.A. de C.V.</v>
      </c>
      <c r="N111" s="12" t="str">
        <f>'[1]V, inciso p) (OP)'!X60</f>
        <v>ICO980722M04</v>
      </c>
      <c r="O111" s="15">
        <f t="shared" si="3"/>
        <v>11081287.630000001</v>
      </c>
      <c r="P111" s="15">
        <v>11081287.630000001</v>
      </c>
      <c r="Q111" s="12" t="s">
        <v>432</v>
      </c>
      <c r="R111" s="15">
        <f>O111/7750</f>
        <v>1429.8435651612904</v>
      </c>
      <c r="S111" s="12" t="s">
        <v>42</v>
      </c>
      <c r="T111" s="17">
        <v>5622</v>
      </c>
      <c r="U111" s="14" t="s">
        <v>43</v>
      </c>
      <c r="V111" s="12" t="s">
        <v>44</v>
      </c>
      <c r="W111" s="13">
        <f>'[1]V, inciso p) (OP)'!AM60</f>
        <v>42688</v>
      </c>
      <c r="X111" s="13">
        <f>'[1]V, inciso p) (OP)'!AN60</f>
        <v>42763</v>
      </c>
      <c r="Y111" s="12" t="s">
        <v>399</v>
      </c>
      <c r="Z111" s="12" t="s">
        <v>284</v>
      </c>
      <c r="AA111" s="12" t="s">
        <v>81</v>
      </c>
      <c r="AB111" s="14" t="s">
        <v>1632</v>
      </c>
      <c r="AC111" s="18"/>
      <c r="AD111" s="14"/>
    </row>
    <row r="112" spans="1:30" ht="80.099999999999994" customHeight="1">
      <c r="A112" s="5">
        <v>99</v>
      </c>
      <c r="B112" s="12">
        <v>2016</v>
      </c>
      <c r="C112" s="14" t="s">
        <v>31</v>
      </c>
      <c r="D112" s="14" t="str">
        <f>'[1]V, inciso p) (OP)'!D61</f>
        <v>DOPI-FED-PR-PAV-LP-099-2016</v>
      </c>
      <c r="E112" s="13">
        <f>'[1]V, inciso p) (OP)'!AD61</f>
        <v>42685</v>
      </c>
      <c r="F112" s="14" t="str">
        <f>'[1]V, inciso p) (OP)'!I61</f>
        <v>Construcción de la vialidad con concreto hidráulico de la Av. Ramón Corona, incluye: guarniciones, banquetas, red de agua potable, alcantarillado, alumbrado público y forestación, Municipio de Zapopan, Jalisco, frente 2.</v>
      </c>
      <c r="G112" s="14" t="s">
        <v>416</v>
      </c>
      <c r="H112" s="15">
        <f>'[1]V, inciso p) (OP)'!AG61</f>
        <v>9389185.8900000006</v>
      </c>
      <c r="I112" s="14" t="str">
        <f>'[1]V, inciso p) (OP)'!AS61</f>
        <v>Colonia La Mojonera</v>
      </c>
      <c r="J112" s="12" t="str">
        <f>'[1]V, inciso p) (OP)'!T61</f>
        <v>Sergio Cesar</v>
      </c>
      <c r="K112" s="12" t="str">
        <f>'[1]V, inciso p) (OP)'!U61</f>
        <v>Diaz</v>
      </c>
      <c r="L112" s="12" t="str">
        <f>'[1]V, inciso p) (OP)'!V61</f>
        <v>Quiroz</v>
      </c>
      <c r="M112" s="14" t="str">
        <f>'[1]V, inciso p) (OP)'!W61</f>
        <v>Grupo Unicreto S.A. de C.V.</v>
      </c>
      <c r="N112" s="12" t="str">
        <f>'[1]V, inciso p) (OP)'!X61</f>
        <v>GUN880613NY1</v>
      </c>
      <c r="O112" s="15">
        <f t="shared" si="3"/>
        <v>9389185.8900000006</v>
      </c>
      <c r="P112" s="15">
        <v>11444478.677999999</v>
      </c>
      <c r="Q112" s="12" t="s">
        <v>433</v>
      </c>
      <c r="R112" s="15">
        <f>O112/5500</f>
        <v>1707.1247072727274</v>
      </c>
      <c r="S112" s="12" t="s">
        <v>42</v>
      </c>
      <c r="T112" s="17">
        <v>5622</v>
      </c>
      <c r="U112" s="14" t="s">
        <v>43</v>
      </c>
      <c r="V112" s="12" t="s">
        <v>44</v>
      </c>
      <c r="W112" s="13">
        <f>'[1]V, inciso p) (OP)'!AM61</f>
        <v>42688</v>
      </c>
      <c r="X112" s="13">
        <f>'[1]V, inciso p) (OP)'!AN61</f>
        <v>42763</v>
      </c>
      <c r="Y112" s="12" t="s">
        <v>399</v>
      </c>
      <c r="Z112" s="12" t="s">
        <v>284</v>
      </c>
      <c r="AA112" s="12" t="s">
        <v>81</v>
      </c>
      <c r="AB112" s="18" t="s">
        <v>1684</v>
      </c>
      <c r="AC112" s="14" t="s">
        <v>48</v>
      </c>
      <c r="AD112" s="14"/>
    </row>
    <row r="113" spans="1:30" ht="80.099999999999994" customHeight="1">
      <c r="A113" s="5">
        <v>100</v>
      </c>
      <c r="B113" s="12">
        <v>2016</v>
      </c>
      <c r="C113" s="14" t="s">
        <v>31</v>
      </c>
      <c r="D113" s="14" t="str">
        <f>'[1]V, inciso p) (OP)'!D62</f>
        <v>DOPI-FED-PR-PAV-LP-100-2016</v>
      </c>
      <c r="E113" s="13">
        <f>'[1]V, inciso p) (OP)'!AD62</f>
        <v>42685</v>
      </c>
      <c r="F113" s="14" t="str">
        <f>'[1]V, inciso p) (OP)'!I62</f>
        <v>Construcción de la vialidad con concreto hidráulico de la Av. Ramón Corona, incluye: guarniciones, banquetas, red de agua potable, alcantarillado, alumbrado público y forestación, Municipio de Zapopan, Jalisco, frente 3.</v>
      </c>
      <c r="G113" s="14" t="s">
        <v>416</v>
      </c>
      <c r="H113" s="15">
        <f>'[1]V, inciso p) (OP)'!AG62</f>
        <v>6602792.5999999996</v>
      </c>
      <c r="I113" s="14" t="str">
        <f>'[1]V, inciso p) (OP)'!AS62</f>
        <v>Colonia La Mojonera</v>
      </c>
      <c r="J113" s="12" t="str">
        <f>'[1]V, inciso p) (OP)'!T62</f>
        <v>Sergio Cesar</v>
      </c>
      <c r="K113" s="12" t="str">
        <f>'[1]V, inciso p) (OP)'!U62</f>
        <v>Diaz</v>
      </c>
      <c r="L113" s="12" t="str">
        <f>'[1]V, inciso p) (OP)'!V62</f>
        <v>Quiroz</v>
      </c>
      <c r="M113" s="14" t="str">
        <f>'[1]V, inciso p) (OP)'!W62</f>
        <v>Grupo Unicreto S.A. de C.V.</v>
      </c>
      <c r="N113" s="12" t="str">
        <f>'[1]V, inciso p) (OP)'!X62</f>
        <v>GUN880613NY1</v>
      </c>
      <c r="O113" s="15">
        <f t="shared" si="3"/>
        <v>6602792.5999999996</v>
      </c>
      <c r="P113" s="15">
        <v>7498376.2899999991</v>
      </c>
      <c r="Q113" s="12" t="s">
        <v>434</v>
      </c>
      <c r="R113" s="15">
        <f>O113/3802.5</f>
        <v>1736.4346088099933</v>
      </c>
      <c r="S113" s="12" t="s">
        <v>42</v>
      </c>
      <c r="T113" s="17">
        <v>5622</v>
      </c>
      <c r="U113" s="14" t="s">
        <v>43</v>
      </c>
      <c r="V113" s="12" t="s">
        <v>44</v>
      </c>
      <c r="W113" s="13">
        <f>'[1]V, inciso p) (OP)'!AM62</f>
        <v>42688</v>
      </c>
      <c r="X113" s="13">
        <f>'[1]V, inciso p) (OP)'!AN62</f>
        <v>42763</v>
      </c>
      <c r="Y113" s="12" t="s">
        <v>399</v>
      </c>
      <c r="Z113" s="12" t="s">
        <v>284</v>
      </c>
      <c r="AA113" s="12" t="s">
        <v>81</v>
      </c>
      <c r="AB113" s="18" t="s">
        <v>1685</v>
      </c>
      <c r="AC113" s="14" t="s">
        <v>48</v>
      </c>
      <c r="AD113" s="14"/>
    </row>
    <row r="114" spans="1:30" ht="80.099999999999994" customHeight="1">
      <c r="A114" s="5">
        <v>101</v>
      </c>
      <c r="B114" s="12">
        <v>2016</v>
      </c>
      <c r="C114" s="14" t="s">
        <v>31</v>
      </c>
      <c r="D114" s="14" t="str">
        <f>'[1]V, inciso p) (OP)'!D63</f>
        <v>DOPI-FED-PR-PAV-LP-101-2016</v>
      </c>
      <c r="E114" s="13">
        <f>'[1]V, inciso p) (OP)'!AD63</f>
        <v>42685</v>
      </c>
      <c r="F114" s="14" t="str">
        <f>'[1]V, inciso p) (OP)'!I63</f>
        <v>Construcción de Centro de Desarrollo Infantil La Loma, Municipio de Zapopan, Jalisco.</v>
      </c>
      <c r="G114" s="14" t="s">
        <v>416</v>
      </c>
      <c r="H114" s="15">
        <f>'[1]V, inciso p) (OP)'!AG63</f>
        <v>17394240.84</v>
      </c>
      <c r="I114" s="14" t="str">
        <f>'[1]V, inciso p) (OP)'!AS63</f>
        <v>Colonia La Loma</v>
      </c>
      <c r="J114" s="12" t="str">
        <f>'[1]V, inciso p) (OP)'!T63</f>
        <v>Jesús</v>
      </c>
      <c r="K114" s="12" t="str">
        <f>'[1]V, inciso p) (OP)'!U63</f>
        <v>Arenas</v>
      </c>
      <c r="L114" s="12" t="str">
        <f>'[1]V, inciso p) (OP)'!V63</f>
        <v>Bravo</v>
      </c>
      <c r="M114" s="14" t="str">
        <f>'[1]V, inciso p) (OP)'!W63</f>
        <v>Sicosa, S.A. de C.V.</v>
      </c>
      <c r="N114" s="12" t="str">
        <f>'[1]V, inciso p) (OP)'!X63</f>
        <v>SIC940317FH7</v>
      </c>
      <c r="O114" s="15">
        <f t="shared" si="3"/>
        <v>17394240.84</v>
      </c>
      <c r="P114" s="15">
        <v>20172173.930000003</v>
      </c>
      <c r="Q114" s="12" t="s">
        <v>435</v>
      </c>
      <c r="R114" s="15">
        <f>O114/1240</f>
        <v>14027.613580645162</v>
      </c>
      <c r="S114" s="12" t="s">
        <v>42</v>
      </c>
      <c r="T114" s="17">
        <v>8450</v>
      </c>
      <c r="U114" s="14" t="s">
        <v>43</v>
      </c>
      <c r="V114" s="12" t="s">
        <v>44</v>
      </c>
      <c r="W114" s="13">
        <f>'[1]V, inciso p) (OP)'!AM63</f>
        <v>42688</v>
      </c>
      <c r="X114" s="13">
        <f>'[1]V, inciso p) (OP)'!AN63</f>
        <v>42763</v>
      </c>
      <c r="Y114" s="12" t="s">
        <v>436</v>
      </c>
      <c r="Z114" s="12" t="s">
        <v>295</v>
      </c>
      <c r="AA114" s="12" t="s">
        <v>76</v>
      </c>
      <c r="AB114" s="18" t="s">
        <v>1686</v>
      </c>
      <c r="AC114" s="14" t="s">
        <v>48</v>
      </c>
      <c r="AD114" s="14"/>
    </row>
    <row r="115" spans="1:30" ht="80.099999999999994" customHeight="1">
      <c r="A115" s="5">
        <v>102</v>
      </c>
      <c r="B115" s="12">
        <v>2016</v>
      </c>
      <c r="C115" s="14" t="s">
        <v>31</v>
      </c>
      <c r="D115" s="14" t="str">
        <f>'[1]V, inciso p) (OP)'!D64</f>
        <v>DOPI-EST-CR-PAV-LP-102-2016</v>
      </c>
      <c r="E115" s="13">
        <f>'[1]V, inciso p) (OP)'!AD64</f>
        <v>42656</v>
      </c>
      <c r="F115" s="14" t="str">
        <f>'[1]V, inciso p) (OP)'!I64</f>
        <v>Construcción de la primera etapa de la calle Paseo de los Ciruelos de Paseo de los Membrillos a Paseo de los Encinos con concreto hidráulico en la zona Mesa Colorada, incluye: guarniciones, banquetas, red de agua potable, alcantarillado y alumbrado público, Municipio de Zapopan, Jalisco.</v>
      </c>
      <c r="G115" s="14" t="s">
        <v>437</v>
      </c>
      <c r="H115" s="15">
        <f>'[1]V, inciso p) (OP)'!AG64</f>
        <v>800844.56</v>
      </c>
      <c r="I115" s="14" t="str">
        <f>'[1]V, inciso p) (OP)'!AS64</f>
        <v>Mesa Colorada</v>
      </c>
      <c r="J115" s="12" t="str">
        <f>'[1]V, inciso p) (OP)'!T64</f>
        <v>José Omar</v>
      </c>
      <c r="K115" s="12" t="str">
        <f>'[1]V, inciso p) (OP)'!U64</f>
        <v>Fernández</v>
      </c>
      <c r="L115" s="12" t="str">
        <f>'[1]V, inciso p) (OP)'!V64</f>
        <v>Vázquez</v>
      </c>
      <c r="M115" s="14" t="str">
        <f>'[1]V, inciso p) (OP)'!W64</f>
        <v>Extra Construcciones, S.A. de C.V.</v>
      </c>
      <c r="N115" s="12" t="str">
        <f>'[1]V, inciso p) (OP)'!X64</f>
        <v>ECO0908115Z7</v>
      </c>
      <c r="O115" s="15">
        <f t="shared" si="3"/>
        <v>800844.56</v>
      </c>
      <c r="P115" s="15">
        <v>800844.56</v>
      </c>
      <c r="Q115" s="12" t="s">
        <v>438</v>
      </c>
      <c r="R115" s="15">
        <f>O115/315</f>
        <v>2542.3636825396829</v>
      </c>
      <c r="S115" s="12" t="s">
        <v>42</v>
      </c>
      <c r="T115" s="17">
        <v>1874</v>
      </c>
      <c r="U115" s="14" t="s">
        <v>43</v>
      </c>
      <c r="V115" s="12" t="s">
        <v>44</v>
      </c>
      <c r="W115" s="13">
        <f>'[1]V, inciso p) (OP)'!AM64</f>
        <v>42657</v>
      </c>
      <c r="X115" s="13">
        <f>'[1]V, inciso p) (OP)'!AN64</f>
        <v>42776</v>
      </c>
      <c r="Y115" s="12" t="s">
        <v>439</v>
      </c>
      <c r="Z115" s="12" t="s">
        <v>186</v>
      </c>
      <c r="AA115" s="12" t="s">
        <v>92</v>
      </c>
      <c r="AB115" s="16" t="s">
        <v>1587</v>
      </c>
      <c r="AC115" s="16"/>
      <c r="AD115" s="14"/>
    </row>
    <row r="116" spans="1:30" ht="80.099999999999994" customHeight="1">
      <c r="A116" s="5">
        <v>103</v>
      </c>
      <c r="B116" s="12">
        <v>2016</v>
      </c>
      <c r="C116" s="14" t="s">
        <v>31</v>
      </c>
      <c r="D116" s="14" t="str">
        <f>'[1]V, inciso p) (OP)'!D65</f>
        <v>DOPI-EST-CR-PAV-LP-103-2016</v>
      </c>
      <c r="E116" s="13">
        <f>'[1]V, inciso p) (OP)'!AD65</f>
        <v>42656</v>
      </c>
      <c r="F116" s="14" t="str">
        <f>'[1]V, inciso p) (OP)'!I65</f>
        <v>Construcción de la primera etapa de la calle Paseo de los Membrillos de Paseo del Roble a Paseo de los Aguacates de concreto hidráulico en la zona de la Mesa Colorada, incluye: guarniciones, banquetas, red de agua potable, alcantarillado y alumbrado público, Municipio de Zapopan, Jalisco.</v>
      </c>
      <c r="G116" s="14" t="s">
        <v>437</v>
      </c>
      <c r="H116" s="15">
        <f>'[1]V, inciso p) (OP)'!AG65</f>
        <v>2310172.9900000002</v>
      </c>
      <c r="I116" s="14" t="str">
        <f>'[1]V, inciso p) (OP)'!AS65</f>
        <v>Mesa Colorada</v>
      </c>
      <c r="J116" s="12" t="str">
        <f>'[1]V, inciso p) (OP)'!T65</f>
        <v>Alejandro</v>
      </c>
      <c r="K116" s="12" t="str">
        <f>'[1]V, inciso p) (OP)'!U65</f>
        <v>Guevara</v>
      </c>
      <c r="L116" s="12" t="str">
        <f>'[1]V, inciso p) (OP)'!V65</f>
        <v>Castellanos</v>
      </c>
      <c r="M116" s="14" t="str">
        <f>'[1]V, inciso p) (OP)'!W65</f>
        <v>Urbanizacion y Construccion Avanzada, S.A. de C.V.</v>
      </c>
      <c r="N116" s="12" t="str">
        <f>'[1]V, inciso p) (OP)'!X65</f>
        <v>UCA0207107X6</v>
      </c>
      <c r="O116" s="15">
        <f t="shared" si="3"/>
        <v>2310172.9900000002</v>
      </c>
      <c r="P116" s="15">
        <v>1707328.81</v>
      </c>
      <c r="Q116" s="12" t="s">
        <v>440</v>
      </c>
      <c r="R116" s="15">
        <f>O116/1222</f>
        <v>1890.485261865794</v>
      </c>
      <c r="S116" s="12" t="s">
        <v>42</v>
      </c>
      <c r="T116" s="17">
        <v>4532</v>
      </c>
      <c r="U116" s="14" t="s">
        <v>43</v>
      </c>
      <c r="V116" s="12" t="s">
        <v>44</v>
      </c>
      <c r="W116" s="13">
        <f>'[1]V, inciso p) (OP)'!AM65</f>
        <v>42657</v>
      </c>
      <c r="X116" s="13">
        <f>'[1]V, inciso p) (OP)'!AN65</f>
        <v>42776</v>
      </c>
      <c r="Y116" s="12" t="s">
        <v>439</v>
      </c>
      <c r="Z116" s="12" t="s">
        <v>186</v>
      </c>
      <c r="AA116" s="12" t="s">
        <v>92</v>
      </c>
      <c r="AB116" s="14" t="s">
        <v>48</v>
      </c>
      <c r="AC116" s="14" t="s">
        <v>48</v>
      </c>
      <c r="AD116" s="14"/>
    </row>
    <row r="117" spans="1:30" ht="80.099999999999994" customHeight="1">
      <c r="A117" s="5">
        <v>104</v>
      </c>
      <c r="B117" s="12">
        <v>2016</v>
      </c>
      <c r="C117" s="14" t="s">
        <v>31</v>
      </c>
      <c r="D117" s="14" t="str">
        <f>'[1]V, inciso p) (OP)'!D66</f>
        <v>DOPI-EST-CR-PAV-LP-104-2016</v>
      </c>
      <c r="E117" s="13">
        <f>'[1]V, inciso p) (OP)'!AD66</f>
        <v>42656</v>
      </c>
      <c r="F117" s="14" t="str">
        <f>'[1]V, inciso p) (OP)'!I66</f>
        <v>Construcción de la primera etapa de la calle Paseo del Roble de Paseo de los Membrillos a Paseo de los Perones con concreto hidráulico en la zona de la Mesa Colorada, incluye: guarniciones, banquetas, red de agua potable, alcantarillado y alumbrado público, Municipio de Zapopan, Jalisco.</v>
      </c>
      <c r="G117" s="14" t="s">
        <v>437</v>
      </c>
      <c r="H117" s="15">
        <f>'[1]V, inciso p) (OP)'!AG66</f>
        <v>931716.14</v>
      </c>
      <c r="I117" s="14" t="str">
        <f>'[1]V, inciso p) (OP)'!AS66</f>
        <v>Mesa Colorada</v>
      </c>
      <c r="J117" s="12" t="str">
        <f>'[1]V, inciso p) (OP)'!T66</f>
        <v>Alejandro</v>
      </c>
      <c r="K117" s="12" t="str">
        <f>'[1]V, inciso p) (OP)'!U66</f>
        <v>Guevara</v>
      </c>
      <c r="L117" s="12" t="str">
        <f>'[1]V, inciso p) (OP)'!V66</f>
        <v>Castellanos</v>
      </c>
      <c r="M117" s="14" t="str">
        <f>'[1]V, inciso p) (OP)'!W66</f>
        <v>Urbanizacion y Construccion Avanzada, S.A. de C.V.</v>
      </c>
      <c r="N117" s="12" t="str">
        <f>'[1]V, inciso p) (OP)'!X66</f>
        <v>UCA0207107X6</v>
      </c>
      <c r="O117" s="15">
        <f t="shared" si="3"/>
        <v>931716.14</v>
      </c>
      <c r="P117" s="15">
        <v>849577.65999999992</v>
      </c>
      <c r="Q117" s="12" t="s">
        <v>441</v>
      </c>
      <c r="R117" s="15">
        <f>O117/375</f>
        <v>2484.5763733333333</v>
      </c>
      <c r="S117" s="12" t="s">
        <v>42</v>
      </c>
      <c r="T117" s="17">
        <v>4532</v>
      </c>
      <c r="U117" s="14" t="s">
        <v>43</v>
      </c>
      <c r="V117" s="12" t="s">
        <v>44</v>
      </c>
      <c r="W117" s="13">
        <f>'[1]V, inciso p) (OP)'!AM66</f>
        <v>42657</v>
      </c>
      <c r="X117" s="13">
        <f>'[1]V, inciso p) (OP)'!AN66</f>
        <v>42776</v>
      </c>
      <c r="Y117" s="12" t="s">
        <v>439</v>
      </c>
      <c r="Z117" s="12" t="s">
        <v>186</v>
      </c>
      <c r="AA117" s="12" t="s">
        <v>92</v>
      </c>
      <c r="AB117" s="18" t="s">
        <v>1687</v>
      </c>
      <c r="AC117" s="14" t="s">
        <v>48</v>
      </c>
      <c r="AD117" s="14"/>
    </row>
    <row r="118" spans="1:30" ht="80.099999999999994" customHeight="1">
      <c r="A118" s="5">
        <v>105</v>
      </c>
      <c r="B118" s="12">
        <v>2016</v>
      </c>
      <c r="C118" s="14" t="s">
        <v>31</v>
      </c>
      <c r="D118" s="14" t="str">
        <f>'[1]V, inciso p) (OP)'!D67</f>
        <v>DOPI-EST-CR-PAV-LP-105-2016</v>
      </c>
      <c r="E118" s="13">
        <f>'[1]V, inciso p) (OP)'!AD67</f>
        <v>42656</v>
      </c>
      <c r="F118" s="14" t="str">
        <f>'[1]V, inciso p) (OP)'!I67</f>
        <v>Construcción de la primera etapa de la calle Chícharo de calle Lenteja a Carretera Saltillo con concreto hidráulico en la zona de la Mesa Colorada, incluye: guarniciones, banquetas, red de agua potable, alcantarillado y alumbrado público, Municipio de Zapopan, Jalisco.</v>
      </c>
      <c r="G118" s="14" t="s">
        <v>437</v>
      </c>
      <c r="H118" s="15">
        <f>'[1]V, inciso p) (OP)'!AG67</f>
        <v>7806734.9199999999</v>
      </c>
      <c r="I118" s="14" t="str">
        <f>'[1]V, inciso p) (OP)'!AS67</f>
        <v>Mesa Colorada</v>
      </c>
      <c r="J118" s="12" t="str">
        <f>'[1]V, inciso p) (OP)'!T67</f>
        <v>Felipe Daniel II</v>
      </c>
      <c r="K118" s="12" t="str">
        <f>'[1]V, inciso p) (OP)'!U67</f>
        <v>Nuñez</v>
      </c>
      <c r="L118" s="12" t="str">
        <f>'[1]V, inciso p) (OP)'!V67</f>
        <v>Pinzón</v>
      </c>
      <c r="M118" s="14" t="str">
        <f>'[1]V, inciso p) (OP)'!W67</f>
        <v>Grupo Nuveco, S.A. de C.V.</v>
      </c>
      <c r="N118" s="12" t="str">
        <f>'[1]V, inciso p) (OP)'!X67</f>
        <v>GNU120809KX1</v>
      </c>
      <c r="O118" s="15">
        <f t="shared" si="3"/>
        <v>7806734.9199999999</v>
      </c>
      <c r="P118" s="15">
        <v>7806734.9199999999</v>
      </c>
      <c r="Q118" s="12" t="s">
        <v>442</v>
      </c>
      <c r="R118" s="15">
        <f>O118/5067</f>
        <v>1540.7015827906059</v>
      </c>
      <c r="S118" s="12" t="s">
        <v>42</v>
      </c>
      <c r="T118" s="17">
        <v>7873</v>
      </c>
      <c r="U118" s="14" t="s">
        <v>43</v>
      </c>
      <c r="V118" s="12" t="s">
        <v>44</v>
      </c>
      <c r="W118" s="13">
        <f>'[1]V, inciso p) (OP)'!AM67</f>
        <v>42657</v>
      </c>
      <c r="X118" s="13">
        <f>'[1]V, inciso p) (OP)'!AN67</f>
        <v>42776</v>
      </c>
      <c r="Y118" s="12" t="s">
        <v>439</v>
      </c>
      <c r="Z118" s="12" t="s">
        <v>186</v>
      </c>
      <c r="AA118" s="12" t="s">
        <v>92</v>
      </c>
      <c r="AB118" s="16" t="s">
        <v>1588</v>
      </c>
      <c r="AC118" s="16"/>
      <c r="AD118" s="14"/>
    </row>
    <row r="119" spans="1:30" ht="80.099999999999994" customHeight="1">
      <c r="A119" s="5">
        <v>106</v>
      </c>
      <c r="B119" s="12">
        <v>2016</v>
      </c>
      <c r="C119" s="14" t="s">
        <v>31</v>
      </c>
      <c r="D119" s="14" t="str">
        <f>'[1]V, inciso p) (OP)'!D68</f>
        <v>DOPI-EST-CR-PAV-LP-106-2016</v>
      </c>
      <c r="E119" s="13">
        <f>'[1]V, inciso p) (OP)'!AD68</f>
        <v>42656</v>
      </c>
      <c r="F119" s="14" t="str">
        <f>'[1]V, inciso p) (OP)'!I68</f>
        <v>Reencarpetamiento de la Av. Santa Margarita de Periférico a Av. Tesistán, en la colonia Santa Margarita incluye: guarniciones, banquetas, renivelación de pozos y cajas, señalamiento vertical y horizontal, Municipio de Zapopan, Jalisco.</v>
      </c>
      <c r="G119" s="14" t="s">
        <v>437</v>
      </c>
      <c r="H119" s="15">
        <f>'[1]V, inciso p) (OP)'!AG68</f>
        <v>9033319.6300000008</v>
      </c>
      <c r="I119" s="14" t="str">
        <f>'[1]V, inciso p) (OP)'!AS68</f>
        <v>Colonia Santa Margarita</v>
      </c>
      <c r="J119" s="12" t="str">
        <f>'[1]V, inciso p) (OP)'!T68</f>
        <v>Ángel Salomón</v>
      </c>
      <c r="K119" s="12" t="str">
        <f>'[1]V, inciso p) (OP)'!U68</f>
        <v>Rincón</v>
      </c>
      <c r="L119" s="12" t="str">
        <f>'[1]V, inciso p) (OP)'!V68</f>
        <v>De la Rosa</v>
      </c>
      <c r="M119" s="14" t="str">
        <f>'[1]V, inciso p) (OP)'!W68</f>
        <v>Aro Asfaltos y Riegos de Occidente, S.A. de C.V.</v>
      </c>
      <c r="N119" s="12" t="str">
        <f>'[1]V, inciso p) (OP)'!X68</f>
        <v>AAR120507VA9</v>
      </c>
      <c r="O119" s="15">
        <f t="shared" si="3"/>
        <v>9033319.6300000008</v>
      </c>
      <c r="P119" s="15">
        <v>8247612.4699999997</v>
      </c>
      <c r="Q119" s="12" t="s">
        <v>443</v>
      </c>
      <c r="R119" s="15">
        <f>O119/16200</f>
        <v>557.61232283950619</v>
      </c>
      <c r="S119" s="12" t="s">
        <v>42</v>
      </c>
      <c r="T119" s="17">
        <v>14561</v>
      </c>
      <c r="U119" s="14" t="s">
        <v>43</v>
      </c>
      <c r="V119" s="12" t="s">
        <v>44</v>
      </c>
      <c r="W119" s="13">
        <f>'[1]V, inciso p) (OP)'!AM68</f>
        <v>42657</v>
      </c>
      <c r="X119" s="13">
        <f>'[1]V, inciso p) (OP)'!AN68</f>
        <v>42746</v>
      </c>
      <c r="Y119" s="12" t="s">
        <v>444</v>
      </c>
      <c r="Z119" s="12" t="s">
        <v>445</v>
      </c>
      <c r="AA119" s="12" t="s">
        <v>367</v>
      </c>
      <c r="AB119" s="18" t="s">
        <v>1688</v>
      </c>
      <c r="AC119" s="14" t="s">
        <v>48</v>
      </c>
      <c r="AD119" s="14"/>
    </row>
    <row r="120" spans="1:30" ht="80.099999999999994" customHeight="1">
      <c r="A120" s="5">
        <v>107</v>
      </c>
      <c r="B120" s="12">
        <v>2016</v>
      </c>
      <c r="C120" s="14" t="s">
        <v>31</v>
      </c>
      <c r="D120" s="14" t="str">
        <f>'[1]V, inciso p) (OP)'!D69</f>
        <v>DOPI-EST-CR-PAV-LP-107-2016</v>
      </c>
      <c r="E120" s="13">
        <f>'[1]V, inciso p) (OP)'!AD69</f>
        <v>42656</v>
      </c>
      <c r="F120" s="14" t="str">
        <f>'[1]V, inciso p) (OP)'!I69</f>
        <v>Reencarpetamiento de la calle Santa Esther de Av. Acueducto a Periférico, primera etapa, en la colonia Santa Margarita, incluye: guarniciones, banquetas, renivelación de pozos y cajas, señalamiento vertical y horizontal, Municipio de Zapopan, Jalisco.</v>
      </c>
      <c r="G120" s="14" t="s">
        <v>437</v>
      </c>
      <c r="H120" s="15">
        <f>'[1]V, inciso p) (OP)'!AG69</f>
        <v>1679620.18</v>
      </c>
      <c r="I120" s="14" t="str">
        <f>'[1]V, inciso p) (OP)'!AS69</f>
        <v>Colonia Santa Margarita</v>
      </c>
      <c r="J120" s="12" t="str">
        <f>'[1]V, inciso p) (OP)'!T69</f>
        <v>Ángel Salomón</v>
      </c>
      <c r="K120" s="12" t="str">
        <f>'[1]V, inciso p) (OP)'!U69</f>
        <v>Rincón</v>
      </c>
      <c r="L120" s="12" t="str">
        <f>'[1]V, inciso p) (OP)'!V69</f>
        <v>De la Rosa</v>
      </c>
      <c r="M120" s="14" t="str">
        <f>'[1]V, inciso p) (OP)'!W69</f>
        <v>Aro Asfaltos y Riegos de Occidente, S.A. de C.V.</v>
      </c>
      <c r="N120" s="12" t="str">
        <f>'[1]V, inciso p) (OP)'!X69</f>
        <v>AAR120507VA9</v>
      </c>
      <c r="O120" s="15">
        <f t="shared" si="3"/>
        <v>1679620.18</v>
      </c>
      <c r="P120" s="15">
        <v>1679620.18</v>
      </c>
      <c r="Q120" s="12" t="s">
        <v>446</v>
      </c>
      <c r="R120" s="15">
        <f>O120/1894</f>
        <v>886.81107708553327</v>
      </c>
      <c r="S120" s="12" t="s">
        <v>42</v>
      </c>
      <c r="T120" s="17">
        <v>20613</v>
      </c>
      <c r="U120" s="14" t="s">
        <v>43</v>
      </c>
      <c r="V120" s="12" t="s">
        <v>44</v>
      </c>
      <c r="W120" s="13">
        <f>'[1]V, inciso p) (OP)'!AM69</f>
        <v>42657</v>
      </c>
      <c r="X120" s="13">
        <f>'[1]V, inciso p) (OP)'!AN69</f>
        <v>42746</v>
      </c>
      <c r="Y120" s="12" t="s">
        <v>444</v>
      </c>
      <c r="Z120" s="12" t="s">
        <v>445</v>
      </c>
      <c r="AA120" s="12" t="s">
        <v>367</v>
      </c>
      <c r="AB120" s="16" t="s">
        <v>1589</v>
      </c>
      <c r="AC120" s="16"/>
      <c r="AD120" s="14"/>
    </row>
    <row r="121" spans="1:30" ht="80.099999999999994" customHeight="1">
      <c r="A121" s="5">
        <v>108</v>
      </c>
      <c r="B121" s="12">
        <v>2016</v>
      </c>
      <c r="C121" s="14" t="s">
        <v>31</v>
      </c>
      <c r="D121" s="14" t="str">
        <f>'[1]V, inciso p) (OP)'!D70</f>
        <v>DOPI-EST-CR-PAV-LP-108-2016</v>
      </c>
      <c r="E121" s="13">
        <f>'[1]V, inciso p) (OP)'!AD70</f>
        <v>42656</v>
      </c>
      <c r="F121" s="14" t="str">
        <f>'[1]V, inciso p) (OP)'!I70</f>
        <v>Reencarpetamiento de la calle Santa Esther de Periférico a Av. Santa Ana, primera etapa, en la colonia Santa Margarita, incluye: guarniciones, banquetas, renivelación de pozos y cajas, señalamiento vertical y horizontal, Municipio de Zapopan, Jalisco.</v>
      </c>
      <c r="G121" s="14" t="s">
        <v>437</v>
      </c>
      <c r="H121" s="15">
        <f>'[1]V, inciso p) (OP)'!AG70</f>
        <v>1797538.26</v>
      </c>
      <c r="I121" s="14" t="str">
        <f>'[1]V, inciso p) (OP)'!AS70</f>
        <v>Colonia Santa Margarita</v>
      </c>
      <c r="J121" s="12" t="str">
        <f>'[1]V, inciso p) (OP)'!T70</f>
        <v>Mario</v>
      </c>
      <c r="K121" s="12" t="str">
        <f>'[1]V, inciso p) (OP)'!U70</f>
        <v>Beltrán</v>
      </c>
      <c r="L121" s="12" t="str">
        <f>'[1]V, inciso p) (OP)'!V70</f>
        <v>Rodríguez</v>
      </c>
      <c r="M121" s="14" t="str">
        <f>'[1]V, inciso p) (OP)'!W70</f>
        <v xml:space="preserve">Constructora y Desarrolladora Barba y Asociados, S. A. de C. V. </v>
      </c>
      <c r="N121" s="12" t="str">
        <f>'[1]V, inciso p) (OP)'!X70</f>
        <v>CDB0506068Z4</v>
      </c>
      <c r="O121" s="15">
        <f t="shared" si="3"/>
        <v>1797538.26</v>
      </c>
      <c r="P121" s="15">
        <v>1797538.26</v>
      </c>
      <c r="Q121" s="12" t="s">
        <v>447</v>
      </c>
      <c r="R121" s="15">
        <f>O121/2001</f>
        <v>898.31997001499246</v>
      </c>
      <c r="S121" s="12" t="s">
        <v>42</v>
      </c>
      <c r="T121" s="17">
        <v>20613</v>
      </c>
      <c r="U121" s="14" t="s">
        <v>43</v>
      </c>
      <c r="V121" s="12" t="s">
        <v>44</v>
      </c>
      <c r="W121" s="13">
        <f>'[1]V, inciso p) (OP)'!AM70</f>
        <v>42657</v>
      </c>
      <c r="X121" s="13">
        <f>'[1]V, inciso p) (OP)'!AN70</f>
        <v>42746</v>
      </c>
      <c r="Y121" s="12" t="s">
        <v>444</v>
      </c>
      <c r="Z121" s="12" t="s">
        <v>445</v>
      </c>
      <c r="AA121" s="12" t="s">
        <v>367</v>
      </c>
      <c r="AB121" s="16" t="s">
        <v>1590</v>
      </c>
      <c r="AC121" s="16"/>
      <c r="AD121" s="14"/>
    </row>
    <row r="122" spans="1:30" ht="80.099999999999994" customHeight="1">
      <c r="A122" s="5">
        <v>109</v>
      </c>
      <c r="B122" s="12">
        <v>2016</v>
      </c>
      <c r="C122" s="14" t="s">
        <v>31</v>
      </c>
      <c r="D122" s="14" t="str">
        <f>'[1]V, inciso p) (OP)'!D71</f>
        <v>DOPI-EST-CR-PAV-LP-109-2016</v>
      </c>
      <c r="E122" s="13">
        <f>'[1]V, inciso p) (OP)'!AD71</f>
        <v>42656</v>
      </c>
      <c r="F122" s="14" t="str">
        <f>'[1]V, inciso p) (OP)'!I71</f>
        <v>Reencarpetamiento de la calle Pípila-Carpinteros de calle Las Flores a Emiliano Zapata, primera etapa, en la colonia La Martinica, incluye: guarniciones, banquetas, renivelación de pozos y cajas, señalamiento vertical y horizontal (modernización con concreto hidráulico), Municipio de Zapopan, Jalisco.</v>
      </c>
      <c r="G122" s="14" t="s">
        <v>437</v>
      </c>
      <c r="H122" s="15">
        <f>'[1]V, inciso p) (OP)'!AG71</f>
        <v>9062555.0800000001</v>
      </c>
      <c r="I122" s="14" t="str">
        <f>'[1]V, inciso p) (OP)'!AS71</f>
        <v>Colonia La Martinica</v>
      </c>
      <c r="J122" s="12" t="str">
        <f>'[1]V, inciso p) (OP)'!T71</f>
        <v>Sergio Cesar</v>
      </c>
      <c r="K122" s="12" t="str">
        <f>'[1]V, inciso p) (OP)'!U71</f>
        <v>Diaz</v>
      </c>
      <c r="L122" s="12" t="str">
        <f>'[1]V, inciso p) (OP)'!V71</f>
        <v>Quiroz</v>
      </c>
      <c r="M122" s="14" t="str">
        <f>'[1]V, inciso p) (OP)'!W71</f>
        <v>Grupo Unicreto de México S.A. de C.V.</v>
      </c>
      <c r="N122" s="12" t="str">
        <f>'[1]V, inciso p) (OP)'!X71</f>
        <v>GUM111201IA5</v>
      </c>
      <c r="O122" s="15">
        <f t="shared" si="3"/>
        <v>9062555.0800000001</v>
      </c>
      <c r="P122" s="15">
        <v>9560624.5899999999</v>
      </c>
      <c r="Q122" s="12" t="s">
        <v>448</v>
      </c>
      <c r="R122" s="15">
        <f>O122/7601</f>
        <v>1192.2845783449545</v>
      </c>
      <c r="S122" s="12" t="s">
        <v>42</v>
      </c>
      <c r="T122" s="17">
        <v>7133</v>
      </c>
      <c r="U122" s="14" t="s">
        <v>43</v>
      </c>
      <c r="V122" s="12" t="s">
        <v>44</v>
      </c>
      <c r="W122" s="13">
        <f>'[1]V, inciso p) (OP)'!AM71</f>
        <v>42657</v>
      </c>
      <c r="X122" s="13">
        <f>'[1]V, inciso p) (OP)'!AN71</f>
        <v>42746</v>
      </c>
      <c r="Y122" s="12" t="s">
        <v>449</v>
      </c>
      <c r="Z122" s="12" t="s">
        <v>450</v>
      </c>
      <c r="AA122" s="12" t="s">
        <v>451</v>
      </c>
      <c r="AB122" s="18" t="s">
        <v>1689</v>
      </c>
      <c r="AC122" s="16"/>
      <c r="AD122" s="14"/>
    </row>
    <row r="123" spans="1:30" ht="80.099999999999994" customHeight="1">
      <c r="A123" s="5">
        <v>110</v>
      </c>
      <c r="B123" s="12">
        <v>2016</v>
      </c>
      <c r="C123" s="14" t="s">
        <v>31</v>
      </c>
      <c r="D123" s="14" t="str">
        <f>'[1]V, inciso p) (OP)'!D72</f>
        <v>DOPI-EST-CR-PAV-LP-110-2016</v>
      </c>
      <c r="E123" s="13">
        <f>'[1]V, inciso p) (OP)'!AD72</f>
        <v>42656</v>
      </c>
      <c r="F123" s="14" t="str">
        <f>'[1]V, inciso p) (OP)'!I72</f>
        <v>Reencarpetamiento de la calle Plan de Guadalupe de González Gallo a calle Tratado de Tlatelolco en la colonia Parque del Auditorio, incluye: guarniciones, banquetas, renivelación de pozos y cajas, señalamiento  horizontal. (Modernización con concreto hidráulico.), Municipio de Zapopan, Jalisco.</v>
      </c>
      <c r="G123" s="14" t="s">
        <v>437</v>
      </c>
      <c r="H123" s="15">
        <f>'[1]V, inciso p) (OP)'!AG72</f>
        <v>7061595.75</v>
      </c>
      <c r="I123" s="14" t="str">
        <f>'[1]V, inciso p) (OP)'!AS72</f>
        <v>Colonia Parque del Auditorio</v>
      </c>
      <c r="J123" s="12" t="str">
        <f>'[1]V, inciso p) (OP)'!T72</f>
        <v>Sergio Cesar</v>
      </c>
      <c r="K123" s="12" t="str">
        <f>'[1]V, inciso p) (OP)'!U72</f>
        <v>Díaz</v>
      </c>
      <c r="L123" s="12" t="str">
        <f>'[1]V, inciso p) (OP)'!V72</f>
        <v>Quiroz</v>
      </c>
      <c r="M123" s="14" t="str">
        <f>'[1]V, inciso p) (OP)'!W72</f>
        <v>Transcreto S.A. de C.V.</v>
      </c>
      <c r="N123" s="12" t="str">
        <f>'[1]V, inciso p) (OP)'!X72</f>
        <v>TRA750528286</v>
      </c>
      <c r="O123" s="15">
        <f t="shared" si="3"/>
        <v>7061595.75</v>
      </c>
      <c r="P123" s="15">
        <v>7061595.7400000002</v>
      </c>
      <c r="Q123" s="12" t="s">
        <v>359</v>
      </c>
      <c r="R123" s="15">
        <f>O123/4400</f>
        <v>1604.9081249999999</v>
      </c>
      <c r="S123" s="12" t="s">
        <v>42</v>
      </c>
      <c r="T123" s="17">
        <v>7692</v>
      </c>
      <c r="U123" s="14" t="s">
        <v>43</v>
      </c>
      <c r="V123" s="12" t="s">
        <v>44</v>
      </c>
      <c r="W123" s="13">
        <f>'[1]V, inciso p) (OP)'!AM72</f>
        <v>42657</v>
      </c>
      <c r="X123" s="13">
        <f>'[1]V, inciso p) (OP)'!AN72</f>
        <v>42746</v>
      </c>
      <c r="Y123" s="12" t="s">
        <v>449</v>
      </c>
      <c r="Z123" s="12" t="s">
        <v>450</v>
      </c>
      <c r="AA123" s="12" t="s">
        <v>451</v>
      </c>
      <c r="AB123" s="14" t="s">
        <v>1633</v>
      </c>
      <c r="AC123" s="16"/>
      <c r="AD123" s="14"/>
    </row>
    <row r="124" spans="1:30" ht="80.099999999999994" customHeight="1">
      <c r="A124" s="5">
        <v>111</v>
      </c>
      <c r="B124" s="12">
        <v>2016</v>
      </c>
      <c r="C124" s="14" t="s">
        <v>31</v>
      </c>
      <c r="D124" s="14" t="str">
        <f>'[1]V, inciso p) (OP)'!D73</f>
        <v>DOPI-EST-CR-PAV-LP-111-2016</v>
      </c>
      <c r="E124" s="13">
        <f>'[1]V, inciso p) (OP)'!AD73</f>
        <v>42656</v>
      </c>
      <c r="F124" s="14" t="str">
        <f>'[1]V, inciso p) (OP)'!I73</f>
        <v>Sustitución de losas en la colonia Parque del Auditorio, Municipio de Zapopan, Jalisco.</v>
      </c>
      <c r="G124" s="14" t="s">
        <v>437</v>
      </c>
      <c r="H124" s="15">
        <f>'[1]V, inciso p) (OP)'!AG73</f>
        <v>1331822.1599999999</v>
      </c>
      <c r="I124" s="14" t="str">
        <f>'[1]V, inciso p) (OP)'!AS73</f>
        <v>Colonia Parque del Auditorio</v>
      </c>
      <c r="J124" s="12" t="str">
        <f>'[1]V, inciso p) (OP)'!T73</f>
        <v>Mario</v>
      </c>
      <c r="K124" s="12" t="str">
        <f>'[1]V, inciso p) (OP)'!U73</f>
        <v>Beltrán</v>
      </c>
      <c r="L124" s="12" t="str">
        <f>'[1]V, inciso p) (OP)'!V73</f>
        <v>Rodríguez</v>
      </c>
      <c r="M124" s="14" t="str">
        <f>'[1]V, inciso p) (OP)'!W73</f>
        <v xml:space="preserve">Constructora y Desarrolladora Barba y Asociados, S. A. de C. V. </v>
      </c>
      <c r="N124" s="12" t="str">
        <f>'[1]V, inciso p) (OP)'!X73</f>
        <v>CDB0506068Z4</v>
      </c>
      <c r="O124" s="15">
        <f t="shared" si="3"/>
        <v>1331822.1599999999</v>
      </c>
      <c r="P124" s="15">
        <v>1310510.1199999999</v>
      </c>
      <c r="Q124" s="12" t="s">
        <v>452</v>
      </c>
      <c r="R124" s="15">
        <f>O124/177</f>
        <v>7524.4189830508467</v>
      </c>
      <c r="S124" s="12" t="s">
        <v>42</v>
      </c>
      <c r="T124" s="17">
        <v>4462</v>
      </c>
      <c r="U124" s="14" t="s">
        <v>43</v>
      </c>
      <c r="V124" s="12" t="s">
        <v>44</v>
      </c>
      <c r="W124" s="13">
        <f>'[1]V, inciso p) (OP)'!AM73</f>
        <v>42657</v>
      </c>
      <c r="X124" s="13">
        <f>'[1]V, inciso p) (OP)'!AN73</f>
        <v>42746</v>
      </c>
      <c r="Y124" s="12" t="s">
        <v>449</v>
      </c>
      <c r="Z124" s="12" t="s">
        <v>450</v>
      </c>
      <c r="AA124" s="12" t="s">
        <v>451</v>
      </c>
      <c r="AB124" s="14" t="s">
        <v>1634</v>
      </c>
      <c r="AC124" s="18"/>
      <c r="AD124" s="14"/>
    </row>
    <row r="125" spans="1:30" ht="80.099999999999994" customHeight="1">
      <c r="A125" s="5">
        <v>112</v>
      </c>
      <c r="B125" s="12">
        <v>2016</v>
      </c>
      <c r="C125" s="14" t="s">
        <v>31</v>
      </c>
      <c r="D125" s="14" t="str">
        <f>'[1]V, inciso p) (OP)'!D74</f>
        <v>DOPI-EST-CR-PAV-LP-112-2016</v>
      </c>
      <c r="E125" s="13">
        <f>'[1]V, inciso p) (OP)'!AD74</f>
        <v>42656</v>
      </c>
      <c r="F125" s="14" t="str">
        <f>'[1]V, inciso p) (OP)'!I74</f>
        <v>Construcción de la primera etapa de la calle 20 de Enero de calle Juan Santibañez a Juan Diego con concreto hidráulico en San Juan de Ocotán, incluye: guarniciones, banquetas y alumbrado público, Municipio de Zapopan, Jalisco.</v>
      </c>
      <c r="G125" s="14" t="s">
        <v>437</v>
      </c>
      <c r="H125" s="15">
        <f>'[1]V, inciso p) (OP)'!AG74</f>
        <v>3129979.51</v>
      </c>
      <c r="I125" s="14" t="str">
        <f>'[1]V, inciso p) (OP)'!AS74</f>
        <v>San Juan de Ocotán</v>
      </c>
      <c r="J125" s="12" t="str">
        <f>'[1]V, inciso p) (OP)'!T74</f>
        <v>Omar</v>
      </c>
      <c r="K125" s="12" t="str">
        <f>'[1]V, inciso p) (OP)'!U74</f>
        <v>Mora</v>
      </c>
      <c r="L125" s="12" t="str">
        <f>'[1]V, inciso p) (OP)'!V74</f>
        <v>Montes de Oca</v>
      </c>
      <c r="M125" s="14" t="str">
        <f>'[1]V, inciso p) (OP)'!W74</f>
        <v>Dommont Construcciones, S.A. de C.V.</v>
      </c>
      <c r="N125" s="12" t="str">
        <f>'[1]V, inciso p) (OP)'!X74</f>
        <v>DCO130215C16</v>
      </c>
      <c r="O125" s="15">
        <f t="shared" si="3"/>
        <v>3129979.51</v>
      </c>
      <c r="P125" s="15">
        <v>2441606.13</v>
      </c>
      <c r="Q125" s="12" t="s">
        <v>453</v>
      </c>
      <c r="R125" s="15">
        <f>O125/2130</f>
        <v>1469.4739483568073</v>
      </c>
      <c r="S125" s="12" t="s">
        <v>42</v>
      </c>
      <c r="T125" s="17">
        <v>5581</v>
      </c>
      <c r="U125" s="14" t="s">
        <v>43</v>
      </c>
      <c r="V125" s="12" t="s">
        <v>44</v>
      </c>
      <c r="W125" s="13">
        <f>'[1]V, inciso p) (OP)'!AM74</f>
        <v>42657</v>
      </c>
      <c r="X125" s="13">
        <f>'[1]V, inciso p) (OP)'!AN74</f>
        <v>42776</v>
      </c>
      <c r="Y125" s="12" t="s">
        <v>454</v>
      </c>
      <c r="Z125" s="12" t="s">
        <v>455</v>
      </c>
      <c r="AA125" s="12" t="s">
        <v>456</v>
      </c>
      <c r="AB125" s="18" t="s">
        <v>1690</v>
      </c>
      <c r="AC125" s="14" t="s">
        <v>48</v>
      </c>
      <c r="AD125" s="14"/>
    </row>
    <row r="126" spans="1:30" ht="80.099999999999994" customHeight="1">
      <c r="A126" s="5">
        <v>113</v>
      </c>
      <c r="B126" s="12">
        <v>2016</v>
      </c>
      <c r="C126" s="14" t="s">
        <v>31</v>
      </c>
      <c r="D126" s="14" t="str">
        <f>'[1]V, inciso p) (OP)'!D75</f>
        <v>DOPI-EST-CR-PAV-LP-113-2016</v>
      </c>
      <c r="E126" s="13">
        <f>'[1]V, inciso p) (OP)'!AD75</f>
        <v>42656</v>
      </c>
      <c r="F126" s="14" t="str">
        <f>'[1]V, inciso p) (OP)'!I75</f>
        <v>Construcción de la primera etapa de la calle Juan Diego de calle Hidalgo a calle Parral con concreto hidráulico en San Juan de Ocotán, incluye: guarniciones, banquetas y alumbrado público, Municipio de Zapopan, Jalisco.</v>
      </c>
      <c r="G126" s="14" t="s">
        <v>437</v>
      </c>
      <c r="H126" s="15">
        <f>'[1]V, inciso p) (OP)'!AG75</f>
        <v>1410912.86</v>
      </c>
      <c r="I126" s="14" t="str">
        <f>'[1]V, inciso p) (OP)'!AS75</f>
        <v>San Juan de Ocotán</v>
      </c>
      <c r="J126" s="12" t="str">
        <f>'[1]V, inciso p) (OP)'!T75</f>
        <v>Julio Eduardo</v>
      </c>
      <c r="K126" s="12" t="str">
        <f>'[1]V, inciso p) (OP)'!U75</f>
        <v>López</v>
      </c>
      <c r="L126" s="12" t="str">
        <f>'[1]V, inciso p) (OP)'!V75</f>
        <v>Pérez</v>
      </c>
      <c r="M126" s="14" t="str">
        <f>'[1]V, inciso p) (OP)'!W75</f>
        <v>Proyectos e Insumos Industriales Jelp, S.A. de C.V.</v>
      </c>
      <c r="N126" s="12" t="str">
        <f>'[1]V, inciso p) (OP)'!X75</f>
        <v>PEI020208RW0</v>
      </c>
      <c r="O126" s="15">
        <f t="shared" si="3"/>
        <v>1410912.86</v>
      </c>
      <c r="P126" s="15">
        <v>1128419.98</v>
      </c>
      <c r="Q126" s="12" t="s">
        <v>457</v>
      </c>
      <c r="R126" s="15">
        <f>O126/846</f>
        <v>1667.7456973995272</v>
      </c>
      <c r="S126" s="12" t="s">
        <v>42</v>
      </c>
      <c r="T126" s="17">
        <v>5581</v>
      </c>
      <c r="U126" s="14" t="s">
        <v>43</v>
      </c>
      <c r="V126" s="12" t="s">
        <v>44</v>
      </c>
      <c r="W126" s="13">
        <f>'[1]V, inciso p) (OP)'!AM75</f>
        <v>42657</v>
      </c>
      <c r="X126" s="13">
        <f>'[1]V, inciso p) (OP)'!AN75</f>
        <v>42776</v>
      </c>
      <c r="Y126" s="12" t="s">
        <v>454</v>
      </c>
      <c r="Z126" s="12" t="s">
        <v>455</v>
      </c>
      <c r="AA126" s="12" t="s">
        <v>456</v>
      </c>
      <c r="AB126" s="18" t="s">
        <v>1691</v>
      </c>
      <c r="AC126" s="14" t="s">
        <v>48</v>
      </c>
      <c r="AD126" s="14"/>
    </row>
    <row r="127" spans="1:30" ht="80.099999999999994" customHeight="1">
      <c r="A127" s="5">
        <v>114</v>
      </c>
      <c r="B127" s="12">
        <v>2016</v>
      </c>
      <c r="C127" s="14" t="s">
        <v>31</v>
      </c>
      <c r="D127" s="14" t="str">
        <f>'[1]V, inciso p) (OP)'!D76</f>
        <v>DOPI-EST-CR-PAV-LP-114-2016</v>
      </c>
      <c r="E127" s="13">
        <f>'[1]V, inciso p) (OP)'!AD76</f>
        <v>42656</v>
      </c>
      <c r="F127" s="14" t="str">
        <f>'[1]V, inciso p) (OP)'!I76</f>
        <v>Construcción de la primera etapa de la calle Hidalgo de calle Juan Santibañez a calle Parral 3, con concreto hidráulico en San Juan de Ocotán, incluye: guarniciones, banquetas y alumbrado público, Municipio de Zapopan, Jalisco.</v>
      </c>
      <c r="G127" s="14" t="s">
        <v>437</v>
      </c>
      <c r="H127" s="15">
        <f>'[1]V, inciso p) (OP)'!AG76</f>
        <v>5333222.53</v>
      </c>
      <c r="I127" s="14" t="str">
        <f>'[1]V, inciso p) (OP)'!AS76</f>
        <v>San Juan de Ocotán</v>
      </c>
      <c r="J127" s="12" t="str">
        <f>'[1]V, inciso p) (OP)'!T76</f>
        <v>Jorge Hugo</v>
      </c>
      <c r="K127" s="12" t="str">
        <f>'[1]V, inciso p) (OP)'!U76</f>
        <v>López</v>
      </c>
      <c r="L127" s="12" t="str">
        <f>'[1]V, inciso p) (OP)'!V76</f>
        <v>Pérez</v>
      </c>
      <c r="M127" s="14" t="str">
        <f>'[1]V, inciso p) (OP)'!W76</f>
        <v>Control de Calidad de Materiales San Agustin de Hipona, S.A. de C.V.</v>
      </c>
      <c r="N127" s="12" t="str">
        <f>'[1]V, inciso p) (OP)'!X76</f>
        <v>CCM130405AY1</v>
      </c>
      <c r="O127" s="15">
        <f t="shared" si="3"/>
        <v>5333222.53</v>
      </c>
      <c r="P127" s="15">
        <v>5333222.53</v>
      </c>
      <c r="Q127" s="12" t="s">
        <v>458</v>
      </c>
      <c r="R127" s="15">
        <f>O127/3876</f>
        <v>1375.9604050567596</v>
      </c>
      <c r="S127" s="12" t="s">
        <v>42</v>
      </c>
      <c r="T127" s="17">
        <v>5581</v>
      </c>
      <c r="U127" s="14" t="s">
        <v>43</v>
      </c>
      <c r="V127" s="12" t="s">
        <v>44</v>
      </c>
      <c r="W127" s="13">
        <f>'[1]V, inciso p) (OP)'!AM76</f>
        <v>42657</v>
      </c>
      <c r="X127" s="13">
        <f>'[1]V, inciso p) (OP)'!AN76</f>
        <v>42776</v>
      </c>
      <c r="Y127" s="12" t="s">
        <v>454</v>
      </c>
      <c r="Z127" s="12" t="s">
        <v>455</v>
      </c>
      <c r="AA127" s="12" t="s">
        <v>456</v>
      </c>
      <c r="AB127" s="18" t="s">
        <v>1692</v>
      </c>
      <c r="AC127" s="14" t="s">
        <v>48</v>
      </c>
      <c r="AD127" s="14"/>
    </row>
    <row r="128" spans="1:30" ht="80.099999999999994" customHeight="1">
      <c r="A128" s="5">
        <v>115</v>
      </c>
      <c r="B128" s="12">
        <v>2016</v>
      </c>
      <c r="C128" s="14" t="s">
        <v>31</v>
      </c>
      <c r="D128" s="14" t="str">
        <f>'[1]V, inciso p) (OP)'!D77</f>
        <v>DOPI-EST-CR-PAV-LP-115-2016</v>
      </c>
      <c r="E128" s="13">
        <f>'[1]V, inciso p) (OP)'!AD77</f>
        <v>42656</v>
      </c>
      <c r="F128" s="14" t="str">
        <f>'[1]V, inciso p) (OP)'!I77</f>
        <v>Construcción de la primera etapa de la calle Iturbide de la calle Abasolo hacia Jardines de las Bugambilias con concreto hidráulico en Santa Ana Tepetitlan, incluye: guarniciones, banquetas, red de agua potable, alcantarillado y alumbrado público, Municipio de Zapopan, Jalisco.</v>
      </c>
      <c r="G128" s="14" t="s">
        <v>437</v>
      </c>
      <c r="H128" s="15">
        <f>'[1]V, inciso p) (OP)'!AG77</f>
        <v>1012796.53</v>
      </c>
      <c r="I128" s="14" t="str">
        <f>'[1]V, inciso p) (OP)'!AS77</f>
        <v>Santa Ana Tepetitlán</v>
      </c>
      <c r="J128" s="12" t="str">
        <f>'[1]V, inciso p) (OP)'!T77</f>
        <v>Luis Armando</v>
      </c>
      <c r="K128" s="12" t="str">
        <f>'[1]V, inciso p) (OP)'!U77</f>
        <v>Linares</v>
      </c>
      <c r="L128" s="12" t="str">
        <f>'[1]V, inciso p) (OP)'!V77</f>
        <v>Cacho</v>
      </c>
      <c r="M128" s="14" t="str">
        <f>'[1]V, inciso p) (OP)'!W77</f>
        <v>Urbanizadora y Constructora Roal, S.A. de C.V.</v>
      </c>
      <c r="N128" s="12" t="str">
        <f>'[1]V, inciso p) (OP)'!X77</f>
        <v>URC160310857</v>
      </c>
      <c r="O128" s="15">
        <f t="shared" ref="O128:O147" si="4">H128</f>
        <v>1012796.53</v>
      </c>
      <c r="P128" s="15">
        <v>817011.91</v>
      </c>
      <c r="Q128" s="12" t="s">
        <v>459</v>
      </c>
      <c r="R128" s="15">
        <f>O128/420</f>
        <v>2411.4203095238095</v>
      </c>
      <c r="S128" s="12" t="s">
        <v>42</v>
      </c>
      <c r="T128" s="17">
        <v>5780</v>
      </c>
      <c r="U128" s="14" t="s">
        <v>43</v>
      </c>
      <c r="V128" s="12" t="s">
        <v>44</v>
      </c>
      <c r="W128" s="13">
        <f>'[1]V, inciso p) (OP)'!AM77</f>
        <v>42657</v>
      </c>
      <c r="X128" s="13">
        <f>'[1]V, inciso p) (OP)'!AN77</f>
        <v>42776</v>
      </c>
      <c r="Y128" s="12" t="s">
        <v>328</v>
      </c>
      <c r="Z128" s="12" t="s">
        <v>236</v>
      </c>
      <c r="AA128" s="12" t="s">
        <v>147</v>
      </c>
      <c r="AB128" s="18" t="s">
        <v>1885</v>
      </c>
      <c r="AC128" s="14" t="s">
        <v>48</v>
      </c>
      <c r="AD128" s="14"/>
    </row>
    <row r="129" spans="1:30" ht="80.099999999999994" customHeight="1">
      <c r="A129" s="5">
        <v>116</v>
      </c>
      <c r="B129" s="12">
        <v>2016</v>
      </c>
      <c r="C129" s="14" t="s">
        <v>31</v>
      </c>
      <c r="D129" s="14" t="str">
        <f>'[1]V, inciso p) (OP)'!D78</f>
        <v>DOPI-EST-CR-PAV-LP-116-2016</v>
      </c>
      <c r="E129" s="13">
        <f>'[1]V, inciso p) (OP)'!AD78</f>
        <v>42656</v>
      </c>
      <c r="F129" s="14" t="str">
        <f>'[1]V, inciso p) (OP)'!I78</f>
        <v>Construcción de la primera etapa de la calle Abasolo de la calle Matamoros a calle 5 de Mayo con concreto hidráulico en Santa Ana Tepetitlan, incluye: guarniciones, banquetas, red de agua potable, alcantarillado y alumbrado público, Municipio de Zapopan, Jalisco.</v>
      </c>
      <c r="G129" s="14" t="s">
        <v>437</v>
      </c>
      <c r="H129" s="15">
        <f>'[1]V, inciso p) (OP)'!AG78</f>
        <v>6796856.54</v>
      </c>
      <c r="I129" s="14" t="str">
        <f>'[1]V, inciso p) (OP)'!AS78</f>
        <v>Santa Ana Tepetitlán</v>
      </c>
      <c r="J129" s="12" t="str">
        <f>'[1]V, inciso p) (OP)'!T78</f>
        <v>Julio Eduardo</v>
      </c>
      <c r="K129" s="12" t="str">
        <f>'[1]V, inciso p) (OP)'!U78</f>
        <v>López</v>
      </c>
      <c r="L129" s="12" t="str">
        <f>'[1]V, inciso p) (OP)'!V78</f>
        <v>Pérez</v>
      </c>
      <c r="M129" s="14" t="str">
        <f>'[1]V, inciso p) (OP)'!W78</f>
        <v>Proyectos e Insumos Industriales Jelp, S.A. de C.V.</v>
      </c>
      <c r="N129" s="12" t="str">
        <f>'[1]V, inciso p) (OP)'!X78</f>
        <v>PEI020208RW0</v>
      </c>
      <c r="O129" s="15">
        <f t="shared" si="4"/>
        <v>6796856.54</v>
      </c>
      <c r="P129" s="15">
        <v>6796856.54</v>
      </c>
      <c r="Q129" s="12" t="s">
        <v>460</v>
      </c>
      <c r="R129" s="15">
        <f>O129/3503</f>
        <v>1940.29590065658</v>
      </c>
      <c r="S129" s="12" t="s">
        <v>42</v>
      </c>
      <c r="T129" s="17">
        <v>5780</v>
      </c>
      <c r="U129" s="14" t="s">
        <v>43</v>
      </c>
      <c r="V129" s="12" t="s">
        <v>44</v>
      </c>
      <c r="W129" s="13">
        <f>'[1]V, inciso p) (OP)'!AM78</f>
        <v>42657</v>
      </c>
      <c r="X129" s="13">
        <f>'[1]V, inciso p) (OP)'!AN78</f>
        <v>42776</v>
      </c>
      <c r="Y129" s="12" t="s">
        <v>328</v>
      </c>
      <c r="Z129" s="12" t="s">
        <v>236</v>
      </c>
      <c r="AA129" s="12" t="s">
        <v>147</v>
      </c>
      <c r="AB129" s="8" t="s">
        <v>1886</v>
      </c>
      <c r="AC129" s="14" t="s">
        <v>48</v>
      </c>
      <c r="AD129" s="14"/>
    </row>
    <row r="130" spans="1:30" ht="80.099999999999994" customHeight="1">
      <c r="A130" s="5">
        <v>117</v>
      </c>
      <c r="B130" s="12">
        <v>2016</v>
      </c>
      <c r="C130" s="14" t="s">
        <v>31</v>
      </c>
      <c r="D130" s="14" t="str">
        <f>'[1]V, inciso p) (OP)'!D79</f>
        <v>DOPI-EST-CR-PAV-LP-117-2016</v>
      </c>
      <c r="E130" s="13">
        <f>'[1]V, inciso p) (OP)'!AD79</f>
        <v>42656</v>
      </c>
      <c r="F130" s="14" t="str">
        <f>'[1]V, inciso p) (OP)'!I79</f>
        <v>Construcción de la primera etapa de la calle Morelos de la calle Matamoros a ingreso a atrio de iglesia con concreto hidráulico en Santa Ana Tepetitlan, incluye: guarniciones, banquetas, red de agua potable, alcantarillado y alumbrado público, Municipio de Zapopan, Jalisco.</v>
      </c>
      <c r="G130" s="14" t="s">
        <v>437</v>
      </c>
      <c r="H130" s="15">
        <f>'[1]V, inciso p) (OP)'!AG79</f>
        <v>1329275.32</v>
      </c>
      <c r="I130" s="14" t="str">
        <f>'[1]V, inciso p) (OP)'!AS79</f>
        <v>Santa Ana Tepetitlán</v>
      </c>
      <c r="J130" s="12" t="str">
        <f>'[1]V, inciso p) (OP)'!T79</f>
        <v>Bernardo</v>
      </c>
      <c r="K130" s="12" t="str">
        <f>'[1]V, inciso p) (OP)'!U79</f>
        <v>Saenz</v>
      </c>
      <c r="L130" s="12" t="str">
        <f>'[1]V, inciso p) (OP)'!V79</f>
        <v>Barba</v>
      </c>
      <c r="M130" s="14" t="str">
        <f>'[1]V, inciso p) (OP)'!W79</f>
        <v>Grupo Edificador Mayab, S.A. de C.V.</v>
      </c>
      <c r="N130" s="12" t="str">
        <f>'[1]V, inciso p) (OP)'!X79</f>
        <v>GEM070112PX8</v>
      </c>
      <c r="O130" s="15">
        <f t="shared" si="4"/>
        <v>1329275.32</v>
      </c>
      <c r="P130" s="15">
        <v>1329275.32</v>
      </c>
      <c r="Q130" s="12" t="s">
        <v>461</v>
      </c>
      <c r="R130" s="15">
        <f>O130/720</f>
        <v>1846.2157222222222</v>
      </c>
      <c r="S130" s="12" t="s">
        <v>42</v>
      </c>
      <c r="T130" s="17">
        <v>3736</v>
      </c>
      <c r="U130" s="14" t="s">
        <v>43</v>
      </c>
      <c r="V130" s="12" t="s">
        <v>44</v>
      </c>
      <c r="W130" s="13">
        <f>'[1]V, inciso p) (OP)'!AM79</f>
        <v>42657</v>
      </c>
      <c r="X130" s="13">
        <f>'[1]V, inciso p) (OP)'!AN79</f>
        <v>42776</v>
      </c>
      <c r="Y130" s="12" t="s">
        <v>328</v>
      </c>
      <c r="Z130" s="12" t="s">
        <v>236</v>
      </c>
      <c r="AA130" s="12" t="s">
        <v>147</v>
      </c>
      <c r="AB130" s="18" t="s">
        <v>1887</v>
      </c>
      <c r="AC130" s="14" t="s">
        <v>48</v>
      </c>
      <c r="AD130" s="14"/>
    </row>
    <row r="131" spans="1:30" ht="80.099999999999994" customHeight="1">
      <c r="A131" s="5">
        <v>118</v>
      </c>
      <c r="B131" s="12">
        <v>2016</v>
      </c>
      <c r="C131" s="14" t="s">
        <v>31</v>
      </c>
      <c r="D131" s="14" t="str">
        <f>'[1]V, inciso p) (OP)'!D80</f>
        <v>DOPI-EST-CR-PAV-LP-118-2016</v>
      </c>
      <c r="E131" s="13">
        <f>'[1]V, inciso p) (OP)'!AD80</f>
        <v>42656</v>
      </c>
      <c r="F131" s="14" t="str">
        <f>'[1]V, inciso p) (OP)'!I80</f>
        <v>Construcción de la primera etapa de la calle Privada Morelos de calle Morelos a cerrada con concreto hidráulico en Santa Ana Tepetitlan, incluye: guarniciones, banquetas, red de agua potable, alcantarillado y alumbrado público, Municipio de Zapopan, Jalisco.</v>
      </c>
      <c r="G131" s="14" t="s">
        <v>437</v>
      </c>
      <c r="H131" s="15">
        <f>'[1]V, inciso p) (OP)'!AG80</f>
        <v>670861.71</v>
      </c>
      <c r="I131" s="14" t="str">
        <f>'[1]V, inciso p) (OP)'!AS80</f>
        <v>Santa Ana Tepetitlán</v>
      </c>
      <c r="J131" s="12" t="str">
        <f>'[1]V, inciso p) (OP)'!T80</f>
        <v>Bernardo</v>
      </c>
      <c r="K131" s="12" t="str">
        <f>'[1]V, inciso p) (OP)'!U80</f>
        <v>Saenz</v>
      </c>
      <c r="L131" s="12" t="str">
        <f>'[1]V, inciso p) (OP)'!V80</f>
        <v>Barba</v>
      </c>
      <c r="M131" s="14" t="str">
        <f>'[1]V, inciso p) (OP)'!W80</f>
        <v>Grupo Edificador Mayab, S.A. de C.V.</v>
      </c>
      <c r="N131" s="12" t="str">
        <f>'[1]V, inciso p) (OP)'!X80</f>
        <v>GEM070112PX8</v>
      </c>
      <c r="O131" s="15">
        <f t="shared" si="4"/>
        <v>670861.71</v>
      </c>
      <c r="P131" s="15">
        <v>670861.71</v>
      </c>
      <c r="Q131" s="12" t="s">
        <v>462</v>
      </c>
      <c r="R131" s="15">
        <f>O131/240</f>
        <v>2795.2571249999996</v>
      </c>
      <c r="S131" s="12" t="s">
        <v>42</v>
      </c>
      <c r="T131" s="17">
        <v>3736</v>
      </c>
      <c r="U131" s="14" t="s">
        <v>43</v>
      </c>
      <c r="V131" s="12" t="s">
        <v>44</v>
      </c>
      <c r="W131" s="13">
        <f>'[1]V, inciso p) (OP)'!AM80</f>
        <v>42657</v>
      </c>
      <c r="X131" s="13">
        <f>'[1]V, inciso p) (OP)'!AN80</f>
        <v>42776</v>
      </c>
      <c r="Y131" s="12" t="s">
        <v>328</v>
      </c>
      <c r="Z131" s="12" t="s">
        <v>236</v>
      </c>
      <c r="AA131" s="12" t="s">
        <v>147</v>
      </c>
      <c r="AB131" s="18" t="s">
        <v>1693</v>
      </c>
      <c r="AC131" s="14" t="s">
        <v>48</v>
      </c>
      <c r="AD131" s="14"/>
    </row>
    <row r="132" spans="1:30" ht="80.099999999999994" customHeight="1">
      <c r="A132" s="5">
        <v>119</v>
      </c>
      <c r="B132" s="12">
        <v>2016</v>
      </c>
      <c r="C132" s="14" t="s">
        <v>31</v>
      </c>
      <c r="D132" s="14" t="str">
        <f>'[1]V, inciso p) (OP)'!D81</f>
        <v>DOPI-EST-FC-PAV-LP-119-2016</v>
      </c>
      <c r="E132" s="13">
        <f>'[1]V, inciso p) (OP)'!AD81</f>
        <v>42656</v>
      </c>
      <c r="F132" s="14" t="str">
        <f>'[1]V, inciso p) (OP)'!I81</f>
        <v>Primera etapa de reencarpetamiento de Circuito Madrigal, de Av. Patria a Circuito. Madrigal, Municipio de Zapopan, Jalisco.</v>
      </c>
      <c r="G132" s="14" t="s">
        <v>437</v>
      </c>
      <c r="H132" s="15">
        <f>'[1]V, inciso p) (OP)'!AG81</f>
        <v>8383533</v>
      </c>
      <c r="I132" s="14" t="str">
        <f>'[1]V, inciso p) (OP)'!AS81</f>
        <v>Colonia Santa Isabel</v>
      </c>
      <c r="J132" s="12" t="str">
        <f>'[1]V, inciso p) (OP)'!T81</f>
        <v>Ángel Salomón</v>
      </c>
      <c r="K132" s="12" t="str">
        <f>'[1]V, inciso p) (OP)'!U81</f>
        <v>Rincón</v>
      </c>
      <c r="L132" s="12" t="str">
        <f>'[1]V, inciso p) (OP)'!V81</f>
        <v>De la Rosa</v>
      </c>
      <c r="M132" s="14" t="str">
        <f>'[1]V, inciso p) (OP)'!W81</f>
        <v>Aro Asfaltos y Riegos de Occidente, S.A. de C.V.</v>
      </c>
      <c r="N132" s="12" t="str">
        <f>'[1]V, inciso p) (OP)'!X81</f>
        <v>AAR120507VA9</v>
      </c>
      <c r="O132" s="15">
        <f t="shared" si="4"/>
        <v>8383533</v>
      </c>
      <c r="P132" s="15">
        <v>7304640.0199999996</v>
      </c>
      <c r="Q132" s="12" t="s">
        <v>463</v>
      </c>
      <c r="R132" s="15">
        <f>O132/16290</f>
        <v>514.6429097605893</v>
      </c>
      <c r="S132" s="12" t="s">
        <v>42</v>
      </c>
      <c r="T132" s="17">
        <v>6077</v>
      </c>
      <c r="U132" s="14" t="s">
        <v>43</v>
      </c>
      <c r="V132" s="12" t="s">
        <v>44</v>
      </c>
      <c r="W132" s="13">
        <f>'[1]V, inciso p) (OP)'!AM81</f>
        <v>42657</v>
      </c>
      <c r="X132" s="13">
        <f>'[1]V, inciso p) (OP)'!AN81</f>
        <v>42776</v>
      </c>
      <c r="Y132" s="12" t="s">
        <v>380</v>
      </c>
      <c r="Z132" s="12" t="s">
        <v>257</v>
      </c>
      <c r="AA132" s="12" t="s">
        <v>258</v>
      </c>
      <c r="AB132" s="16" t="s">
        <v>1591</v>
      </c>
      <c r="AC132" s="16"/>
      <c r="AD132" s="14"/>
    </row>
    <row r="133" spans="1:30" ht="80.099999999999994" customHeight="1">
      <c r="A133" s="5">
        <v>120</v>
      </c>
      <c r="B133" s="12">
        <v>2016</v>
      </c>
      <c r="C133" s="14" t="s">
        <v>31</v>
      </c>
      <c r="D133" s="14" t="str">
        <f>'[1]V, inciso p) (OP)'!D82</f>
        <v>DOPI-EST-FC-PAV-LP-120-2016</v>
      </c>
      <c r="E133" s="13">
        <f>'[1]V, inciso p) (OP)'!AD82</f>
        <v>42656</v>
      </c>
      <c r="F133" s="14" t="str">
        <f>'[1]V, inciso p) (OP)'!I82</f>
        <v>Primera etapa de modernización de Prolongación Av. Guadalupe, de Prolongación Mariano Otero al Arroyo El Garabato, Municipio de Zapopan, Jalisco.</v>
      </c>
      <c r="G133" s="14" t="s">
        <v>437</v>
      </c>
      <c r="H133" s="15">
        <f>'[1]V, inciso p) (OP)'!AG82</f>
        <v>6899699.6900000004</v>
      </c>
      <c r="I133" s="14" t="str">
        <f>'[1]V, inciso p) (OP)'!AS82</f>
        <v>Colonia El Fortín</v>
      </c>
      <c r="J133" s="12" t="str">
        <f>'[1]V, inciso p) (OP)'!T82</f>
        <v>Sergio Cesar</v>
      </c>
      <c r="K133" s="12" t="str">
        <f>'[1]V, inciso p) (OP)'!U82</f>
        <v>Diaz</v>
      </c>
      <c r="L133" s="12" t="str">
        <f>'[1]V, inciso p) (OP)'!V82</f>
        <v>Quiroz</v>
      </c>
      <c r="M133" s="14" t="str">
        <f>'[1]V, inciso p) (OP)'!W82</f>
        <v>Grupo Unicreto de México S.A. de C.V.</v>
      </c>
      <c r="N133" s="12" t="str">
        <f>'[1]V, inciso p) (OP)'!X82</f>
        <v>GUM111201IA5</v>
      </c>
      <c r="O133" s="15">
        <f t="shared" si="4"/>
        <v>6899699.6900000004</v>
      </c>
      <c r="P133" s="15">
        <v>7840000</v>
      </c>
      <c r="Q133" s="12" t="s">
        <v>464</v>
      </c>
      <c r="R133" s="15">
        <f>O133/4814</f>
        <v>1433.2571022019113</v>
      </c>
      <c r="S133" s="12" t="s">
        <v>42</v>
      </c>
      <c r="T133" s="17">
        <v>5783</v>
      </c>
      <c r="U133" s="14" t="s">
        <v>43</v>
      </c>
      <c r="V133" s="12" t="s">
        <v>44</v>
      </c>
      <c r="W133" s="13">
        <f>'[1]V, inciso p) (OP)'!AM82</f>
        <v>42657</v>
      </c>
      <c r="X133" s="13">
        <f>'[1]V, inciso p) (OP)'!AN82</f>
        <v>42776</v>
      </c>
      <c r="Y133" s="12" t="s">
        <v>328</v>
      </c>
      <c r="Z133" s="12" t="s">
        <v>236</v>
      </c>
      <c r="AA133" s="12" t="s">
        <v>147</v>
      </c>
      <c r="AB133" s="18" t="s">
        <v>1694</v>
      </c>
      <c r="AC133" s="14" t="s">
        <v>48</v>
      </c>
      <c r="AD133" s="14"/>
    </row>
    <row r="134" spans="1:30" ht="80.099999999999994" customHeight="1">
      <c r="A134" s="5">
        <v>121</v>
      </c>
      <c r="B134" s="12">
        <v>2016</v>
      </c>
      <c r="C134" s="14" t="s">
        <v>31</v>
      </c>
      <c r="D134" s="14" t="str">
        <f>'[1]V, inciso p) (OP)'!D83</f>
        <v>DOPI-EST-FC-PAV-LP-121-2016</v>
      </c>
      <c r="E134" s="13">
        <f>'[1]V, inciso p) (OP)'!AD83</f>
        <v>42685</v>
      </c>
      <c r="F134" s="14" t="str">
        <f>'[1]V, inciso p) (OP)'!I83</f>
        <v>Primera etapa de reencarpetamiento y sustitución de losas de la Av. Nicolás Copérnico- Av. Ladrón de Guevara, de Av. Moctezuma a Av. Mariano Otero, Municipio de Zapopan, Jalisco.</v>
      </c>
      <c r="G134" s="14" t="s">
        <v>437</v>
      </c>
      <c r="H134" s="15">
        <f>'[1]V, inciso p) (OP)'!AG83</f>
        <v>4854770.4400000004</v>
      </c>
      <c r="I134" s="14" t="str">
        <f>'[1]V, inciso p) (OP)'!AS83</f>
        <v>Colonia Paseos del Sol</v>
      </c>
      <c r="J134" s="12" t="str">
        <f>'[1]V, inciso p) (OP)'!T83</f>
        <v>Mario</v>
      </c>
      <c r="K134" s="12" t="str">
        <f>'[1]V, inciso p) (OP)'!U83</f>
        <v>Beltrán</v>
      </c>
      <c r="L134" s="12" t="str">
        <f>'[1]V, inciso p) (OP)'!V83</f>
        <v>Rodríguez</v>
      </c>
      <c r="M134" s="14" t="str">
        <f>'[1]V, inciso p) (OP)'!W83</f>
        <v xml:space="preserve">Constructora y Desarrolladora Barba y Asociados, S. A. de C. V. </v>
      </c>
      <c r="N134" s="12" t="str">
        <f>'[1]V, inciso p) (OP)'!X83</f>
        <v>CDB0506068Z4</v>
      </c>
      <c r="O134" s="15">
        <f t="shared" si="4"/>
        <v>4854770.4400000004</v>
      </c>
      <c r="P134" s="15">
        <v>4854770.4399999995</v>
      </c>
      <c r="Q134" s="12" t="s">
        <v>465</v>
      </c>
      <c r="R134" s="15">
        <f>O134/3015</f>
        <v>1610.2057844112771</v>
      </c>
      <c r="S134" s="12" t="s">
        <v>42</v>
      </c>
      <c r="T134" s="17">
        <v>22852</v>
      </c>
      <c r="U134" s="14" t="s">
        <v>43</v>
      </c>
      <c r="V134" s="12" t="s">
        <v>44</v>
      </c>
      <c r="W134" s="13">
        <f>'[1]V, inciso p) (OP)'!AM83</f>
        <v>42688</v>
      </c>
      <c r="X134" s="13">
        <f>'[1]V, inciso p) (OP)'!AN83</f>
        <v>42807</v>
      </c>
      <c r="Y134" s="12" t="s">
        <v>439</v>
      </c>
      <c r="Z134" s="12" t="s">
        <v>186</v>
      </c>
      <c r="AA134" s="12" t="s">
        <v>92</v>
      </c>
      <c r="AB134" s="18" t="s">
        <v>1695</v>
      </c>
      <c r="AC134" s="14" t="s">
        <v>48</v>
      </c>
      <c r="AD134" s="14"/>
    </row>
    <row r="135" spans="1:30" ht="80.099999999999994" customHeight="1">
      <c r="A135" s="5">
        <v>122</v>
      </c>
      <c r="B135" s="12">
        <v>2016</v>
      </c>
      <c r="C135" s="14" t="s">
        <v>31</v>
      </c>
      <c r="D135" s="14" t="str">
        <f>'[1]V, inciso p) (OP)'!D84</f>
        <v>DOPI-EST-FC-PAV-LP-122-2016</v>
      </c>
      <c r="E135" s="13">
        <f>'[1]V, inciso p) (OP)'!AD84</f>
        <v>42685</v>
      </c>
      <c r="F135" s="14" t="str">
        <f>'[1]V, inciso p) (OP)'!I84</f>
        <v>Primera etapa de reencarpetamiento y sustitución de losas de Av. Valle de Atemajac, de Av. López Mateos a Sierra de Tapalpa, Municipio de Zapopan, Jalisco.</v>
      </c>
      <c r="G135" s="14" t="s">
        <v>437</v>
      </c>
      <c r="H135" s="15">
        <f>'[1]V, inciso p) (OP)'!AG84</f>
        <v>4741926.8099999996</v>
      </c>
      <c r="I135" s="14" t="str">
        <f>'[1]V, inciso p) (OP)'!AS84</f>
        <v>Colonia Las Aguilas</v>
      </c>
      <c r="J135" s="12" t="str">
        <f>'[1]V, inciso p) (OP)'!T84</f>
        <v>Mario</v>
      </c>
      <c r="K135" s="12" t="str">
        <f>'[1]V, inciso p) (OP)'!U84</f>
        <v>Beltrán</v>
      </c>
      <c r="L135" s="12" t="str">
        <f>'[1]V, inciso p) (OP)'!V84</f>
        <v>Rodríguez</v>
      </c>
      <c r="M135" s="14" t="str">
        <f>'[1]V, inciso p) (OP)'!W84</f>
        <v xml:space="preserve">Constructora y Desarrolladora Barba y Asociados, S. A. de C. V. </v>
      </c>
      <c r="N135" s="12" t="str">
        <f>'[1]V, inciso p) (OP)'!X84</f>
        <v>CDB0506068Z4</v>
      </c>
      <c r="O135" s="15">
        <f t="shared" si="4"/>
        <v>4741926.8099999996</v>
      </c>
      <c r="P135" s="15">
        <v>4741926.8</v>
      </c>
      <c r="Q135" s="12" t="s">
        <v>466</v>
      </c>
      <c r="R135" s="15">
        <f>O135/6069</f>
        <v>781.33577360355901</v>
      </c>
      <c r="S135" s="12" t="s">
        <v>42</v>
      </c>
      <c r="T135" s="17">
        <v>16486</v>
      </c>
      <c r="U135" s="14" t="s">
        <v>43</v>
      </c>
      <c r="V135" s="12" t="s">
        <v>44</v>
      </c>
      <c r="W135" s="13">
        <f>'[1]V, inciso p) (OP)'!AM84</f>
        <v>42688</v>
      </c>
      <c r="X135" s="13">
        <f>'[1]V, inciso p) (OP)'!AN84</f>
        <v>42807</v>
      </c>
      <c r="Y135" s="12" t="s">
        <v>439</v>
      </c>
      <c r="Z135" s="12" t="s">
        <v>186</v>
      </c>
      <c r="AA135" s="12" t="s">
        <v>92</v>
      </c>
      <c r="AB135" s="18" t="s">
        <v>1696</v>
      </c>
      <c r="AC135" s="14" t="s">
        <v>48</v>
      </c>
      <c r="AD135" s="14"/>
    </row>
    <row r="136" spans="1:30" ht="80.099999999999994" customHeight="1">
      <c r="A136" s="5">
        <v>123</v>
      </c>
      <c r="B136" s="12">
        <v>2016</v>
      </c>
      <c r="C136" s="14" t="s">
        <v>31</v>
      </c>
      <c r="D136" s="14" t="str">
        <f>'[1]V, inciso p) (OP)'!D85</f>
        <v>DOPI-EST-FC-PAV-LP-123-2016</v>
      </c>
      <c r="E136" s="13">
        <f>'[1]V, inciso p) (OP)'!AD85</f>
        <v>42685</v>
      </c>
      <c r="F136" s="14" t="str">
        <f>'[1]V, inciso p) (OP)'!I85</f>
        <v>Construcción de nueva celda para la disposición de residuos, primera etapa, en el vertedero de basura Picachos, Municipio de Zapopan, Jalisco</v>
      </c>
      <c r="G136" s="14" t="s">
        <v>437</v>
      </c>
      <c r="H136" s="15">
        <f>'[1]V, inciso p) (OP)'!AG85</f>
        <v>5873571.75</v>
      </c>
      <c r="I136" s="14" t="str">
        <f>'[1]V, inciso p) (OP)'!AS85</f>
        <v>Relleno Sanitario de Picachos</v>
      </c>
      <c r="J136" s="12" t="str">
        <f>'[1]V, inciso p) (OP)'!T85</f>
        <v>Jesús David</v>
      </c>
      <c r="K136" s="12" t="str">
        <f>'[1]V, inciso p) (OP)'!U85</f>
        <v>Garza</v>
      </c>
      <c r="L136" s="12" t="str">
        <f>'[1]V, inciso p) (OP)'!V85</f>
        <v>Garcia</v>
      </c>
      <c r="M136" s="14" t="str">
        <f>'[1]V, inciso p) (OP)'!W85</f>
        <v>Construcciones  Electrificaciones y Arrendamiento de Maquinaria S.A. de C.V.</v>
      </c>
      <c r="N136" s="12" t="str">
        <f>'[1]V, inciso p) (OP)'!X85</f>
        <v>CEA010615GT0</v>
      </c>
      <c r="O136" s="15">
        <f t="shared" si="4"/>
        <v>5873571.75</v>
      </c>
      <c r="P136" s="15">
        <v>5873571.75</v>
      </c>
      <c r="Q136" s="12" t="s">
        <v>467</v>
      </c>
      <c r="R136" s="15">
        <f>O136/14859.03</f>
        <v>395.28635112789999</v>
      </c>
      <c r="S136" s="12" t="s">
        <v>42</v>
      </c>
      <c r="T136" s="17">
        <v>1243756</v>
      </c>
      <c r="U136" s="14" t="s">
        <v>43</v>
      </c>
      <c r="V136" s="12" t="s">
        <v>44</v>
      </c>
      <c r="W136" s="13">
        <f>'[1]V, inciso p) (OP)'!AM85</f>
        <v>42688</v>
      </c>
      <c r="X136" s="13">
        <f>'[1]V, inciso p) (OP)'!AN85</f>
        <v>42504</v>
      </c>
      <c r="Y136" s="12" t="s">
        <v>468</v>
      </c>
      <c r="Z136" s="12" t="s">
        <v>307</v>
      </c>
      <c r="AA136" s="12" t="s">
        <v>308</v>
      </c>
      <c r="AB136" s="18" t="s">
        <v>1697</v>
      </c>
      <c r="AC136" s="14" t="s">
        <v>48</v>
      </c>
      <c r="AD136" s="14"/>
    </row>
    <row r="137" spans="1:30" ht="80.099999999999994" customHeight="1">
      <c r="A137" s="5">
        <v>124</v>
      </c>
      <c r="B137" s="12">
        <v>2016</v>
      </c>
      <c r="C137" s="14" t="s">
        <v>31</v>
      </c>
      <c r="D137" s="14" t="str">
        <f>'[1]V, inciso p) (OP)'!D86</f>
        <v>DOPI-MUN-PR-EP-LP-124-2016</v>
      </c>
      <c r="E137" s="13">
        <f>'[1]V, inciso p) (OP)'!AD86</f>
        <v>42685</v>
      </c>
      <c r="F137" s="14" t="str">
        <f>'[1]V, inciso p) (OP)'!I86</f>
        <v>Rehabilitación de instalaciones y construcción de Centro Comunitario dentro de la Unidad Deportiva del Polvorín, Municipio de Zapopan, Jalisco, frente 1.</v>
      </c>
      <c r="G137" s="14" t="s">
        <v>416</v>
      </c>
      <c r="H137" s="15">
        <f>'[1]V, inciso p) (OP)'!AG86</f>
        <v>8434117.6600000001</v>
      </c>
      <c r="I137" s="14" t="str">
        <f>'[1]V, inciso p) (OP)'!AS86</f>
        <v>Colonia Guadalajarita</v>
      </c>
      <c r="J137" s="12" t="str">
        <f>'[1]V, inciso p) (OP)'!T86</f>
        <v xml:space="preserve">Leobardo </v>
      </c>
      <c r="K137" s="12" t="str">
        <f>'[1]V, inciso p) (OP)'!U86</f>
        <v>Preciado</v>
      </c>
      <c r="L137" s="12" t="str">
        <f>'[1]V, inciso p) (OP)'!V86</f>
        <v>Zepeda</v>
      </c>
      <c r="M137" s="14" t="str">
        <f>'[1]V, inciso p) (OP)'!W86</f>
        <v>Consorcio Constructor Adobes, S. A. de C. V.</v>
      </c>
      <c r="N137" s="12" t="str">
        <f>'[1]V, inciso p) (OP)'!X86</f>
        <v>CCA971126QC9</v>
      </c>
      <c r="O137" s="15">
        <f t="shared" si="4"/>
        <v>8434117.6600000001</v>
      </c>
      <c r="P137" s="15">
        <v>9019991</v>
      </c>
      <c r="Q137" s="12" t="s">
        <v>469</v>
      </c>
      <c r="R137" s="15">
        <f>O137/816.76</f>
        <v>10326.310862432048</v>
      </c>
      <c r="S137" s="12" t="s">
        <v>42</v>
      </c>
      <c r="T137" s="17">
        <v>2184</v>
      </c>
      <c r="U137" s="14" t="s">
        <v>43</v>
      </c>
      <c r="V137" s="12" t="s">
        <v>44</v>
      </c>
      <c r="W137" s="13">
        <f>'[1]V, inciso p) (OP)'!AM86</f>
        <v>42688</v>
      </c>
      <c r="X137" s="13">
        <f>'[1]V, inciso p) (OP)'!AN86</f>
        <v>42763</v>
      </c>
      <c r="Y137" s="12" t="s">
        <v>470</v>
      </c>
      <c r="Z137" s="12" t="s">
        <v>142</v>
      </c>
      <c r="AA137" s="12" t="s">
        <v>471</v>
      </c>
      <c r="AB137" s="18" t="s">
        <v>1888</v>
      </c>
      <c r="AC137" s="14" t="s">
        <v>48</v>
      </c>
      <c r="AD137" s="14"/>
    </row>
    <row r="138" spans="1:30" ht="80.099999999999994" customHeight="1">
      <c r="A138" s="5">
        <v>125</v>
      </c>
      <c r="B138" s="12">
        <v>2016</v>
      </c>
      <c r="C138" s="14" t="s">
        <v>31</v>
      </c>
      <c r="D138" s="14" t="str">
        <f>'[1]V, inciso p) (OP)'!D87</f>
        <v>DOPI-MUN-PR-EP-LP-125-2016</v>
      </c>
      <c r="E138" s="13">
        <f>'[1]V, inciso p) (OP)'!AD87</f>
        <v>42685</v>
      </c>
      <c r="F138" s="14" t="str">
        <f>'[1]V, inciso p) (OP)'!I87</f>
        <v>Rehabilitación de instalaciones y construcción de Centro Comunitario dentro de la Unidad Deportiva del Polvorín, Municipio de Zapopan, Jalisco, frente 2.</v>
      </c>
      <c r="G138" s="14" t="s">
        <v>416</v>
      </c>
      <c r="H138" s="15">
        <f>'[1]V, inciso p) (OP)'!AG87</f>
        <v>5098902.66</v>
      </c>
      <c r="I138" s="14" t="str">
        <f>'[1]V, inciso p) (OP)'!AS87</f>
        <v>Colonia Guadalajarita</v>
      </c>
      <c r="J138" s="12" t="str">
        <f>'[1]V, inciso p) (OP)'!T87</f>
        <v>Marco Antonio</v>
      </c>
      <c r="K138" s="12" t="str">
        <f>'[1]V, inciso p) (OP)'!U87</f>
        <v>Cortés</v>
      </c>
      <c r="L138" s="12" t="str">
        <f>'[1]V, inciso p) (OP)'!V87</f>
        <v>González</v>
      </c>
      <c r="M138" s="14" t="str">
        <f>'[1]V, inciso p) (OP)'!W87</f>
        <v>Grupo Taube de México, S.A. de C.V.</v>
      </c>
      <c r="N138" s="12" t="str">
        <f>'[1]V, inciso p) (OP)'!X87</f>
        <v>GTM050418384</v>
      </c>
      <c r="O138" s="15">
        <f t="shared" si="4"/>
        <v>5098902.66</v>
      </c>
      <c r="P138" s="15">
        <v>5368959</v>
      </c>
      <c r="Q138" s="12" t="s">
        <v>472</v>
      </c>
      <c r="R138" s="15">
        <f>O138/4876.75</f>
        <v>1045.5534238991131</v>
      </c>
      <c r="S138" s="12" t="s">
        <v>42</v>
      </c>
      <c r="T138" s="17">
        <v>2184</v>
      </c>
      <c r="U138" s="14" t="s">
        <v>43</v>
      </c>
      <c r="V138" s="12" t="s">
        <v>44</v>
      </c>
      <c r="W138" s="13">
        <f>'[1]V, inciso p) (OP)'!AM87</f>
        <v>42688</v>
      </c>
      <c r="X138" s="13">
        <f>'[1]V, inciso p) (OP)'!AN87</f>
        <v>42763</v>
      </c>
      <c r="Y138" s="12" t="s">
        <v>470</v>
      </c>
      <c r="Z138" s="12" t="s">
        <v>142</v>
      </c>
      <c r="AA138" s="12" t="s">
        <v>471</v>
      </c>
      <c r="AB138" s="18" t="s">
        <v>1698</v>
      </c>
      <c r="AC138" s="14" t="s">
        <v>48</v>
      </c>
      <c r="AD138" s="14"/>
    </row>
    <row r="139" spans="1:30" ht="80.099999999999994" customHeight="1">
      <c r="A139" s="5">
        <v>126</v>
      </c>
      <c r="B139" s="12">
        <v>2016</v>
      </c>
      <c r="C139" s="14" t="s">
        <v>65</v>
      </c>
      <c r="D139" s="14" t="str">
        <f>'[1]V, inciso o) (OP)'!C58</f>
        <v>DOPI-MUN-RM-BAN-AD-126-2016</v>
      </c>
      <c r="E139" s="13">
        <f>'[1]V, inciso o) (OP)'!V58</f>
        <v>42559</v>
      </c>
      <c r="F139" s="14" t="str">
        <f>'[1]V, inciso o) (OP)'!AA58</f>
        <v>Peatonalización, construcción de banquetas, sustitución de guarniciones, bolardos, complemento de reencarpetado y sello tramo 1 de la Av. Pablo Neruda, municipio de Zapopan, Jalisco</v>
      </c>
      <c r="G139" s="14" t="s">
        <v>111</v>
      </c>
      <c r="H139" s="15">
        <f>'[1]V, inciso o) (OP)'!Y58</f>
        <v>1497870.11</v>
      </c>
      <c r="I139" s="14" t="s">
        <v>473</v>
      </c>
      <c r="J139" s="12" t="str">
        <f>'[1]V, inciso o) (OP)'!M58</f>
        <v>Guillermo</v>
      </c>
      <c r="K139" s="12" t="str">
        <f>'[1]V, inciso o) (OP)'!N58</f>
        <v>Lara</v>
      </c>
      <c r="L139" s="12" t="str">
        <f>'[1]V, inciso o) (OP)'!O58</f>
        <v>Vargas</v>
      </c>
      <c r="M139" s="14" t="str">
        <f>'[1]V, inciso o) (OP)'!P58</f>
        <v>Desarrolladora Glar, S.A. de C.V.</v>
      </c>
      <c r="N139" s="12" t="str">
        <f>'[1]V, inciso o) (OP)'!Q58</f>
        <v>DGL060620SUA</v>
      </c>
      <c r="O139" s="15">
        <f t="shared" si="4"/>
        <v>1497870.11</v>
      </c>
      <c r="P139" s="15">
        <v>1170755.7</v>
      </c>
      <c r="Q139" s="12" t="s">
        <v>474</v>
      </c>
      <c r="R139" s="15">
        <f>O139/1236</f>
        <v>1211.8690210355987</v>
      </c>
      <c r="S139" s="12" t="s">
        <v>42</v>
      </c>
      <c r="T139" s="17">
        <v>5427</v>
      </c>
      <c r="U139" s="14" t="s">
        <v>43</v>
      </c>
      <c r="V139" s="12" t="s">
        <v>44</v>
      </c>
      <c r="W139" s="13">
        <f>'[1]V, inciso o) (OP)'!AD58</f>
        <v>42562</v>
      </c>
      <c r="X139" s="13">
        <f>'[1]V, inciso o) (OP)'!AE58</f>
        <v>42598</v>
      </c>
      <c r="Y139" s="12" t="s">
        <v>350</v>
      </c>
      <c r="Z139" s="12" t="s">
        <v>351</v>
      </c>
      <c r="AA139" s="12" t="s">
        <v>352</v>
      </c>
      <c r="AB139" s="8" t="s">
        <v>1699</v>
      </c>
      <c r="AC139" s="14" t="s">
        <v>48</v>
      </c>
      <c r="AD139" s="14"/>
    </row>
    <row r="140" spans="1:30" ht="80.099999999999994" customHeight="1">
      <c r="A140" s="5">
        <v>127</v>
      </c>
      <c r="B140" s="12">
        <v>2016</v>
      </c>
      <c r="C140" s="14" t="s">
        <v>65</v>
      </c>
      <c r="D140" s="14" t="str">
        <f>'[1]V, inciso o) (OP)'!C59</f>
        <v>DOPI-MUN-RM-PAV-AD-127-2016</v>
      </c>
      <c r="E140" s="13">
        <f>'[1]V, inciso o) (OP)'!V59</f>
        <v>42559</v>
      </c>
      <c r="F140" s="14" t="str">
        <f>'[1]V, inciso o) (OP)'!AA59</f>
        <v>Peatonalización, construcción de banquetas, sustitución de guarniciones, bolardos, complemento de reencarpetado y sello tramo 2 de la Av. Pablo Neruda, municipio de Zapopan, Jalisco</v>
      </c>
      <c r="G140" s="14" t="s">
        <v>111</v>
      </c>
      <c r="H140" s="15">
        <f>'[1]V, inciso o) (OP)'!Y59</f>
        <v>1439130.15</v>
      </c>
      <c r="I140" s="14" t="s">
        <v>473</v>
      </c>
      <c r="J140" s="12" t="str">
        <f>'[1]V, inciso o) (OP)'!M59</f>
        <v>David Eduardo</v>
      </c>
      <c r="K140" s="12" t="str">
        <f>'[1]V, inciso o) (OP)'!N59</f>
        <v>Lara</v>
      </c>
      <c r="L140" s="12" t="str">
        <f>'[1]V, inciso o) (OP)'!O59</f>
        <v>Ochoa</v>
      </c>
      <c r="M140" s="14" t="str">
        <f>'[1]V, inciso o) (OP)'!P59</f>
        <v xml:space="preserve">Construcciones ICU, S.A. de C.V. </v>
      </c>
      <c r="N140" s="12" t="str">
        <f>'[1]V, inciso o) (OP)'!Q59</f>
        <v>CIC080626ER2</v>
      </c>
      <c r="O140" s="15">
        <f t="shared" si="4"/>
        <v>1439130.15</v>
      </c>
      <c r="P140" s="12" t="s">
        <v>48</v>
      </c>
      <c r="Q140" s="12" t="s">
        <v>475</v>
      </c>
      <c r="R140" s="15">
        <f>O140/1224</f>
        <v>1175.7599264705882</v>
      </c>
      <c r="S140" s="12" t="s">
        <v>42</v>
      </c>
      <c r="T140" s="17">
        <v>5427</v>
      </c>
      <c r="U140" s="14" t="s">
        <v>43</v>
      </c>
      <c r="V140" s="12" t="s">
        <v>44</v>
      </c>
      <c r="W140" s="13">
        <f>'[1]V, inciso o) (OP)'!AD59</f>
        <v>42562</v>
      </c>
      <c r="X140" s="13">
        <f>'[1]V, inciso o) (OP)'!AE59</f>
        <v>42598</v>
      </c>
      <c r="Y140" s="12" t="s">
        <v>350</v>
      </c>
      <c r="Z140" s="12" t="s">
        <v>351</v>
      </c>
      <c r="AA140" s="12" t="s">
        <v>352</v>
      </c>
      <c r="AB140" s="8" t="s">
        <v>1700</v>
      </c>
      <c r="AC140" s="14" t="s">
        <v>48</v>
      </c>
      <c r="AD140" s="14"/>
    </row>
    <row r="141" spans="1:30" ht="80.099999999999994" customHeight="1">
      <c r="A141" s="5">
        <v>128</v>
      </c>
      <c r="B141" s="12">
        <v>2016</v>
      </c>
      <c r="C141" s="14" t="s">
        <v>65</v>
      </c>
      <c r="D141" s="14" t="str">
        <f>'[1]V, inciso o) (OP)'!C60</f>
        <v>DOPI-MUN-RM-PAV-AD-128-2016</v>
      </c>
      <c r="E141" s="13">
        <f>'[1]V, inciso o) (OP)'!V60</f>
        <v>42566</v>
      </c>
      <c r="F141" s="14" t="str">
        <f>'[1]V, inciso o) (OP)'!AA60</f>
        <v>Construcción de banquetas, bolardos, sustitución de rejillas pluviales, rehabilitación de bocas de tormenta, aproches y arbolado en el tramo poniente de la Glorieta Venustiano Carranza en la colonia Constitución, municipio de Zapopan, Jalisco</v>
      </c>
      <c r="G141" s="14" t="s">
        <v>111</v>
      </c>
      <c r="H141" s="15">
        <f>'[1]V, inciso o) (OP)'!Y60</f>
        <v>1497520.4400000002</v>
      </c>
      <c r="I141" s="14" t="s">
        <v>476</v>
      </c>
      <c r="J141" s="12" t="str">
        <f>'[1]V, inciso o) (OP)'!M60</f>
        <v>Adalberto</v>
      </c>
      <c r="K141" s="12" t="str">
        <f>'[1]V, inciso o) (OP)'!N60</f>
        <v>Medina</v>
      </c>
      <c r="L141" s="12" t="str">
        <f>'[1]V, inciso o) (OP)'!O60</f>
        <v>Morales</v>
      </c>
      <c r="M141" s="14" t="str">
        <f>'[1]V, inciso o) (OP)'!P60</f>
        <v>Urdem, S.A. de C.V.</v>
      </c>
      <c r="N141" s="12" t="str">
        <f>'[1]V, inciso o) (OP)'!Q60</f>
        <v>URD130830U21</v>
      </c>
      <c r="O141" s="15">
        <f t="shared" si="4"/>
        <v>1497520.4400000002</v>
      </c>
      <c r="P141" s="15">
        <v>1496537.5099999998</v>
      </c>
      <c r="Q141" s="12" t="s">
        <v>477</v>
      </c>
      <c r="R141" s="15">
        <f>O141/621</f>
        <v>2411.4660869565218</v>
      </c>
      <c r="S141" s="12" t="s">
        <v>42</v>
      </c>
      <c r="T141" s="17">
        <v>27515</v>
      </c>
      <c r="U141" s="14" t="s">
        <v>43</v>
      </c>
      <c r="V141" s="12" t="s">
        <v>44</v>
      </c>
      <c r="W141" s="13">
        <f>'[1]V, inciso o) (OP)'!AD60</f>
        <v>42569</v>
      </c>
      <c r="X141" s="13">
        <f>'[1]V, inciso o) (OP)'!AE60</f>
        <v>42613</v>
      </c>
      <c r="Y141" s="12" t="s">
        <v>478</v>
      </c>
      <c r="Z141" s="12" t="s">
        <v>419</v>
      </c>
      <c r="AA141" s="12" t="s">
        <v>420</v>
      </c>
      <c r="AB141" s="8" t="s">
        <v>1889</v>
      </c>
      <c r="AC141" s="14" t="s">
        <v>48</v>
      </c>
      <c r="AD141" s="14"/>
    </row>
    <row r="142" spans="1:30" ht="80.099999999999994" customHeight="1">
      <c r="A142" s="5">
        <v>129</v>
      </c>
      <c r="B142" s="12">
        <v>2016</v>
      </c>
      <c r="C142" s="14" t="s">
        <v>65</v>
      </c>
      <c r="D142" s="14" t="str">
        <f>'[1]V, inciso o) (OP)'!C61</f>
        <v>DOPI-MUN-RM-PAV-AD-129-2016</v>
      </c>
      <c r="E142" s="13">
        <f>'[1]V, inciso o) (OP)'!V61</f>
        <v>42566</v>
      </c>
      <c r="F142" s="14" t="str">
        <f>'[1]V, inciso o) (OP)'!AA61</f>
        <v>Construcción de banquetas, bolardos, sustitución de rejillas pluviales, rehabilitación de bocas de tormenta, aproches y arbolado en el tramo oriente de la Glorieta Venustiano Carranza en la colonia Constitución, municipio de Zapopan, Jalisco</v>
      </c>
      <c r="G142" s="14" t="s">
        <v>111</v>
      </c>
      <c r="H142" s="15">
        <f>'[1]V, inciso o) (OP)'!Y61</f>
        <v>1499415.54</v>
      </c>
      <c r="I142" s="14" t="s">
        <v>476</v>
      </c>
      <c r="J142" s="12" t="str">
        <f>'[1]V, inciso o) (OP)'!M61</f>
        <v>Arturo Rafael</v>
      </c>
      <c r="K142" s="12" t="str">
        <f>'[1]V, inciso o) (OP)'!N61</f>
        <v>Salazar</v>
      </c>
      <c r="L142" s="12" t="str">
        <f>'[1]V, inciso o) (OP)'!O61</f>
        <v>Martín del Campo</v>
      </c>
      <c r="M142" s="14" t="str">
        <f>'[1]V, inciso o) (OP)'!P61</f>
        <v>Kalmani Constructora, S.A. de C.V.</v>
      </c>
      <c r="N142" s="12" t="str">
        <f>'[1]V, inciso o) (OP)'!Q61</f>
        <v>KCO030922UM6</v>
      </c>
      <c r="O142" s="15">
        <f t="shared" si="4"/>
        <v>1499415.54</v>
      </c>
      <c r="P142" s="15">
        <v>1499400.36</v>
      </c>
      <c r="Q142" s="12" t="s">
        <v>479</v>
      </c>
      <c r="R142" s="15">
        <f>O142/653</f>
        <v>2296.1953139356815</v>
      </c>
      <c r="S142" s="12" t="s">
        <v>42</v>
      </c>
      <c r="T142" s="17">
        <v>27515</v>
      </c>
      <c r="U142" s="14" t="s">
        <v>43</v>
      </c>
      <c r="V142" s="12" t="s">
        <v>44</v>
      </c>
      <c r="W142" s="13">
        <f>'[1]V, inciso o) (OP)'!AD61</f>
        <v>42569</v>
      </c>
      <c r="X142" s="13">
        <f>'[1]V, inciso o) (OP)'!AE61</f>
        <v>42613</v>
      </c>
      <c r="Y142" s="12" t="s">
        <v>478</v>
      </c>
      <c r="Z142" s="12" t="s">
        <v>419</v>
      </c>
      <c r="AA142" s="12" t="s">
        <v>420</v>
      </c>
      <c r="AB142" s="8" t="s">
        <v>1701</v>
      </c>
      <c r="AC142" s="14" t="s">
        <v>48</v>
      </c>
      <c r="AD142" s="14"/>
    </row>
    <row r="143" spans="1:30" ht="80.099999999999994" customHeight="1">
      <c r="A143" s="5">
        <v>130</v>
      </c>
      <c r="B143" s="12">
        <v>2016</v>
      </c>
      <c r="C143" s="14" t="s">
        <v>65</v>
      </c>
      <c r="D143" s="14" t="str">
        <f>'[1]V, inciso o) (OP)'!C62</f>
        <v>DOPI-MUN-RM-PAV-AD-130-2016</v>
      </c>
      <c r="E143" s="13">
        <f>'[1]V, inciso o) (OP)'!V62</f>
        <v>42566</v>
      </c>
      <c r="F143" s="14" t="str">
        <f>'[1]V, inciso o) (OP)'!AA62</f>
        <v>Construcción de Motor Lobby con concreto hidráulico en la plazoleta, plazoleta de acceso, acceso a estacionamiento y colocación de arbolado en la Glorieta Venustiano Carranza colonia Constitución, municipio de Zapopan, Jalisco</v>
      </c>
      <c r="G143" s="14" t="s">
        <v>111</v>
      </c>
      <c r="H143" s="15">
        <f>'[1]V, inciso o) (OP)'!Y62</f>
        <v>1373625.4800000002</v>
      </c>
      <c r="I143" s="14" t="s">
        <v>476</v>
      </c>
      <c r="J143" s="12" t="str">
        <f>'[1]V, inciso o) (OP)'!M62</f>
        <v>Sergio Cesar</v>
      </c>
      <c r="K143" s="12" t="str">
        <f>'[1]V, inciso o) (OP)'!N62</f>
        <v>Díaz</v>
      </c>
      <c r="L143" s="12" t="str">
        <f>'[1]V, inciso o) (OP)'!O62</f>
        <v>Quiroz</v>
      </c>
      <c r="M143" s="14" t="str">
        <f>'[1]V, inciso o) (OP)'!P62</f>
        <v>Transcreto S.A. de C.V.</v>
      </c>
      <c r="N143" s="12" t="str">
        <f>'[1]V, inciso o) (OP)'!Q62</f>
        <v>TRA750528286</v>
      </c>
      <c r="O143" s="15">
        <f t="shared" si="4"/>
        <v>1373625.4800000002</v>
      </c>
      <c r="P143" s="15">
        <v>1373625.49</v>
      </c>
      <c r="Q143" s="12" t="s">
        <v>480</v>
      </c>
      <c r="R143" s="15">
        <f>O143/558</f>
        <v>2461.6944086021508</v>
      </c>
      <c r="S143" s="12" t="s">
        <v>42</v>
      </c>
      <c r="T143" s="17">
        <v>27515</v>
      </c>
      <c r="U143" s="14" t="s">
        <v>43</v>
      </c>
      <c r="V143" s="12" t="s">
        <v>44</v>
      </c>
      <c r="W143" s="13">
        <f>'[1]V, inciso o) (OP)'!AD62</f>
        <v>42569</v>
      </c>
      <c r="X143" s="13">
        <f>'[1]V, inciso o) (OP)'!AE62</f>
        <v>42613</v>
      </c>
      <c r="Y143" s="12" t="s">
        <v>478</v>
      </c>
      <c r="Z143" s="12" t="s">
        <v>419</v>
      </c>
      <c r="AA143" s="12" t="s">
        <v>420</v>
      </c>
      <c r="AB143" s="8" t="s">
        <v>1702</v>
      </c>
      <c r="AC143" s="14" t="s">
        <v>48</v>
      </c>
      <c r="AD143" s="14"/>
    </row>
    <row r="144" spans="1:30" ht="80.099999999999994" customHeight="1">
      <c r="A144" s="5">
        <v>131</v>
      </c>
      <c r="B144" s="12">
        <v>2016</v>
      </c>
      <c r="C144" s="14" t="s">
        <v>65</v>
      </c>
      <c r="D144" s="14" t="str">
        <f>'[1]V, inciso o) (OP)'!C63</f>
        <v>DOPI-MUN-RM-PAV-AD-131-2016</v>
      </c>
      <c r="E144" s="13">
        <f>'[1]V, inciso o) (OP)'!V63</f>
        <v>42566</v>
      </c>
      <c r="F144" s="14" t="str">
        <f>'[1]V, inciso o) (OP)'!AA63</f>
        <v>Repavimentación, sello Slurry Seal, nivelación de pozos de visita y cajas de válvulas, sustitución de rejillas pluviales y señalética horizontal y vertical en la calle Lomas Altas de límite municipal y la glorieta del paseo de la Canadá y en la calle La Cima de la calle Lomas Altas a Glorieta, en la colonia Lomas Altas, municipio de Zapopan, Jalisco.</v>
      </c>
      <c r="G144" s="14" t="s">
        <v>111</v>
      </c>
      <c r="H144" s="15">
        <f>'[1]V, inciso o) (OP)'!Y63</f>
        <v>1498232.17</v>
      </c>
      <c r="I144" s="14" t="s">
        <v>481</v>
      </c>
      <c r="J144" s="12" t="str">
        <f>'[1]V, inciso o) (OP)'!M63</f>
        <v>Aurora Lucia</v>
      </c>
      <c r="K144" s="12" t="str">
        <f>'[1]V, inciso o) (OP)'!N63</f>
        <v xml:space="preserve">Brenez </v>
      </c>
      <c r="L144" s="12" t="str">
        <f>'[1]V, inciso o) (OP)'!O63</f>
        <v>Garnica</v>
      </c>
      <c r="M144" s="14" t="str">
        <f>'[1]V, inciso o) (OP)'!P63</f>
        <v>Karol Urbanizaciones y Construcciones, S.A. de C.V.</v>
      </c>
      <c r="N144" s="12" t="str">
        <f>'[1]V, inciso o) (OP)'!Q63</f>
        <v>KUC070424344</v>
      </c>
      <c r="O144" s="15">
        <f t="shared" si="4"/>
        <v>1498232.17</v>
      </c>
      <c r="P144" s="15">
        <v>1316642.06</v>
      </c>
      <c r="Q144" s="12" t="s">
        <v>482</v>
      </c>
      <c r="R144" s="15">
        <f>O144/1844</f>
        <v>812.49033080260301</v>
      </c>
      <c r="S144" s="12" t="s">
        <v>42</v>
      </c>
      <c r="T144" s="17">
        <v>3426</v>
      </c>
      <c r="U144" s="14" t="s">
        <v>43</v>
      </c>
      <c r="V144" s="12" t="s">
        <v>44</v>
      </c>
      <c r="W144" s="13">
        <f>'[1]V, inciso o) (OP)'!AD63</f>
        <v>42569</v>
      </c>
      <c r="X144" s="13">
        <f>'[1]V, inciso o) (OP)'!AE63</f>
        <v>42628</v>
      </c>
      <c r="Y144" s="12" t="s">
        <v>322</v>
      </c>
      <c r="Z144" s="12" t="s">
        <v>196</v>
      </c>
      <c r="AA144" s="12" t="s">
        <v>197</v>
      </c>
      <c r="AB144" s="14" t="s">
        <v>1635</v>
      </c>
      <c r="AC144" s="18"/>
      <c r="AD144" s="14"/>
    </row>
    <row r="145" spans="1:30" ht="80.099999999999994" customHeight="1">
      <c r="A145" s="5">
        <v>132</v>
      </c>
      <c r="B145" s="12">
        <v>2016</v>
      </c>
      <c r="C145" s="14" t="s">
        <v>65</v>
      </c>
      <c r="D145" s="14" t="str">
        <f>'[1]V, inciso o) (OP)'!C64</f>
        <v>DOPI-MUN-RM-OC-AD-132-2016</v>
      </c>
      <c r="E145" s="13">
        <f>'[1]V, inciso o) (OP)'!V64</f>
        <v>42566</v>
      </c>
      <c r="F145" s="14" t="str">
        <f>'[1]V, inciso o) (OP)'!AA64</f>
        <v>Demolición de viviendas abandonadas, reforzamiento de taludes y adecuaciones sanitarias en la zona de inundación y canal de la Martinica, municipio de Zapopan Jalisco.</v>
      </c>
      <c r="G145" s="14" t="s">
        <v>111</v>
      </c>
      <c r="H145" s="15">
        <f>'[1]V, inciso o) (OP)'!Y64</f>
        <v>940138.27</v>
      </c>
      <c r="I145" s="14" t="s">
        <v>483</v>
      </c>
      <c r="J145" s="12" t="str">
        <f>'[1]V, inciso o) (OP)'!M64</f>
        <v>Alberto</v>
      </c>
      <c r="K145" s="12" t="str">
        <f>'[1]V, inciso o) (OP)'!N64</f>
        <v>Bañuelos</v>
      </c>
      <c r="L145" s="12" t="str">
        <f>'[1]V, inciso o) (OP)'!O64</f>
        <v>García</v>
      </c>
      <c r="M145" s="14" t="str">
        <f>'[1]V, inciso o) (OP)'!P64</f>
        <v>Grial Construcciones, S.A. de C.V.</v>
      </c>
      <c r="N145" s="12" t="str">
        <f>'[1]V, inciso o) (OP)'!Q64</f>
        <v>GCO100226SU6</v>
      </c>
      <c r="O145" s="15">
        <f t="shared" si="4"/>
        <v>940138.27</v>
      </c>
      <c r="P145" s="15">
        <v>882079.19</v>
      </c>
      <c r="Q145" s="12" t="s">
        <v>484</v>
      </c>
      <c r="R145" s="15">
        <f>O145/513</f>
        <v>1832.6282066276804</v>
      </c>
      <c r="S145" s="12" t="s">
        <v>42</v>
      </c>
      <c r="T145" s="17">
        <v>3459</v>
      </c>
      <c r="U145" s="14" t="s">
        <v>43</v>
      </c>
      <c r="V145" s="12" t="s">
        <v>44</v>
      </c>
      <c r="W145" s="13">
        <f>'[1]V, inciso o) (OP)'!AD64</f>
        <v>42569</v>
      </c>
      <c r="X145" s="13">
        <f>'[1]V, inciso o) (OP)'!AE64</f>
        <v>42598</v>
      </c>
      <c r="Y145" s="12" t="s">
        <v>365</v>
      </c>
      <c r="Z145" s="12" t="s">
        <v>366</v>
      </c>
      <c r="AA145" s="12" t="s">
        <v>367</v>
      </c>
      <c r="AB145" s="14" t="s">
        <v>48</v>
      </c>
      <c r="AC145" s="14" t="s">
        <v>48</v>
      </c>
      <c r="AD145" s="14"/>
    </row>
    <row r="146" spans="1:30" ht="80.099999999999994" customHeight="1">
      <c r="A146" s="5">
        <v>133</v>
      </c>
      <c r="B146" s="12">
        <v>2016</v>
      </c>
      <c r="C146" s="14" t="s">
        <v>65</v>
      </c>
      <c r="D146" s="14" t="str">
        <f>'[1]V, inciso o) (OP)'!C65</f>
        <v>DOPI-MUN-RM-OC-AD-133-2016</v>
      </c>
      <c r="E146" s="13">
        <f>'[1]V, inciso o) (OP)'!V65</f>
        <v>42566</v>
      </c>
      <c r="F146" s="14" t="str">
        <f>'[1]V, inciso o) (OP)'!AA65</f>
        <v>Rectificación, rehabilitación y desazolve del arroyo La Campana; Adecuaciones hidráulicas y pluviales en las colindancias del nodo vial Santa Esther y Periférico; y reconstrucción de banquetas en Avenida Central, municipio de Zapopan, Jalisco</v>
      </c>
      <c r="G146" s="14" t="s">
        <v>111</v>
      </c>
      <c r="H146" s="15">
        <f>'[1]V, inciso o) (OP)'!Y65</f>
        <v>1450005.23</v>
      </c>
      <c r="I146" s="14" t="s">
        <v>485</v>
      </c>
      <c r="J146" s="12" t="str">
        <f>'[1]V, inciso o) (OP)'!M65</f>
        <v>Hector Eugenio</v>
      </c>
      <c r="K146" s="12" t="str">
        <f>'[1]V, inciso o) (OP)'!N65</f>
        <v>De la Torre</v>
      </c>
      <c r="L146" s="12" t="str">
        <f>'[1]V, inciso o) (OP)'!O65</f>
        <v>Menchaca</v>
      </c>
      <c r="M146" s="14" t="str">
        <f>'[1]V, inciso o) (OP)'!P65</f>
        <v>Ingenieros De la Torre, S.A. de C.V.</v>
      </c>
      <c r="N146" s="12" t="str">
        <f>'[1]V, inciso o) (OP)'!Q65</f>
        <v>ITO951005HY5</v>
      </c>
      <c r="O146" s="15">
        <f t="shared" si="4"/>
        <v>1450005.23</v>
      </c>
      <c r="P146" s="15">
        <v>846446.85000000009</v>
      </c>
      <c r="Q146" s="12" t="s">
        <v>486</v>
      </c>
      <c r="R146" s="15">
        <f>O146/1302</f>
        <v>1113.675291858679</v>
      </c>
      <c r="S146" s="12" t="s">
        <v>42</v>
      </c>
      <c r="T146" s="17">
        <v>16342</v>
      </c>
      <c r="U146" s="14" t="s">
        <v>43</v>
      </c>
      <c r="V146" s="12" t="s">
        <v>44</v>
      </c>
      <c r="W146" s="13">
        <f>'[1]V, inciso o) (OP)'!AD65</f>
        <v>42569</v>
      </c>
      <c r="X146" s="13">
        <f>'[1]V, inciso o) (OP)'!AE65</f>
        <v>42614</v>
      </c>
      <c r="Y146" s="12" t="s">
        <v>322</v>
      </c>
      <c r="Z146" s="12" t="s">
        <v>196</v>
      </c>
      <c r="AA146" s="12" t="s">
        <v>197</v>
      </c>
      <c r="AB146" s="8" t="s">
        <v>1703</v>
      </c>
      <c r="AC146" s="14" t="s">
        <v>48</v>
      </c>
      <c r="AD146" s="14"/>
    </row>
    <row r="147" spans="1:30" ht="80.099999999999994" customHeight="1">
      <c r="A147" s="5">
        <v>134</v>
      </c>
      <c r="B147" s="12">
        <v>2016</v>
      </c>
      <c r="C147" s="14" t="s">
        <v>65</v>
      </c>
      <c r="D147" s="14" t="str">
        <f>'[1]V, inciso o) (OP)'!C66</f>
        <v>DOPI-MUN-RM-OC-AD-134-2016</v>
      </c>
      <c r="E147" s="13">
        <f>'[1]V, inciso o) (OP)'!V66</f>
        <v>42578</v>
      </c>
      <c r="F147" s="14" t="str">
        <f>'[1]V, inciso o) (OP)'!AA66</f>
        <v>Construcción y reforzamiento de bordos primera etapa en el ejido de Santa Lucia, municipio de Zapopan, Jalisco.</v>
      </c>
      <c r="G147" s="14" t="s">
        <v>111</v>
      </c>
      <c r="H147" s="15">
        <f>'[1]V, inciso o) (OP)'!Y66</f>
        <v>1501235.7800000003</v>
      </c>
      <c r="I147" s="14" t="s">
        <v>487</v>
      </c>
      <c r="J147" s="12" t="str">
        <f>'[1]V, inciso o) (OP)'!M66</f>
        <v>Heliodoro Nicolás</v>
      </c>
      <c r="K147" s="12" t="str">
        <f>'[1]V, inciso o) (OP)'!N66</f>
        <v>Aceves</v>
      </c>
      <c r="L147" s="12" t="str">
        <f>'[1]V, inciso o) (OP)'!O66</f>
        <v>Orozco</v>
      </c>
      <c r="M147" s="14" t="str">
        <f>'[1]V, inciso o) (OP)'!P66</f>
        <v>Imaqsa, S.A. de C.V.</v>
      </c>
      <c r="N147" s="12" t="str">
        <f>'[1]V, inciso o) (OP)'!Q66</f>
        <v>IMA050204LA9</v>
      </c>
      <c r="O147" s="15">
        <f t="shared" si="4"/>
        <v>1501235.7800000003</v>
      </c>
      <c r="P147" s="15">
        <v>1500731.6400000001</v>
      </c>
      <c r="Q147" s="12" t="s">
        <v>488</v>
      </c>
      <c r="R147" s="15">
        <f>O147/4468</f>
        <v>335.99726499552378</v>
      </c>
      <c r="S147" s="12" t="s">
        <v>42</v>
      </c>
      <c r="T147" s="17">
        <v>24253</v>
      </c>
      <c r="U147" s="14" t="s">
        <v>43</v>
      </c>
      <c r="V147" s="12" t="s">
        <v>44</v>
      </c>
      <c r="W147" s="13">
        <f>'[1]V, inciso o) (OP)'!AD66</f>
        <v>42579</v>
      </c>
      <c r="X147" s="13">
        <f>'[1]V, inciso o) (OP)'!AE66</f>
        <v>42698</v>
      </c>
      <c r="Y147" s="12" t="s">
        <v>336</v>
      </c>
      <c r="Z147" s="12" t="s">
        <v>337</v>
      </c>
      <c r="AA147" s="12" t="s">
        <v>120</v>
      </c>
      <c r="AB147" s="8" t="s">
        <v>1704</v>
      </c>
      <c r="AC147" s="14" t="s">
        <v>48</v>
      </c>
      <c r="AD147" s="14"/>
    </row>
    <row r="148" spans="1:30" ht="80.099999999999994" customHeight="1">
      <c r="A148" s="5">
        <v>135</v>
      </c>
      <c r="B148" s="12">
        <v>2016</v>
      </c>
      <c r="C148" s="14" t="s">
        <v>65</v>
      </c>
      <c r="D148" s="14" t="str">
        <f>'[1]V, inciso o) (OP)'!C67</f>
        <v>DOPI-MUN-RM-EP-AD-135-2016</v>
      </c>
      <c r="E148" s="13">
        <f>'[1]V, inciso o) (OP)'!V67</f>
        <v>42587</v>
      </c>
      <c r="F148" s="14" t="str">
        <f>'[1]V, inciso o) (OP)'!AA67</f>
        <v>Obra complementaria en el parque El Polvorin II, municipio de Zapopan, Jalisco.</v>
      </c>
      <c r="G148" s="14" t="s">
        <v>111</v>
      </c>
      <c r="H148" s="15">
        <f>'[1]V, inciso o) (OP)'!Y67</f>
        <v>1494650.15</v>
      </c>
      <c r="I148" s="14" t="s">
        <v>140</v>
      </c>
      <c r="J148" s="12" t="str">
        <f>'[1]V, inciso o) (OP)'!M67</f>
        <v>Maria Eugenia</v>
      </c>
      <c r="K148" s="12" t="str">
        <f>'[1]V, inciso o) (OP)'!N67</f>
        <v>Cortés</v>
      </c>
      <c r="L148" s="12" t="str">
        <f>'[1]V, inciso o) (OP)'!O67</f>
        <v>González</v>
      </c>
      <c r="M148" s="14" t="str">
        <f>'[1]V, inciso o) (OP)'!P67</f>
        <v>Aspavi, S.A. de C.V.</v>
      </c>
      <c r="N148" s="12" t="str">
        <f>'[1]V, inciso o) (OP)'!Q67</f>
        <v>ASP100215RH9</v>
      </c>
      <c r="O148" s="15">
        <f>'[1]V, inciso o) (OP)'!Y67</f>
        <v>1494650.15</v>
      </c>
      <c r="P148" s="15">
        <v>1494649.1600000001</v>
      </c>
      <c r="Q148" s="12" t="s">
        <v>141</v>
      </c>
      <c r="R148" s="15">
        <f>O148/2546.52</f>
        <v>586.93831189230787</v>
      </c>
      <c r="S148" s="12" t="s">
        <v>42</v>
      </c>
      <c r="T148" s="17">
        <v>2614</v>
      </c>
      <c r="U148" s="14" t="s">
        <v>43</v>
      </c>
      <c r="V148" s="12" t="s">
        <v>44</v>
      </c>
      <c r="W148" s="13">
        <f>'[1]V, inciso o) (OP)'!AD67</f>
        <v>42591</v>
      </c>
      <c r="X148" s="13">
        <f>'[1]V, inciso o) (OP)'!AE67</f>
        <v>42613</v>
      </c>
      <c r="Y148" s="12" t="s">
        <v>336</v>
      </c>
      <c r="Z148" s="12" t="s">
        <v>315</v>
      </c>
      <c r="AA148" s="12" t="s">
        <v>134</v>
      </c>
      <c r="AB148" s="14" t="s">
        <v>48</v>
      </c>
      <c r="AC148" s="14" t="s">
        <v>48</v>
      </c>
      <c r="AD148" s="14"/>
    </row>
    <row r="149" spans="1:30" ht="80.099999999999994" customHeight="1">
      <c r="A149" s="6">
        <v>136</v>
      </c>
      <c r="B149" s="12">
        <v>2016</v>
      </c>
      <c r="C149" s="14" t="s">
        <v>65</v>
      </c>
      <c r="D149" s="14" t="str">
        <f>'[1]V, inciso o) (OP)'!C68</f>
        <v>DOPI-MUN-RM-PROY-AD-136-2016</v>
      </c>
      <c r="E149" s="13">
        <f>'[1]V, inciso o) (OP)'!V68</f>
        <v>42586</v>
      </c>
      <c r="F149" s="14" t="str">
        <f>'[1]V, inciso o) (OP)'!AA68</f>
        <v>Estudios de mecánica de suelos y diseño de pavimentos de diferentes obras 2016, segunda etapa, del municipio de Zapopan, Jalisco.</v>
      </c>
      <c r="G149" s="14" t="s">
        <v>111</v>
      </c>
      <c r="H149" s="15">
        <f>'[1]V, inciso o) (OP)'!Y68</f>
        <v>602435.48</v>
      </c>
      <c r="I149" s="14" t="s">
        <v>1349</v>
      </c>
      <c r="J149" s="12" t="str">
        <f>'[1]V, inciso o) (OP)'!M68</f>
        <v>José Alejandro</v>
      </c>
      <c r="K149" s="12" t="str">
        <f>'[1]V, inciso o) (OP)'!N68</f>
        <v>Alva</v>
      </c>
      <c r="L149" s="12" t="str">
        <f>'[1]V, inciso o) (OP)'!O68</f>
        <v>Delgado</v>
      </c>
      <c r="M149" s="14" t="str">
        <f>'[1]V, inciso o) (OP)'!P68</f>
        <v>Servicios de Obras Civiles Serco, S.A. de C.V.</v>
      </c>
      <c r="N149" s="12" t="str">
        <f>'[1]V, inciso o) (OP)'!Q68</f>
        <v>SOC150806E69</v>
      </c>
      <c r="O149" s="15">
        <f>'[1]V, inciso o) (OP)'!Y68</f>
        <v>602435.48</v>
      </c>
      <c r="P149" s="15">
        <v>384530.54</v>
      </c>
      <c r="Q149" s="12" t="s">
        <v>124</v>
      </c>
      <c r="R149" s="15" t="s">
        <v>124</v>
      </c>
      <c r="S149" s="12" t="s">
        <v>125</v>
      </c>
      <c r="T149" s="17" t="s">
        <v>125</v>
      </c>
      <c r="U149" s="14" t="s">
        <v>43</v>
      </c>
      <c r="V149" s="12" t="s">
        <v>44</v>
      </c>
      <c r="W149" s="13">
        <f>'[1]V, inciso o) (OP)'!AD68</f>
        <v>42591</v>
      </c>
      <c r="X149" s="13">
        <f>'[1]V, inciso o) (OP)'!AE68</f>
        <v>42735</v>
      </c>
      <c r="Y149" s="12" t="s">
        <v>408</v>
      </c>
      <c r="Z149" s="12" t="s">
        <v>489</v>
      </c>
      <c r="AA149" s="12" t="s">
        <v>107</v>
      </c>
      <c r="AB149" s="8" t="s">
        <v>1705</v>
      </c>
      <c r="AC149" s="14" t="s">
        <v>48</v>
      </c>
      <c r="AD149" s="14"/>
    </row>
    <row r="150" spans="1:30" ht="80.099999999999994" customHeight="1">
      <c r="A150" s="5">
        <v>137</v>
      </c>
      <c r="B150" s="12">
        <v>2016</v>
      </c>
      <c r="C150" s="14" t="s">
        <v>65</v>
      </c>
      <c r="D150" s="14" t="str">
        <f>'[1]V, inciso o) (OP)'!C69</f>
        <v>DOPI-MUN-RM-AP-AD-137-2016</v>
      </c>
      <c r="E150" s="13">
        <f>'[1]V, inciso o) (OP)'!V69</f>
        <v>42594</v>
      </c>
      <c r="F150" s="14" t="str">
        <f>'[1]V, inciso o) (OP)'!AA69</f>
        <v>Complemento de red de agua potable y tomas domiciliarias en la localidad de Milpillas, municipio de Zapopan, Jalisco</v>
      </c>
      <c r="G150" s="14" t="s">
        <v>111</v>
      </c>
      <c r="H150" s="15">
        <f>'[1]V, inciso o) (OP)'!Y69</f>
        <v>1435250.48</v>
      </c>
      <c r="I150" s="14" t="s">
        <v>490</v>
      </c>
      <c r="J150" s="12" t="str">
        <f>'[1]V, inciso o) (OP)'!M69</f>
        <v>Javier</v>
      </c>
      <c r="K150" s="12" t="str">
        <f>'[1]V, inciso o) (OP)'!N69</f>
        <v xml:space="preserve">Ávila </v>
      </c>
      <c r="L150" s="12" t="str">
        <f>'[1]V, inciso o) (OP)'!O69</f>
        <v>Flores</v>
      </c>
      <c r="M150" s="14" t="str">
        <f>'[1]V, inciso o) (OP)'!P69</f>
        <v>Savho Consultoría y Construcción, S.A. de C.V.</v>
      </c>
      <c r="N150" s="12" t="str">
        <f>'[1]V, inciso o) (OP)'!Q69</f>
        <v>SCC060622HZ3</v>
      </c>
      <c r="O150" s="15">
        <f>'[1]V, inciso o) (OP)'!Y69</f>
        <v>1435250.48</v>
      </c>
      <c r="P150" s="15">
        <v>1380658.57</v>
      </c>
      <c r="Q150" s="12" t="s">
        <v>491</v>
      </c>
      <c r="R150" s="15">
        <f>O150/1280</f>
        <v>1121.2894375000001</v>
      </c>
      <c r="S150" s="12" t="s">
        <v>42</v>
      </c>
      <c r="T150" s="17">
        <v>86</v>
      </c>
      <c r="U150" s="14" t="s">
        <v>43</v>
      </c>
      <c r="V150" s="12" t="s">
        <v>44</v>
      </c>
      <c r="W150" s="13">
        <f>'[1]V, inciso o) (OP)'!AD69</f>
        <v>42597</v>
      </c>
      <c r="X150" s="13">
        <f>'[1]V, inciso o) (OP)'!AE69</f>
        <v>42643</v>
      </c>
      <c r="Y150" s="12" t="s">
        <v>492</v>
      </c>
      <c r="Z150" s="12" t="s">
        <v>493</v>
      </c>
      <c r="AA150" s="12" t="s">
        <v>97</v>
      </c>
      <c r="AB150" s="8" t="s">
        <v>1706</v>
      </c>
      <c r="AC150" s="14" t="s">
        <v>48</v>
      </c>
      <c r="AD150" s="14"/>
    </row>
    <row r="151" spans="1:30" ht="80.099999999999994" customHeight="1">
      <c r="A151" s="5">
        <v>138</v>
      </c>
      <c r="B151" s="12">
        <v>2016</v>
      </c>
      <c r="C151" s="14" t="s">
        <v>65</v>
      </c>
      <c r="D151" s="14" t="str">
        <f>'[1]V, inciso o) (OP)'!C70</f>
        <v>DOPI-MUN-RM-IM-AD-138-2016</v>
      </c>
      <c r="E151" s="13">
        <f>'[1]V, inciso o) (OP)'!V70</f>
        <v>42607</v>
      </c>
      <c r="F151" s="14" t="str">
        <f>'[1]V, inciso o) (OP)'!AA70</f>
        <v>Complemento de la construcción de muro oriente, rehabilitación de banquetas e instalación de malla ciclón en el Panteón Municipal ubicado en la localidad de Santa Ana Tepetitlán, municipio de Zapopan, Jalisco.</v>
      </c>
      <c r="G151" s="14" t="s">
        <v>111</v>
      </c>
      <c r="H151" s="15">
        <f>'[1]V, inciso o) (OP)'!Y70</f>
        <v>1308547.98</v>
      </c>
      <c r="I151" s="14" t="s">
        <v>281</v>
      </c>
      <c r="J151" s="12" t="str">
        <f>'[1]V, inciso o) (OP)'!M70</f>
        <v>Oscar Luis</v>
      </c>
      <c r="K151" s="12" t="str">
        <f>'[1]V, inciso o) (OP)'!N70</f>
        <v xml:space="preserve"> Chávez</v>
      </c>
      <c r="L151" s="12" t="str">
        <f>'[1]V, inciso o) (OP)'!O70</f>
        <v>González</v>
      </c>
      <c r="M151" s="14" t="str">
        <f>'[1]V, inciso o) (OP)'!P70</f>
        <v>Euro Trade, S.A. de C.V.</v>
      </c>
      <c r="N151" s="12" t="str">
        <f>'[1]V, inciso o) (OP)'!Q70</f>
        <v>ETR070417NS8</v>
      </c>
      <c r="O151" s="15">
        <f>'[1]V, inciso o) (OP)'!Y70</f>
        <v>1308547.98</v>
      </c>
      <c r="P151" s="15">
        <v>1043309.64</v>
      </c>
      <c r="Q151" s="12" t="s">
        <v>494</v>
      </c>
      <c r="R151" s="15">
        <f>O151/735</f>
        <v>1780.3373877551021</v>
      </c>
      <c r="S151" s="12" t="s">
        <v>42</v>
      </c>
      <c r="T151" s="17">
        <v>171759</v>
      </c>
      <c r="U151" s="14" t="s">
        <v>43</v>
      </c>
      <c r="V151" s="12" t="s">
        <v>44</v>
      </c>
      <c r="W151" s="13">
        <f>'[1]V, inciso o) (OP)'!AD70</f>
        <v>42611</v>
      </c>
      <c r="X151" s="13">
        <f>'[1]V, inciso o) (OP)'!AE70</f>
        <v>42655</v>
      </c>
      <c r="Y151" s="12" t="s">
        <v>495</v>
      </c>
      <c r="Z151" s="12" t="s">
        <v>496</v>
      </c>
      <c r="AA151" s="12" t="s">
        <v>81</v>
      </c>
      <c r="AB151" s="8" t="s">
        <v>1707</v>
      </c>
      <c r="AC151" s="14" t="s">
        <v>48</v>
      </c>
      <c r="AD151" s="14"/>
    </row>
    <row r="152" spans="1:30" ht="80.099999999999994" customHeight="1">
      <c r="A152" s="5">
        <v>139</v>
      </c>
      <c r="B152" s="12">
        <v>2016</v>
      </c>
      <c r="C152" s="14" t="s">
        <v>65</v>
      </c>
      <c r="D152" s="14" t="str">
        <f>'[1]V, inciso o) (OP)'!C71</f>
        <v>DOPI-MUN-RM-IM-AD-139-2016</v>
      </c>
      <c r="E152" s="13">
        <f>'[1]V, inciso o) (OP)'!V71</f>
        <v>42607</v>
      </c>
      <c r="F152" s="14" t="str">
        <f>'[1]V, inciso o) (OP)'!AA71</f>
        <v>Construcción de muro, banquetas, instalación de malla ciclón en el Panteón municipal ubicado en Atemajac, municipio de Zapopan, Jalisco</v>
      </c>
      <c r="G152" s="14" t="s">
        <v>111</v>
      </c>
      <c r="H152" s="15">
        <f>'[1]V, inciso o) (OP)'!Y71</f>
        <v>1485649.36</v>
      </c>
      <c r="I152" s="14" t="s">
        <v>497</v>
      </c>
      <c r="J152" s="12" t="str">
        <f>'[1]V, inciso o) (OP)'!M71</f>
        <v>Víctor Eduardo</v>
      </c>
      <c r="K152" s="12" t="str">
        <f>'[1]V, inciso o) (OP)'!N71</f>
        <v>López</v>
      </c>
      <c r="L152" s="12" t="str">
        <f>'[1]V, inciso o) (OP)'!O71</f>
        <v>Carpio</v>
      </c>
      <c r="M152" s="14" t="str">
        <f>'[1]V, inciso o) (OP)'!P71</f>
        <v>CCR Ingenieros, S.A. de C.V.</v>
      </c>
      <c r="N152" s="12" t="str">
        <f>'[1]V, inciso o) (OP)'!Q71</f>
        <v>CIN101029PR5</v>
      </c>
      <c r="O152" s="15">
        <f>'[1]V, inciso o) (OP)'!Y71</f>
        <v>1485649.36</v>
      </c>
      <c r="P152" s="15">
        <v>1276045.8500000001</v>
      </c>
      <c r="Q152" s="12" t="s">
        <v>498</v>
      </c>
      <c r="R152" s="15">
        <f>O152/244</f>
        <v>6088.7268852459019</v>
      </c>
      <c r="S152" s="12" t="s">
        <v>42</v>
      </c>
      <c r="T152" s="17">
        <v>194745</v>
      </c>
      <c r="U152" s="14" t="s">
        <v>43</v>
      </c>
      <c r="V152" s="12" t="s">
        <v>44</v>
      </c>
      <c r="W152" s="13">
        <f>'[1]V, inciso o) (OP)'!AD71</f>
        <v>42611</v>
      </c>
      <c r="X152" s="13">
        <f>'[1]V, inciso o) (OP)'!AE71</f>
        <v>42670</v>
      </c>
      <c r="Y152" s="12" t="s">
        <v>336</v>
      </c>
      <c r="Z152" s="12" t="s">
        <v>315</v>
      </c>
      <c r="AA152" s="12" t="s">
        <v>134</v>
      </c>
      <c r="AB152" s="14" t="s">
        <v>1636</v>
      </c>
      <c r="AC152" s="18"/>
      <c r="AD152" s="14"/>
    </row>
    <row r="153" spans="1:30" ht="80.099999999999994" customHeight="1">
      <c r="A153" s="5">
        <v>140</v>
      </c>
      <c r="B153" s="12">
        <v>2016</v>
      </c>
      <c r="C153" s="14" t="s">
        <v>31</v>
      </c>
      <c r="D153" s="14" t="str">
        <f>'[1]V, inciso p) (OP)'!D88</f>
        <v>DOPI-MUN-CISZ-RM-LP-140-2016</v>
      </c>
      <c r="E153" s="13">
        <f>'[1]V, inciso p) (OP)'!AD88</f>
        <v>42956</v>
      </c>
      <c r="F153" s="14" t="str">
        <f>'[1]V, inciso p) (OP)'!I88</f>
        <v>Estudios, proyecto ejecutivo, construcción, equipamiento del Centro Integral de Servicios del Municipio de Zapopan.</v>
      </c>
      <c r="G153" s="14" t="s">
        <v>499</v>
      </c>
      <c r="H153" s="15">
        <f>'[1]V, inciso p) (OP)'!AG88</f>
        <v>531279657.50999999</v>
      </c>
      <c r="I153" s="14" t="str">
        <f>'[1]V, inciso p) (OP)'!AS88</f>
        <v>Colonia Tepeyac</v>
      </c>
      <c r="J153" s="14" t="s">
        <v>500</v>
      </c>
      <c r="K153" s="14" t="s">
        <v>501</v>
      </c>
      <c r="L153" s="14" t="s">
        <v>502</v>
      </c>
      <c r="M153" s="14" t="str">
        <f>'[1]V, inciso p) (OP)'!W88</f>
        <v>Constructora San Sebastián, S.A. de C.V. en asociación en participación  con Desarrolladores Verde Vallarta, S.A. de C.V.</v>
      </c>
      <c r="N153" s="14" t="s">
        <v>503</v>
      </c>
      <c r="O153" s="15">
        <f t="shared" ref="O153:O171" si="5">H153</f>
        <v>531279657.50999999</v>
      </c>
      <c r="P153" s="15">
        <f>O153</f>
        <v>531279657.50999999</v>
      </c>
      <c r="Q153" s="12" t="s">
        <v>504</v>
      </c>
      <c r="R153" s="15">
        <f>O153/19257</f>
        <v>27588.910916030534</v>
      </c>
      <c r="S153" s="12" t="s">
        <v>42</v>
      </c>
      <c r="T153" s="17">
        <v>1332272</v>
      </c>
      <c r="U153" s="14" t="s">
        <v>43</v>
      </c>
      <c r="V153" s="12" t="s">
        <v>378</v>
      </c>
      <c r="W153" s="13">
        <f>'[1]V, inciso p) (OP)'!AM88</f>
        <v>42957</v>
      </c>
      <c r="X153" s="13">
        <f>'[1]V, inciso p) (OP)'!AN88</f>
        <v>43326</v>
      </c>
      <c r="Y153" s="12" t="s">
        <v>505</v>
      </c>
      <c r="Z153" s="12" t="s">
        <v>506</v>
      </c>
      <c r="AA153" s="12" t="s">
        <v>375</v>
      </c>
      <c r="AB153" s="14" t="s">
        <v>48</v>
      </c>
      <c r="AC153" s="14" t="s">
        <v>48</v>
      </c>
      <c r="AD153" s="14" t="s">
        <v>1571</v>
      </c>
    </row>
    <row r="154" spans="1:30" ht="80.099999999999994" customHeight="1">
      <c r="A154" s="5">
        <v>141</v>
      </c>
      <c r="B154" s="12">
        <v>2016</v>
      </c>
      <c r="C154" s="14" t="str">
        <f>'[1]V, inciso p) (OP)'!B89</f>
        <v>Licitación por Invitación Restringida</v>
      </c>
      <c r="D154" s="14" t="str">
        <f>'[1]V, inciso p) (OP)'!D89</f>
        <v>DOPI-MUN-CRM-AP-CI-141-2016</v>
      </c>
      <c r="E154" s="13">
        <f>'[1]V, inciso p) (OP)'!AD89</f>
        <v>42685</v>
      </c>
      <c r="F154" s="14" t="str">
        <f>'[1]V, inciso p) (OP)'!I89</f>
        <v>Construcción de linea de conducción de agua potable desde el pozo de La Soledad de Nextipac a la Colonia Fuentesillas, en la localidad de Nextipac; Construccuón de red de drenaje y descargas sanitarias en la Colonia Vinatera, municipio de Zapopan, Jalisco.</v>
      </c>
      <c r="G154" s="14" t="s">
        <v>111</v>
      </c>
      <c r="H154" s="15">
        <f>'[1]V, inciso p) (OP)'!AG89</f>
        <v>5289583.63</v>
      </c>
      <c r="I154" s="14" t="str">
        <f>'[1]V, inciso p) (OP)'!AS89</f>
        <v>Localidad de Nextipac</v>
      </c>
      <c r="J154" s="12" t="str">
        <f>'[1]V, inciso p) (OP)'!T89</f>
        <v>Claudio Felipe</v>
      </c>
      <c r="K154" s="12" t="str">
        <f>'[1]V, inciso p) (OP)'!U89</f>
        <v>Trujillo</v>
      </c>
      <c r="L154" s="12" t="str">
        <f>'[1]V, inciso p) (OP)'!V89</f>
        <v>Gracián</v>
      </c>
      <c r="M154" s="14" t="str">
        <f>'[1]V, inciso p) (OP)'!W89</f>
        <v>Desarrolladora Lumadi, S.A. de C.V.</v>
      </c>
      <c r="N154" s="12" t="str">
        <f>'[1]V, inciso p) (OP)'!X89</f>
        <v>DLU100818F46</v>
      </c>
      <c r="O154" s="15">
        <f t="shared" si="5"/>
        <v>5289583.63</v>
      </c>
      <c r="P154" s="12" t="s">
        <v>48</v>
      </c>
      <c r="Q154" s="12" t="s">
        <v>507</v>
      </c>
      <c r="R154" s="15">
        <f>O154/3891</f>
        <v>1359.4406656386532</v>
      </c>
      <c r="S154" s="12" t="s">
        <v>42</v>
      </c>
      <c r="T154" s="17">
        <v>1482</v>
      </c>
      <c r="U154" s="14" t="s">
        <v>43</v>
      </c>
      <c r="V154" s="12" t="s">
        <v>44</v>
      </c>
      <c r="W154" s="13">
        <f>'[1]V, inciso p) (OP)'!AM89</f>
        <v>42688</v>
      </c>
      <c r="X154" s="13">
        <f>'[1]V, inciso p) (OP)'!AN89</f>
        <v>42728</v>
      </c>
      <c r="Y154" s="12" t="s">
        <v>336</v>
      </c>
      <c r="Z154" s="12" t="s">
        <v>337</v>
      </c>
      <c r="AA154" s="12" t="s">
        <v>120</v>
      </c>
      <c r="AB154" s="18" t="s">
        <v>1890</v>
      </c>
      <c r="AC154" s="14" t="s">
        <v>48</v>
      </c>
      <c r="AD154" s="14"/>
    </row>
    <row r="155" spans="1:30" ht="80.099999999999994" customHeight="1">
      <c r="A155" s="5">
        <v>142</v>
      </c>
      <c r="B155" s="12">
        <v>2016</v>
      </c>
      <c r="C155" s="14" t="str">
        <f>'[1]V, inciso p) (OP)'!B90</f>
        <v>Licitación por Invitación Restringida</v>
      </c>
      <c r="D155" s="14" t="str">
        <f>'[1]V, inciso p) (OP)'!D90</f>
        <v>DOPI-MUN-CRM-AP-CI-142-2016</v>
      </c>
      <c r="E155" s="13">
        <f>'[1]V, inciso p) (OP)'!AD90</f>
        <v>42685</v>
      </c>
      <c r="F155" s="14" t="str">
        <f>'[1]V, inciso p) (OP)'!I90</f>
        <v>Perforación y Equipamiento de pozo profundo en la localidad de Milpillas Mesa de San Juan, municipio de Zapopan, Jalisco</v>
      </c>
      <c r="G155" s="14" t="s">
        <v>111</v>
      </c>
      <c r="H155" s="15">
        <f>'[1]V, inciso p) (OP)'!AG90</f>
        <v>5113699.54</v>
      </c>
      <c r="I155" s="14" t="str">
        <f>'[1]V, inciso p) (OP)'!AS90</f>
        <v>Localidad Milpillas</v>
      </c>
      <c r="J155" s="12" t="str">
        <f>'[1]V, inciso p) (OP)'!T90</f>
        <v>Víctor Saul</v>
      </c>
      <c r="K155" s="12" t="str">
        <f>'[1]V, inciso p) (OP)'!U90</f>
        <v>Ramos</v>
      </c>
      <c r="L155" s="12" t="str">
        <f>'[1]V, inciso p) (OP)'!V90</f>
        <v>Morales</v>
      </c>
      <c r="M155" s="14" t="str">
        <f>'[1]V, inciso p) (OP)'!W90</f>
        <v>Ramper Drilling, S.A. de C.V.</v>
      </c>
      <c r="N155" s="12" t="str">
        <f>'[1]V, inciso p) (OP)'!X90</f>
        <v>RDR100922131</v>
      </c>
      <c r="O155" s="15">
        <f t="shared" si="5"/>
        <v>5113699.54</v>
      </c>
      <c r="P155" s="15">
        <f>O155</f>
        <v>5113699.54</v>
      </c>
      <c r="Q155" s="12" t="s">
        <v>508</v>
      </c>
      <c r="R155" s="15">
        <f>O155/1</f>
        <v>5113699.54</v>
      </c>
      <c r="S155" s="12" t="s">
        <v>42</v>
      </c>
      <c r="T155" s="17">
        <v>105</v>
      </c>
      <c r="U155" s="14" t="s">
        <v>43</v>
      </c>
      <c r="V155" s="12" t="s">
        <v>378</v>
      </c>
      <c r="W155" s="13">
        <f>'[1]V, inciso p) (OP)'!AM90</f>
        <v>42688</v>
      </c>
      <c r="X155" s="13">
        <f>'[1]V, inciso p) (OP)'!AN90</f>
        <v>42759</v>
      </c>
      <c r="Y155" s="12" t="s">
        <v>492</v>
      </c>
      <c r="Z155" s="12" t="s">
        <v>493</v>
      </c>
      <c r="AA155" s="12" t="s">
        <v>97</v>
      </c>
      <c r="AB155" s="12"/>
      <c r="AC155" s="14" t="s">
        <v>48</v>
      </c>
      <c r="AD155" s="14" t="s">
        <v>1571</v>
      </c>
    </row>
    <row r="156" spans="1:30" ht="80.099999999999994" customHeight="1">
      <c r="A156" s="5">
        <v>143</v>
      </c>
      <c r="B156" s="12">
        <v>2016</v>
      </c>
      <c r="C156" s="14" t="str">
        <f>'[1]V, inciso p) (OP)'!B91</f>
        <v>Licitación por Invitación Restringida</v>
      </c>
      <c r="D156" s="14" t="str">
        <f>'[1]V, inciso p) (OP)'!D91</f>
        <v>DOPI-MUN-CRM-AP-CI-143-2016</v>
      </c>
      <c r="E156" s="13">
        <f>'[1]V, inciso p) (OP)'!AD91</f>
        <v>42685</v>
      </c>
      <c r="F156" s="14" t="str">
        <f>'[1]V, inciso p) (OP)'!I91</f>
        <v>Perforación y equipamiento de pozo profundo en la localidad de Cerca Morada, municipio de Zapopan, Jalisco.</v>
      </c>
      <c r="G156" s="14" t="s">
        <v>111</v>
      </c>
      <c r="H156" s="15">
        <f>'[1]V, inciso p) (OP)'!AG91</f>
        <v>4937334.7300000004</v>
      </c>
      <c r="I156" s="14" t="str">
        <f>'[1]V, inciso p) (OP)'!AS91</f>
        <v>Localidad Cerca Morada</v>
      </c>
      <c r="J156" s="12" t="str">
        <f>'[1]V, inciso p) (OP)'!T91</f>
        <v>Antonio José Rodolfo</v>
      </c>
      <c r="K156" s="12" t="str">
        <f>'[1]V, inciso p) (OP)'!U91</f>
        <v>Corcuera</v>
      </c>
      <c r="L156" s="12" t="str">
        <f>'[1]V, inciso p) (OP)'!V91</f>
        <v>Garza Madero</v>
      </c>
      <c r="M156" s="14" t="str">
        <f>'[1]V, inciso p) (OP)'!W91</f>
        <v>Alcor de Occidente, S.A. de C.V.</v>
      </c>
      <c r="N156" s="12" t="str">
        <f>'[1]V, inciso p) (OP)'!X91</f>
        <v>AOC830810TG9</v>
      </c>
      <c r="O156" s="15">
        <f t="shared" si="5"/>
        <v>4937334.7300000004</v>
      </c>
      <c r="P156" s="15">
        <v>1592618.6400000001</v>
      </c>
      <c r="Q156" s="12" t="s">
        <v>508</v>
      </c>
      <c r="R156" s="15">
        <f>O156</f>
        <v>4937334.7300000004</v>
      </c>
      <c r="S156" s="12" t="s">
        <v>42</v>
      </c>
      <c r="T156" s="17">
        <v>96</v>
      </c>
      <c r="U156" s="14" t="s">
        <v>43</v>
      </c>
      <c r="V156" s="12" t="s">
        <v>44</v>
      </c>
      <c r="W156" s="13">
        <f>'[1]V, inciso p) (OP)'!AM91</f>
        <v>42688</v>
      </c>
      <c r="X156" s="13">
        <f>'[1]V, inciso p) (OP)'!AN91</f>
        <v>42759</v>
      </c>
      <c r="Y156" s="12" t="s">
        <v>336</v>
      </c>
      <c r="Z156" s="12" t="s">
        <v>337</v>
      </c>
      <c r="AA156" s="12" t="s">
        <v>120</v>
      </c>
      <c r="AB156" s="18" t="s">
        <v>1891</v>
      </c>
      <c r="AC156" s="14" t="s">
        <v>48</v>
      </c>
      <c r="AD156" s="14"/>
    </row>
    <row r="157" spans="1:30" ht="80.099999999999994" customHeight="1">
      <c r="A157" s="5">
        <v>144</v>
      </c>
      <c r="B157" s="12">
        <v>2016</v>
      </c>
      <c r="C157" s="14" t="str">
        <f>'[1]V, inciso p) (OP)'!B92</f>
        <v>Licitación por Invitación Restringida</v>
      </c>
      <c r="D157" s="14" t="str">
        <f>'[1]V, inciso p) (OP)'!D92</f>
        <v>DOPI-MUN-RM-IS-CI-144-2016</v>
      </c>
      <c r="E157" s="13">
        <f>'[1]V, inciso p) (OP)'!AD92</f>
        <v>42685</v>
      </c>
      <c r="F157" s="14" t="str">
        <f>'[1]V, inciso p) (OP)'!I92</f>
        <v>Rehabilitación del área de consultorios, urgencias,mortuario y acabados en general en la Cruz Verde Sur Las Aguilas, ubicada en Av. López Mateos y calle Cruz del Sur en la Colonia Las Aguilas, municipio de Zapopan, Jalisco.</v>
      </c>
      <c r="G157" s="14" t="s">
        <v>111</v>
      </c>
      <c r="H157" s="15">
        <f>'[1]V, inciso p) (OP)'!AG92</f>
        <v>3504992.46</v>
      </c>
      <c r="I157" s="14" t="str">
        <f>'[1]V, inciso p) (OP)'!AS92</f>
        <v>Colonia Las Aguilas</v>
      </c>
      <c r="J157" s="12" t="str">
        <f>'[1]V, inciso p) (OP)'!T92</f>
        <v>Marco Antonio</v>
      </c>
      <c r="K157" s="12" t="str">
        <f>'[1]V, inciso p) (OP)'!U92</f>
        <v>Cortés</v>
      </c>
      <c r="L157" s="12" t="str">
        <f>'[1]V, inciso p) (OP)'!V92</f>
        <v>González</v>
      </c>
      <c r="M157" s="14" t="str">
        <f>'[1]V, inciso p) (OP)'!W92</f>
        <v>Grupo Taube de México, S.A. de C.V.</v>
      </c>
      <c r="N157" s="12" t="str">
        <f>'[1]V, inciso p) (OP)'!X92</f>
        <v>GTM050418384</v>
      </c>
      <c r="O157" s="15">
        <f t="shared" si="5"/>
        <v>3504992.46</v>
      </c>
      <c r="P157" s="12" t="s">
        <v>48</v>
      </c>
      <c r="Q157" s="12" t="s">
        <v>509</v>
      </c>
      <c r="R157" s="15">
        <f>O157/382</f>
        <v>9175.3729319371723</v>
      </c>
      <c r="S157" s="12" t="s">
        <v>42</v>
      </c>
      <c r="T157" s="17">
        <v>280500</v>
      </c>
      <c r="U157" s="14" t="s">
        <v>43</v>
      </c>
      <c r="V157" s="12" t="s">
        <v>44</v>
      </c>
      <c r="W157" s="13">
        <f>'[1]V, inciso p) (OP)'!AM92</f>
        <v>42688</v>
      </c>
      <c r="X157" s="13">
        <f>'[1]V, inciso p) (OP)'!AN92</f>
        <v>42728</v>
      </c>
      <c r="Y157" s="12" t="s">
        <v>510</v>
      </c>
      <c r="Z157" s="12" t="s">
        <v>511</v>
      </c>
      <c r="AA157" s="12" t="s">
        <v>512</v>
      </c>
      <c r="AB157" s="14" t="s">
        <v>48</v>
      </c>
      <c r="AC157" s="14" t="s">
        <v>48</v>
      </c>
      <c r="AD157" s="14"/>
    </row>
    <row r="158" spans="1:30" ht="80.099999999999994" customHeight="1">
      <c r="A158" s="5">
        <v>145</v>
      </c>
      <c r="B158" s="12">
        <v>2016</v>
      </c>
      <c r="C158" s="14" t="str">
        <f>'[1]V, inciso p) (OP)'!B93</f>
        <v>Licitación por Invitación Restringida</v>
      </c>
      <c r="D158" s="14" t="str">
        <f>'[1]V, inciso p) (OP)'!D93</f>
        <v>DOPI-MUN-RM-AP-CI-145-2016</v>
      </c>
      <c r="E158" s="13">
        <f>'[1]V, inciso p) (OP)'!AD93</f>
        <v>42685</v>
      </c>
      <c r="F158" s="14" t="str">
        <f>'[1]V, inciso p) (OP)'!I93</f>
        <v>Sustitución de red de agua potable, drenaje sanitario y adecuaciones pluviales en la Avenida Juan Manuel Ruvalcaba en el tramo de la calle Río Amazonas y Pedro Moreno, localidad de Santa Lucia, municipio de Zapopan, Jalisco.</v>
      </c>
      <c r="G158" s="14" t="s">
        <v>111</v>
      </c>
      <c r="H158" s="15">
        <f>'[1]V, inciso p) (OP)'!AG93</f>
        <v>5120884.03</v>
      </c>
      <c r="I158" s="14" t="str">
        <f>'[1]V, inciso p) (OP)'!AS93</f>
        <v>Localidad de Santa Lucia</v>
      </c>
      <c r="J158" s="12" t="str">
        <f>'[1]V, inciso p) (OP)'!T93</f>
        <v>Mario</v>
      </c>
      <c r="K158" s="12" t="str">
        <f>'[1]V, inciso p) (OP)'!U93</f>
        <v>Beltrán</v>
      </c>
      <c r="L158" s="12" t="str">
        <f>'[1]V, inciso p) (OP)'!V93</f>
        <v>Rodríguez</v>
      </c>
      <c r="M158" s="14" t="str">
        <f>'[1]V, inciso p) (OP)'!W93</f>
        <v xml:space="preserve">Constructora y Desarrolladora Barba y Asociados, S. A. de C. V. </v>
      </c>
      <c r="N158" s="12" t="str">
        <f>'[1]V, inciso p) (OP)'!X93</f>
        <v>CDB0506068Z4</v>
      </c>
      <c r="O158" s="15">
        <f t="shared" si="5"/>
        <v>5120884.03</v>
      </c>
      <c r="P158" s="15">
        <v>5120849.7700000005</v>
      </c>
      <c r="Q158" s="12" t="s">
        <v>513</v>
      </c>
      <c r="R158" s="15">
        <f>O158/1988</f>
        <v>2575.8973993963782</v>
      </c>
      <c r="S158" s="12" t="s">
        <v>42</v>
      </c>
      <c r="T158" s="17">
        <v>320</v>
      </c>
      <c r="U158" s="14" t="s">
        <v>43</v>
      </c>
      <c r="V158" s="12" t="s">
        <v>44</v>
      </c>
      <c r="W158" s="13">
        <f>'[1]V, inciso p) (OP)'!AM93</f>
        <v>42688</v>
      </c>
      <c r="X158" s="13">
        <f>'[1]V, inciso p) (OP)'!AN93</f>
        <v>42728</v>
      </c>
      <c r="Y158" s="12" t="s">
        <v>336</v>
      </c>
      <c r="Z158" s="12" t="s">
        <v>337</v>
      </c>
      <c r="AA158" s="12" t="s">
        <v>120</v>
      </c>
      <c r="AB158" s="18" t="s">
        <v>1892</v>
      </c>
      <c r="AC158" s="14" t="s">
        <v>48</v>
      </c>
      <c r="AD158" s="14"/>
    </row>
    <row r="159" spans="1:30" ht="80.099999999999994" customHeight="1">
      <c r="A159" s="5">
        <v>146</v>
      </c>
      <c r="B159" s="12">
        <v>2016</v>
      </c>
      <c r="C159" s="14" t="str">
        <f>'[1]V, inciso p) (OP)'!B94</f>
        <v>Licitación por Invitación Restringida</v>
      </c>
      <c r="D159" s="14" t="str">
        <f>'[1]V, inciso p) (OP)'!D94</f>
        <v>DOPI-MUN-RM-IE-CI-146-2016</v>
      </c>
      <c r="E159" s="13">
        <f>'[1]V, inciso p) (OP)'!AD94</f>
        <v>42685</v>
      </c>
      <c r="F159" s="14" t="str">
        <f>'[1]V, inciso p) (OP)'!I94</f>
        <v>Suministro y colocación de estructuras de protección de rayos ultravioleta en los planteles educativos: Plaza Comunitaria Ineejad matricula 200, colonia Centro; Centro de Atención Especial matricula 181, colonia El Vigia; Escuela Primaria Justo Sierra matricula 1115, localidad de Santa Anta Tepetitlán; Escuela Primaria Sor Juana Inés de la Cruz y José Vasconcelos matricula 1026, colonia Jardines del Valle; Escuela Primaria José Amador Pelayo y Miguel Hidalgo y Costilla matricula 985, colonia Lomas de Tabachines; Escuela Primaria Urbana Juan Escutia 1130 y Agustín Yañez matricula 916, colonia Paraísos del Colli; Escuela Primaria Vicente Guerrero matricula 854, colonia Vicente Guerrero, municipio de Zapopan, Jalisco.</v>
      </c>
      <c r="G159" s="14" t="s">
        <v>111</v>
      </c>
      <c r="H159" s="15">
        <f>'[1]V, inciso p) (OP)'!AG94</f>
        <v>4839304.3099999996</v>
      </c>
      <c r="I159" s="14" t="str">
        <f>'[1]V, inciso p) (OP)'!AS94</f>
        <v>Colonia Centro, El Vigia, Santa Ana Tepetitlán, Jardines del Valle, Lomas de Tabachines, Paraisos del Colli y Vicente Guerrero</v>
      </c>
      <c r="J159" s="12" t="str">
        <f>'[1]V, inciso p) (OP)'!T94</f>
        <v>Gustavo</v>
      </c>
      <c r="K159" s="12" t="str">
        <f>'[1]V, inciso p) (OP)'!U94</f>
        <v>Durán</v>
      </c>
      <c r="L159" s="12" t="str">
        <f>'[1]V, inciso p) (OP)'!V94</f>
        <v>Jiménez</v>
      </c>
      <c r="M159" s="14" t="str">
        <f>'[1]V, inciso p) (OP)'!W94</f>
        <v>Durán Jiménez Arquitectos y Asociados, S.A. de C.V.</v>
      </c>
      <c r="N159" s="12" t="str">
        <f>'[1]V, inciso p) (OP)'!X94</f>
        <v>DJA9405184G7</v>
      </c>
      <c r="O159" s="15">
        <f t="shared" si="5"/>
        <v>4839304.3099999996</v>
      </c>
      <c r="P159" s="15">
        <v>4641851.04</v>
      </c>
      <c r="Q159" s="12" t="s">
        <v>514</v>
      </c>
      <c r="R159" s="15">
        <f>O159/3597</f>
        <v>1345.3723408395883</v>
      </c>
      <c r="S159" s="12" t="s">
        <v>42</v>
      </c>
      <c r="T159" s="17">
        <v>965</v>
      </c>
      <c r="U159" s="14" t="s">
        <v>43</v>
      </c>
      <c r="V159" s="12" t="s">
        <v>44</v>
      </c>
      <c r="W159" s="13">
        <f>'[1]V, inciso p) (OP)'!AM94</f>
        <v>42688</v>
      </c>
      <c r="X159" s="13">
        <f>'[1]V, inciso p) (OP)'!AN94</f>
        <v>42728</v>
      </c>
      <c r="Y159" s="12" t="s">
        <v>436</v>
      </c>
      <c r="Z159" s="12" t="s">
        <v>295</v>
      </c>
      <c r="AA159" s="12" t="s">
        <v>76</v>
      </c>
      <c r="AB159" s="18" t="s">
        <v>1708</v>
      </c>
      <c r="AC159" s="14" t="s">
        <v>48</v>
      </c>
      <c r="AD159" s="14"/>
    </row>
    <row r="160" spans="1:30" ht="80.099999999999994" customHeight="1">
      <c r="A160" s="5">
        <v>147</v>
      </c>
      <c r="B160" s="12">
        <v>2016</v>
      </c>
      <c r="C160" s="14" t="str">
        <f>'[1]V, inciso p) (OP)'!B95</f>
        <v>Licitación por Invitación Restringida</v>
      </c>
      <c r="D160" s="14" t="str">
        <f>'[1]V, inciso p) (OP)'!D95</f>
        <v>DOPI-MUN-RM-AP-CI-147-2016</v>
      </c>
      <c r="E160" s="13">
        <f>'[1]V, inciso p) (OP)'!AD95</f>
        <v>42685</v>
      </c>
      <c r="F160" s="14" t="str">
        <f>'[1]V, inciso p) (OP)'!I95</f>
        <v>Perforación y equipamiento de pozo en el ejido de Copalita.</v>
      </c>
      <c r="G160" s="14" t="s">
        <v>111</v>
      </c>
      <c r="H160" s="15">
        <f>'[1]V, inciso p) (OP)'!AG95</f>
        <v>5204600.13</v>
      </c>
      <c r="I160" s="14" t="str">
        <f>'[1]V, inciso p) (OP)'!AS95</f>
        <v>Ejido Copalita</v>
      </c>
      <c r="J160" s="12" t="str">
        <f>'[1]V, inciso p) (OP)'!T95</f>
        <v>Karla Mariana</v>
      </c>
      <c r="K160" s="12" t="str">
        <f>'[1]V, inciso p) (OP)'!U95</f>
        <v>Méndez</v>
      </c>
      <c r="L160" s="12" t="str">
        <f>'[1]V, inciso p) (OP)'!V95</f>
        <v>Rodríguez</v>
      </c>
      <c r="M160" s="14" t="str">
        <f>'[1]V, inciso p) (OP)'!W95</f>
        <v>Grupo la Fuente, S.A. de C.V.</v>
      </c>
      <c r="N160" s="12" t="str">
        <f>'[1]V, inciso p) (OP)'!X95</f>
        <v>GFU021009BC1</v>
      </c>
      <c r="O160" s="15">
        <f t="shared" si="5"/>
        <v>5204600.13</v>
      </c>
      <c r="P160" s="15">
        <v>5195941.87</v>
      </c>
      <c r="Q160" s="12" t="s">
        <v>515</v>
      </c>
      <c r="R160" s="15">
        <f>O160/300</f>
        <v>17348.667099999999</v>
      </c>
      <c r="S160" s="12" t="s">
        <v>42</v>
      </c>
      <c r="T160" s="17">
        <v>88</v>
      </c>
      <c r="U160" s="14" t="s">
        <v>43</v>
      </c>
      <c r="V160" s="12" t="s">
        <v>44</v>
      </c>
      <c r="W160" s="13">
        <f>'[1]V, inciso p) (OP)'!AM95</f>
        <v>42688</v>
      </c>
      <c r="X160" s="13">
        <f>'[1]V, inciso p) (OP)'!AN95</f>
        <v>42759</v>
      </c>
      <c r="Y160" s="12" t="s">
        <v>492</v>
      </c>
      <c r="Z160" s="12" t="s">
        <v>493</v>
      </c>
      <c r="AA160" s="12" t="s">
        <v>97</v>
      </c>
      <c r="AB160" s="18" t="s">
        <v>1709</v>
      </c>
      <c r="AC160" s="14" t="s">
        <v>48</v>
      </c>
      <c r="AD160" s="14"/>
    </row>
    <row r="161" spans="1:30" ht="80.099999999999994" customHeight="1">
      <c r="A161" s="5">
        <v>148</v>
      </c>
      <c r="B161" s="12">
        <v>2016</v>
      </c>
      <c r="C161" s="14" t="str">
        <f>'[1]V, inciso p) (OP)'!B96</f>
        <v>Licitación por Invitación Restringida</v>
      </c>
      <c r="D161" s="14" t="str">
        <f>'[1]V, inciso p) (OP)'!D96</f>
        <v>DOPI-MUN-R33-ELE-CI-148-2016</v>
      </c>
      <c r="E161" s="13">
        <f>'[1]V, inciso p) (OP)'!AD96</f>
        <v>42685</v>
      </c>
      <c r="F161" s="14" t="str">
        <f>'[1]V, inciso p) (OP)'!I96</f>
        <v>Primera etapa de alumbrado público en las calles Jardines del Vergel poniente y oriente, Jardines de los Olmos, Jardines de los Álamos, Jardines de los Cerezos, Jardines de las Magnolias, Jardines del Oyamel, Jardines de los Nísperos, Jardines de los Capulines, Jardines de los Tamarindos, Jardines de los Manzanos, Jardines del Jardines de las Parras, Jardines de los Ciruelos, Jardines de los Membrillos, Jardines de los Naranjos, Jardines de los Ébanos Oriente y Poniente, Jardines de los Robles Oriente y Poniente, Av. Del Vergel Poniente, Jardines de los Cerezos, Jardines de las Higueras, Jardines de las Caobas, Jardines del Oyamel, Jardines de la Rosa Morada, Jardines de los Abetos, Jardines de los Nogales, en la colonia Jardines del Vergel I sección; Primera etapa de alumbrado público en las calles Eucalipto, Ciprés, Aztecas. Daniel Duarte, Humberto Chavira, Las Torres, J. Carlos Rivera Aceves, José Bañuelos Guardado, en la colonia Lomas del Centinela, municipio de Zapopan, Jalisco.</v>
      </c>
      <c r="G161" s="14" t="s">
        <v>516</v>
      </c>
      <c r="H161" s="15">
        <f>'[1]V, inciso p) (OP)'!AG96</f>
        <v>4251366.43</v>
      </c>
      <c r="I161" s="14" t="str">
        <f>'[1]V, inciso p) (OP)'!AS96</f>
        <v>Varias colonias del Municipio</v>
      </c>
      <c r="J161" s="12" t="str">
        <f>'[1]V, inciso p) (OP)'!T96</f>
        <v>Héctor Alejandro</v>
      </c>
      <c r="K161" s="12" t="str">
        <f>'[1]V, inciso p) (OP)'!U96</f>
        <v>Ortega</v>
      </c>
      <c r="L161" s="12" t="str">
        <f>'[1]V, inciso p) (OP)'!V96</f>
        <v>Rosales</v>
      </c>
      <c r="M161" s="14" t="str">
        <f>'[1]V, inciso p) (OP)'!W96</f>
        <v xml:space="preserve">IME Servicios y Suministros, S. A. de C. V. </v>
      </c>
      <c r="N161" s="12" t="str">
        <f>'[1]V, inciso p) (OP)'!X96</f>
        <v>ISS920330811</v>
      </c>
      <c r="O161" s="15">
        <f t="shared" si="5"/>
        <v>4251366.43</v>
      </c>
      <c r="P161" s="15">
        <v>4250125.4000000004</v>
      </c>
      <c r="Q161" s="12" t="s">
        <v>517</v>
      </c>
      <c r="R161" s="15">
        <f>O161/1150</f>
        <v>3696.8403739130431</v>
      </c>
      <c r="S161" s="12" t="s">
        <v>42</v>
      </c>
      <c r="T161" s="17">
        <v>906</v>
      </c>
      <c r="U161" s="14" t="s">
        <v>43</v>
      </c>
      <c r="V161" s="12" t="s">
        <v>44</v>
      </c>
      <c r="W161" s="13">
        <f>'[1]V, inciso p) (OP)'!AM96</f>
        <v>42688</v>
      </c>
      <c r="X161" s="13">
        <f>'[1]V, inciso p) (OP)'!AN96</f>
        <v>42728</v>
      </c>
      <c r="Y161" s="12" t="s">
        <v>408</v>
      </c>
      <c r="Z161" s="12" t="s">
        <v>301</v>
      </c>
      <c r="AA161" s="12" t="s">
        <v>518</v>
      </c>
      <c r="AB161" s="18" t="s">
        <v>1710</v>
      </c>
      <c r="AC161" s="14" t="s">
        <v>48</v>
      </c>
      <c r="AD161" s="14"/>
    </row>
    <row r="162" spans="1:30" ht="80.099999999999994" customHeight="1">
      <c r="A162" s="5">
        <v>149</v>
      </c>
      <c r="B162" s="12">
        <v>2016</v>
      </c>
      <c r="C162" s="14" t="str">
        <f>'[1]V, inciso p) (OP)'!B97</f>
        <v>Licitación por Invitación Restringida</v>
      </c>
      <c r="D162" s="14" t="str">
        <f>'[1]V, inciso p) (OP)'!D97</f>
        <v>DOPI-MUN-R33-AP-CI-149-2016</v>
      </c>
      <c r="E162" s="13">
        <f>'[1]V, inciso p) (OP)'!AD97</f>
        <v>42727</v>
      </c>
      <c r="F162" s="14" t="str">
        <f>'[1]V, inciso p) (OP)'!I97</f>
        <v>Construcción de línea de agua potable y drenaje sanitario en la calle Jícama, de calle Limón a cerrada, calle Carlos Herrera Jasso, de calle Limón a calle Jícama, Privada Mango, de calle Carlos Herrera Jasso a cerrada y Privada Fresa, de calle Carlos Herrera Jasso a cerrada, en la colonia Mesa Colorada Oriente; y Construcción de línea de drenaje sanitario en la calle Paseo de los Ahuehuetes, de calle Paseo de Los Almendros a calle de Paseo de los Guayabos y calle Paseo de los Guayabos, de calle Colorines a calle Paseo de los Ahuehuetes, en la colonia Mesa de Los Ocotes, en el municipio de Zapopan, Jalisco.</v>
      </c>
      <c r="G162" s="14" t="s">
        <v>516</v>
      </c>
      <c r="H162" s="15">
        <f>'[1]V, inciso p) (OP)'!AG97</f>
        <v>4456704.66</v>
      </c>
      <c r="I162" s="14" t="str">
        <f>'[1]V, inciso p) (OP)'!AS97</f>
        <v>Colonia Mesa Colorada Oriente y colonia Mesa de los Ocotes</v>
      </c>
      <c r="J162" s="12" t="str">
        <f>'[1]V, inciso p) (OP)'!T97</f>
        <v>Eduardo</v>
      </c>
      <c r="K162" s="12" t="str">
        <f>'[1]V, inciso p) (OP)'!U97</f>
        <v>Romero</v>
      </c>
      <c r="L162" s="12" t="str">
        <f>'[1]V, inciso p) (OP)'!V97</f>
        <v>Lugo</v>
      </c>
      <c r="M162" s="14" t="str">
        <f>'[1]V, inciso p) (OP)'!W97</f>
        <v>RS Obras y Servicios, S.A. de C.V.</v>
      </c>
      <c r="N162" s="12" t="str">
        <f>'[1]V, inciso p) (OP)'!X97</f>
        <v>ROS120904PV9</v>
      </c>
      <c r="O162" s="15">
        <f t="shared" si="5"/>
        <v>4456704.66</v>
      </c>
      <c r="P162" s="15">
        <v>4266610.16</v>
      </c>
      <c r="Q162" s="12" t="s">
        <v>519</v>
      </c>
      <c r="R162" s="15">
        <f>O162/1349.88</f>
        <v>3301.5561827718016</v>
      </c>
      <c r="S162" s="12" t="s">
        <v>42</v>
      </c>
      <c r="T162" s="17">
        <v>302</v>
      </c>
      <c r="U162" s="14" t="s">
        <v>43</v>
      </c>
      <c r="V162" s="12" t="s">
        <v>44</v>
      </c>
      <c r="W162" s="13">
        <f>'[1]V, inciso p) (OP)'!AM97</f>
        <v>42730</v>
      </c>
      <c r="X162" s="13">
        <f>'[1]V, inciso p) (OP)'!AN97</f>
        <v>42831</v>
      </c>
      <c r="Y162" s="12" t="s">
        <v>449</v>
      </c>
      <c r="Z162" s="12" t="s">
        <v>450</v>
      </c>
      <c r="AA162" s="12" t="s">
        <v>451</v>
      </c>
      <c r="AB162" s="18" t="s">
        <v>1711</v>
      </c>
      <c r="AC162" s="14" t="s">
        <v>48</v>
      </c>
      <c r="AD162" s="14"/>
    </row>
    <row r="163" spans="1:30" ht="80.099999999999994" customHeight="1">
      <c r="A163" s="6">
        <v>150</v>
      </c>
      <c r="B163" s="12">
        <v>2016</v>
      </c>
      <c r="C163" s="14" t="str">
        <f>'[1]V, inciso p) (OP)'!B98</f>
        <v>Licitación por Invitación Restringida</v>
      </c>
      <c r="D163" s="14" t="str">
        <f>'[1]V, inciso p) (OP)'!D98</f>
        <v>DOPI-MUN-RM-PAV-CI-150-2016</v>
      </c>
      <c r="E163" s="13">
        <f>'[1]V, inciso p) (OP)'!AD98</f>
        <v>42685</v>
      </c>
      <c r="F163" s="14" t="str">
        <f>'[1]V, inciso p) (OP)'!I98</f>
        <v>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1, municipio de Zapopan, Jalisco.</v>
      </c>
      <c r="G163" s="14" t="s">
        <v>111</v>
      </c>
      <c r="H163" s="15">
        <f>'[1]V, inciso p) (OP)'!AG98</f>
        <v>4960902.49</v>
      </c>
      <c r="I163" s="14" t="str">
        <f>'[1]V, inciso p) (OP)'!AS98</f>
        <v>San Juan de Ocotán</v>
      </c>
      <c r="J163" s="12" t="str">
        <f>'[1]V, inciso p) (OP)'!T98</f>
        <v>David Eduardo</v>
      </c>
      <c r="K163" s="12" t="str">
        <f>'[1]V, inciso p) (OP)'!U98</f>
        <v>Lara</v>
      </c>
      <c r="L163" s="12" t="str">
        <f>'[1]V, inciso p) (OP)'!V98</f>
        <v>Ochoa</v>
      </c>
      <c r="M163" s="14" t="str">
        <f>'[1]V, inciso p) (OP)'!W98</f>
        <v xml:space="preserve">Construcciones ICU, S.A. de C.V. </v>
      </c>
      <c r="N163" s="12" t="str">
        <f>'[1]V, inciso p) (OP)'!X98</f>
        <v>CIC080626ER2</v>
      </c>
      <c r="O163" s="15">
        <f t="shared" si="5"/>
        <v>4960902.49</v>
      </c>
      <c r="P163" s="15">
        <v>4480983.33</v>
      </c>
      <c r="Q163" s="12" t="s">
        <v>520</v>
      </c>
      <c r="R163" s="15">
        <f>O163/7500</f>
        <v>661.45366533333333</v>
      </c>
      <c r="S163" s="12" t="s">
        <v>42</v>
      </c>
      <c r="T163" s="17">
        <v>35640</v>
      </c>
      <c r="U163" s="14" t="s">
        <v>43</v>
      </c>
      <c r="V163" s="12" t="s">
        <v>44</v>
      </c>
      <c r="W163" s="13">
        <f>'[1]V, inciso p) (OP)'!AM98</f>
        <v>42688</v>
      </c>
      <c r="X163" s="13">
        <f>'[1]V, inciso p) (OP)'!AN98</f>
        <v>42728</v>
      </c>
      <c r="Y163" s="12" t="s">
        <v>380</v>
      </c>
      <c r="Z163" s="12" t="s">
        <v>257</v>
      </c>
      <c r="AA163" s="12" t="s">
        <v>258</v>
      </c>
      <c r="AB163" s="18" t="s">
        <v>1893</v>
      </c>
      <c r="AC163" s="14" t="s">
        <v>48</v>
      </c>
      <c r="AD163" s="14"/>
    </row>
    <row r="164" spans="1:30" ht="80.099999999999994" customHeight="1">
      <c r="A164" s="6">
        <v>151</v>
      </c>
      <c r="B164" s="12">
        <v>2016</v>
      </c>
      <c r="C164" s="14" t="str">
        <f>'[1]V, inciso p) (OP)'!B99</f>
        <v>Licitación por Invitación Restringida</v>
      </c>
      <c r="D164" s="14" t="str">
        <f>'[1]V, inciso p) (OP)'!D99</f>
        <v>DOPI-MUN-RM-PAV-CI-151-2016</v>
      </c>
      <c r="E164" s="13">
        <f>'[1]V, inciso p) (OP)'!AD99</f>
        <v>42685</v>
      </c>
      <c r="F164" s="14" t="str">
        <f>'[1]V, inciso p) (OP)'!I99</f>
        <v>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2, municipio de Zapopan, Jalisco.</v>
      </c>
      <c r="G164" s="14" t="s">
        <v>111</v>
      </c>
      <c r="H164" s="15">
        <f>'[1]V, inciso p) (OP)'!AG99</f>
        <v>4130342.71</v>
      </c>
      <c r="I164" s="14" t="str">
        <f>'[1]V, inciso p) (OP)'!AS99</f>
        <v>San Juan de Ocotán</v>
      </c>
      <c r="J164" s="12" t="str">
        <f>'[1]V, inciso p) (OP)'!T99</f>
        <v>Luis Armando</v>
      </c>
      <c r="K164" s="12" t="str">
        <f>'[1]V, inciso p) (OP)'!U99</f>
        <v>Linares</v>
      </c>
      <c r="L164" s="12" t="str">
        <f>'[1]V, inciso p) (OP)'!V99</f>
        <v>Cacho</v>
      </c>
      <c r="M164" s="14" t="str">
        <f>'[1]V, inciso p) (OP)'!W99</f>
        <v>Urbanizadora y Constructora Roal, S.A. de C.V.</v>
      </c>
      <c r="N164" s="12" t="str">
        <f>'[1]V, inciso p) (OP)'!X99</f>
        <v>URC160310857</v>
      </c>
      <c r="O164" s="15">
        <f t="shared" si="5"/>
        <v>4130342.71</v>
      </c>
      <c r="P164" s="15">
        <v>4130342.71</v>
      </c>
      <c r="Q164" s="12" t="s">
        <v>521</v>
      </c>
      <c r="R164" s="15">
        <f>O164/3201</f>
        <v>1290.3288691034052</v>
      </c>
      <c r="S164" s="12" t="s">
        <v>42</v>
      </c>
      <c r="T164" s="17">
        <v>35640</v>
      </c>
      <c r="U164" s="14" t="s">
        <v>43</v>
      </c>
      <c r="V164" s="12" t="s">
        <v>44</v>
      </c>
      <c r="W164" s="13">
        <f>'[1]V, inciso p) (OP)'!AM99</f>
        <v>42688</v>
      </c>
      <c r="X164" s="13">
        <f>'[1]V, inciso p) (OP)'!AN99</f>
        <v>42728</v>
      </c>
      <c r="Y164" s="12" t="s">
        <v>380</v>
      </c>
      <c r="Z164" s="12" t="s">
        <v>257</v>
      </c>
      <c r="AA164" s="12" t="s">
        <v>258</v>
      </c>
      <c r="AB164" s="14" t="s">
        <v>1637</v>
      </c>
      <c r="AC164" s="18"/>
      <c r="AD164" s="14"/>
    </row>
    <row r="165" spans="1:30" ht="80.099999999999994" customHeight="1">
      <c r="A165" s="6">
        <v>152</v>
      </c>
      <c r="B165" s="12">
        <v>2016</v>
      </c>
      <c r="C165" s="14" t="str">
        <f>'[1]V, inciso p) (OP)'!B100</f>
        <v>Licitación por Invitación Restringida</v>
      </c>
      <c r="D165" s="14" t="str">
        <f>'[1]V, inciso p) (OP)'!D100</f>
        <v>DOPI-MUN-RM-PAV-CI-152-2016</v>
      </c>
      <c r="E165" s="13">
        <f>'[1]V, inciso p) (OP)'!AD100</f>
        <v>42685</v>
      </c>
      <c r="F165" s="14" t="str">
        <f>'[1]V, inciso p) (OP)'!I100</f>
        <v>Reencarpetado de la vialidad, desbastado de la carpeta existente, nivelación de pozos de visita, cajas de válvulas, rejillas pluviales, bocas de tormenta y elementos estructurales que sobresalen de la rasante de la vialidad, calafateos, señalética horizontal en la Av. 5 de Mayo de Periférico Poniente a Av. Aviación, municipio de Zapopan, Jalisco.</v>
      </c>
      <c r="G165" s="14" t="s">
        <v>111</v>
      </c>
      <c r="H165" s="15">
        <f>'[1]V, inciso p) (OP)'!AG100</f>
        <v>5069996.18</v>
      </c>
      <c r="I165" s="14" t="str">
        <f>'[1]V, inciso p) (OP)'!AS100</f>
        <v>San Juan de Ocotán</v>
      </c>
      <c r="J165" s="12" t="str">
        <f>'[1]V, inciso p) (OP)'!T100</f>
        <v>Carlos Ignacio</v>
      </c>
      <c r="K165" s="12" t="str">
        <f>'[1]V, inciso p) (OP)'!U100</f>
        <v>Curiel</v>
      </c>
      <c r="L165" s="12" t="str">
        <f>'[1]V, inciso p) (OP)'!V100</f>
        <v>Dueñas</v>
      </c>
      <c r="M165" s="14" t="str">
        <f>'[1]V, inciso p) (OP)'!W100</f>
        <v>Constructora Cecuchi, S.A. de C.V.</v>
      </c>
      <c r="N165" s="12" t="str">
        <f>'[1]V, inciso p) (OP)'!X100</f>
        <v>CCE130723IR7</v>
      </c>
      <c r="O165" s="15">
        <f t="shared" si="5"/>
        <v>5069996.18</v>
      </c>
      <c r="P165" s="15">
        <v>4948098.83</v>
      </c>
      <c r="Q165" s="12" t="s">
        <v>522</v>
      </c>
      <c r="R165" s="15">
        <f>O165/16033</f>
        <v>316.2225522360132</v>
      </c>
      <c r="S165" s="12" t="s">
        <v>42</v>
      </c>
      <c r="T165" s="17">
        <v>4226</v>
      </c>
      <c r="U165" s="14" t="s">
        <v>43</v>
      </c>
      <c r="V165" s="12" t="s">
        <v>44</v>
      </c>
      <c r="W165" s="13">
        <f>'[1]V, inciso p) (OP)'!AM100</f>
        <v>42688</v>
      </c>
      <c r="X165" s="13">
        <f>'[1]V, inciso p) (OP)'!AN100</f>
        <v>42728</v>
      </c>
      <c r="Y165" s="12" t="s">
        <v>380</v>
      </c>
      <c r="Z165" s="12" t="s">
        <v>257</v>
      </c>
      <c r="AA165" s="12" t="s">
        <v>258</v>
      </c>
      <c r="AB165" s="14" t="s">
        <v>1638</v>
      </c>
      <c r="AC165" s="18"/>
      <c r="AD165" s="14"/>
    </row>
    <row r="166" spans="1:30" ht="80.099999999999994" customHeight="1">
      <c r="A166" s="6">
        <v>153</v>
      </c>
      <c r="B166" s="12">
        <v>2016</v>
      </c>
      <c r="C166" s="14" t="str">
        <f>'[1]V, inciso p) (OP)'!B101</f>
        <v>Licitación por Invitación Restringida</v>
      </c>
      <c r="D166" s="14" t="str">
        <f>'[1]V, inciso p) (OP)'!D101</f>
        <v>DOPI-MUN-RM-PAV-CI-153-2016</v>
      </c>
      <c r="E166" s="13">
        <f>'[1]V, inciso p) (OP)'!AD101</f>
        <v>42685</v>
      </c>
      <c r="F166" s="14" t="str">
        <f>'[1]V, inciso p) (OP)'!I101</f>
        <v>Construcción de pavimento de concreto hidráulico MR-45, de línea de agua potable, drenaje sanitario, electrificación, alumbrado público, guarniciones, banqueta, señalética horizontal y vertical en la calle Capulín, en la localidad de Tesistán, municipio de Zapopan, Jalisco.</v>
      </c>
      <c r="G166" s="14" t="s">
        <v>111</v>
      </c>
      <c r="H166" s="15">
        <f>'[1]V, inciso p) (OP)'!AG101</f>
        <v>7253719.3200000003</v>
      </c>
      <c r="I166" s="14" t="str">
        <f>'[1]V, inciso p) (OP)'!AS101</f>
        <v>Localidad de Tesistán</v>
      </c>
      <c r="J166" s="12" t="str">
        <f>'[1]V, inciso p) (OP)'!T101</f>
        <v xml:space="preserve"> Martha </v>
      </c>
      <c r="K166" s="12" t="str">
        <f>'[1]V, inciso p) (OP)'!U101</f>
        <v>Jiménez</v>
      </c>
      <c r="L166" s="12" t="str">
        <f>'[1]V, inciso p) (OP)'!V101</f>
        <v>López</v>
      </c>
      <c r="M166" s="14" t="str">
        <f>'[1]V, inciso p) (OP)'!W101</f>
        <v>Inmobiliaria Bochum S. de R.L. de C.V.</v>
      </c>
      <c r="N166" s="12" t="str">
        <f>'[1]V, inciso p) (OP)'!X101</f>
        <v>IBO090918ET9</v>
      </c>
      <c r="O166" s="15">
        <f t="shared" si="5"/>
        <v>7253719.3200000003</v>
      </c>
      <c r="P166" s="15">
        <v>7234912.5699999994</v>
      </c>
      <c r="Q166" s="12" t="s">
        <v>523</v>
      </c>
      <c r="R166" s="15">
        <f>O166/3682</f>
        <v>1970.0487017925041</v>
      </c>
      <c r="S166" s="12" t="s">
        <v>42</v>
      </c>
      <c r="T166" s="17">
        <v>125</v>
      </c>
      <c r="U166" s="14" t="s">
        <v>43</v>
      </c>
      <c r="V166" s="12" t="s">
        <v>44</v>
      </c>
      <c r="W166" s="13">
        <f>'[1]V, inciso p) (OP)'!AM101</f>
        <v>42688</v>
      </c>
      <c r="X166" s="13">
        <f>'[1]V, inciso p) (OP)'!AN101</f>
        <v>42728</v>
      </c>
      <c r="Y166" s="12" t="s">
        <v>336</v>
      </c>
      <c r="Z166" s="12" t="s">
        <v>337</v>
      </c>
      <c r="AA166" s="12" t="s">
        <v>120</v>
      </c>
      <c r="AB166" s="14" t="s">
        <v>48</v>
      </c>
      <c r="AC166" s="14" t="s">
        <v>48</v>
      </c>
      <c r="AD166" s="14"/>
    </row>
    <row r="167" spans="1:30" ht="80.099999999999994" customHeight="1">
      <c r="A167" s="6">
        <v>154</v>
      </c>
      <c r="B167" s="12">
        <v>2016</v>
      </c>
      <c r="C167" s="14" t="str">
        <f>'[1]V, inciso p) (OP)'!B102</f>
        <v>Licitación por Invitación Restringida</v>
      </c>
      <c r="D167" s="14" t="str">
        <f>'[1]V, inciso p) (OP)'!D102</f>
        <v>DOPI-MUN-RM-PAV-CI-154-2016</v>
      </c>
      <c r="E167" s="13">
        <f>'[1]V, inciso p) (OP)'!AD102</f>
        <v>42685</v>
      </c>
      <c r="F167" s="14" t="str">
        <f>'[1]V, inciso p) (OP)'!I102</f>
        <v>Construcción de la primera etapa de pavimento de concreto hidráulico MR-45, línea de agua potable, drenaje sanitario, colector sanitario, guarniciones, banqueta, bocas de tormenta en la calle Navio de la Av. La Calma a calle Boyero, en la colonia La Calma, municipio de Zapopan, Jalisco.</v>
      </c>
      <c r="G167" s="14" t="s">
        <v>111</v>
      </c>
      <c r="H167" s="15">
        <f>'[1]V, inciso p) (OP)'!AG102</f>
        <v>3382310.92</v>
      </c>
      <c r="I167" s="14" t="str">
        <f>'[1]V, inciso p) (OP)'!AS102</f>
        <v>Colonia La Calma</v>
      </c>
      <c r="J167" s="12" t="str">
        <f>'[1]V, inciso p) (OP)'!T102</f>
        <v>Carlos</v>
      </c>
      <c r="K167" s="12" t="str">
        <f>'[1]V, inciso p) (OP)'!U102</f>
        <v>Pérez</v>
      </c>
      <c r="L167" s="12" t="str">
        <f>'[1]V, inciso p) (OP)'!V102</f>
        <v>Cruz</v>
      </c>
      <c r="M167" s="14" t="str">
        <f>'[1]V, inciso p) (OP)'!W102</f>
        <v>Constructora Pecru, S.A. de C.V.</v>
      </c>
      <c r="N167" s="12" t="str">
        <f>'[1]V, inciso p) (OP)'!X102</f>
        <v>CPE070123PD4</v>
      </c>
      <c r="O167" s="15">
        <f t="shared" si="5"/>
        <v>3382310.92</v>
      </c>
      <c r="P167" s="15">
        <v>3277845.4799999995</v>
      </c>
      <c r="Q167" s="12" t="s">
        <v>524</v>
      </c>
      <c r="R167" s="15">
        <f>O167/1598</f>
        <v>2116.5900625782228</v>
      </c>
      <c r="S167" s="12" t="s">
        <v>42</v>
      </c>
      <c r="T167" s="17">
        <v>266</v>
      </c>
      <c r="U167" s="14" t="s">
        <v>43</v>
      </c>
      <c r="V167" s="12" t="s">
        <v>44</v>
      </c>
      <c r="W167" s="13">
        <f>'[1]V, inciso p) (OP)'!AM102</f>
        <v>42688</v>
      </c>
      <c r="X167" s="13">
        <f>'[1]V, inciso p) (OP)'!AN102</f>
        <v>42728</v>
      </c>
      <c r="Y167" s="12" t="s">
        <v>439</v>
      </c>
      <c r="Z167" s="12" t="s">
        <v>186</v>
      </c>
      <c r="AA167" s="12" t="s">
        <v>92</v>
      </c>
      <c r="AB167" s="14" t="s">
        <v>1639</v>
      </c>
      <c r="AC167" s="18"/>
      <c r="AD167" s="14"/>
    </row>
    <row r="168" spans="1:30" ht="80.099999999999994" customHeight="1">
      <c r="A168" s="6">
        <v>155</v>
      </c>
      <c r="B168" s="12">
        <v>2016</v>
      </c>
      <c r="C168" s="14" t="str">
        <f>'[1]V, inciso p) (OP)'!B103</f>
        <v>Licitación por Invitación Restringida</v>
      </c>
      <c r="D168" s="14" t="str">
        <f>'[1]V, inciso p) (OP)'!D103</f>
        <v>DOPI-MUN-RM-PAV-CI-155-2016</v>
      </c>
      <c r="E168" s="13">
        <f>'[1]V, inciso p) (OP)'!AD103</f>
        <v>42685</v>
      </c>
      <c r="F168" s="14" t="str">
        <f>'[1]V, inciso p) (OP)'!I103</f>
        <v>Construcción de empedrado tradicional y huellas de rodamiento de concreto hidráulico MR-42, cunetas, guarniciones, banquetas, señalamiento vertical y horizontal en el camino al Arenero, municipio de Zapopan, Jalisco.</v>
      </c>
      <c r="G168" s="14" t="s">
        <v>111</v>
      </c>
      <c r="H168" s="15">
        <f>'[1]V, inciso p) (OP)'!AG103</f>
        <v>7468157.6799999997</v>
      </c>
      <c r="I168" s="14" t="str">
        <f>'[1]V, inciso p) (OP)'!AS103</f>
        <v>Colonia Bajío</v>
      </c>
      <c r="J168" s="12" t="str">
        <f>'[1]V, inciso p) (OP)'!T103</f>
        <v>Arturo</v>
      </c>
      <c r="K168" s="12" t="str">
        <f>'[1]V, inciso p) (OP)'!U103</f>
        <v>Rangel</v>
      </c>
      <c r="L168" s="12" t="str">
        <f>'[1]V, inciso p) (OP)'!V103</f>
        <v>Paez</v>
      </c>
      <c r="M168" s="14" t="str">
        <f>'[1]V, inciso p) (OP)'!W103</f>
        <v>Constructora Lasa, S.A. de C.V.</v>
      </c>
      <c r="N168" s="12" t="str">
        <f>'[1]V, inciso p) (OP)'!X103</f>
        <v>CLA890925ER5</v>
      </c>
      <c r="O168" s="15">
        <f t="shared" si="5"/>
        <v>7468157.6799999997</v>
      </c>
      <c r="P168" s="15">
        <v>7468157.6799999997</v>
      </c>
      <c r="Q168" s="12" t="s">
        <v>525</v>
      </c>
      <c r="R168" s="15">
        <f>O168/6512</f>
        <v>1146.8301105651105</v>
      </c>
      <c r="S168" s="12" t="s">
        <v>42</v>
      </c>
      <c r="T168" s="17">
        <v>1224</v>
      </c>
      <c r="U168" s="14" t="s">
        <v>43</v>
      </c>
      <c r="V168" s="12" t="s">
        <v>44</v>
      </c>
      <c r="W168" s="13">
        <f>'[1]V, inciso p) (OP)'!AM103</f>
        <v>42688</v>
      </c>
      <c r="X168" s="13">
        <f>'[1]V, inciso p) (OP)'!AN103</f>
        <v>42728</v>
      </c>
      <c r="Y168" s="12" t="s">
        <v>322</v>
      </c>
      <c r="Z168" s="12" t="s">
        <v>196</v>
      </c>
      <c r="AA168" s="12" t="s">
        <v>197</v>
      </c>
      <c r="AB168" s="18" t="s">
        <v>1712</v>
      </c>
      <c r="AC168" s="14" t="s">
        <v>48</v>
      </c>
      <c r="AD168" s="14"/>
    </row>
    <row r="169" spans="1:30" ht="80.099999999999994" customHeight="1">
      <c r="A169" s="5">
        <v>156</v>
      </c>
      <c r="B169" s="12">
        <v>2016</v>
      </c>
      <c r="C169" s="14" t="str">
        <f>'[1]V, inciso p) (OP)'!B104</f>
        <v>Licitación por Invitación Restringida</v>
      </c>
      <c r="D169" s="14" t="str">
        <f>'[1]V, inciso p) (OP)'!D104</f>
        <v>DOPI-MUN-RM-IE-CI-156-2016</v>
      </c>
      <c r="E169" s="13">
        <f>'[1]V, inciso p) (OP)'!AD104</f>
        <v>42685</v>
      </c>
      <c r="F169" s="14" t="str">
        <f>'[1]V, inciso p) (OP)'!I104</f>
        <v>Suministro y colocación de estructuras de protección de rayos ultravioleta en los planteles educativos: Escuela Primaria Niños Héroes y Salvador López Chávez, matricula 750, colonia Pinar de la Calma; Escuela Primaria Idolina Gaona Cosio de Vidaurri, matricula 703, colonia Los Cajetes; Escuela Primaria Antonio Caso y Patria, matricula 490, colonia El Briseño segunda sección; Escuela Primaria Paulo Freire y 24 de Octubre, matricula 675, colonia Mariano Otero; Escuela Primaria Rafael Ramírez, matricula 240, colonia Paseos del Briseño, municipio de Zapopan, Jalisco.</v>
      </c>
      <c r="G169" s="14" t="s">
        <v>111</v>
      </c>
      <c r="H169" s="15">
        <f>'[1]V, inciso p) (OP)'!AG104</f>
        <v>4189228.4</v>
      </c>
      <c r="I169" s="14" t="str">
        <f>'[1]V, inciso p) (OP)'!AS104</f>
        <v>Varias colonias del Municipio</v>
      </c>
      <c r="J169" s="12" t="str">
        <f>'[1]V, inciso p) (OP)'!T104</f>
        <v>Eduardo</v>
      </c>
      <c r="K169" s="12" t="str">
        <f>'[1]V, inciso p) (OP)'!U104</f>
        <v>Cruz</v>
      </c>
      <c r="L169" s="12" t="str">
        <f>'[1]V, inciso p) (OP)'!V104</f>
        <v>Moguel</v>
      </c>
      <c r="M169" s="14" t="str">
        <f>'[1]V, inciso p) (OP)'!W104</f>
        <v>Balken, S.A. de C.V.</v>
      </c>
      <c r="N169" s="12" t="str">
        <f>'[1]V, inciso p) (OP)'!X104</f>
        <v>BAL990803661</v>
      </c>
      <c r="O169" s="15">
        <f t="shared" si="5"/>
        <v>4189228.4</v>
      </c>
      <c r="P169" s="15">
        <v>3899462.0199999996</v>
      </c>
      <c r="Q169" s="12" t="s">
        <v>526</v>
      </c>
      <c r="R169" s="15">
        <f>O169/3208</f>
        <v>1305.8692019950124</v>
      </c>
      <c r="S169" s="12" t="s">
        <v>42</v>
      </c>
      <c r="T169" s="17">
        <v>2831</v>
      </c>
      <c r="U169" s="14" t="s">
        <v>43</v>
      </c>
      <c r="V169" s="12" t="s">
        <v>44</v>
      </c>
      <c r="W169" s="13">
        <f>'[1]V, inciso p) (OP)'!AM104</f>
        <v>42688</v>
      </c>
      <c r="X169" s="13">
        <f>'[1]V, inciso p) (OP)'!AN104</f>
        <v>42728</v>
      </c>
      <c r="Y169" s="12" t="s">
        <v>470</v>
      </c>
      <c r="Z169" s="12" t="s">
        <v>142</v>
      </c>
      <c r="AA169" s="12" t="s">
        <v>471</v>
      </c>
      <c r="AB169" s="18" t="s">
        <v>1713</v>
      </c>
      <c r="AC169" s="14" t="s">
        <v>48</v>
      </c>
      <c r="AD169" s="14"/>
    </row>
    <row r="170" spans="1:30" ht="80.099999999999994" customHeight="1">
      <c r="A170" s="5">
        <v>157</v>
      </c>
      <c r="B170" s="12">
        <v>2016</v>
      </c>
      <c r="C170" s="14" t="str">
        <f>'[1]V, inciso p) (OP)'!B105</f>
        <v>Licitación por Invitación Restringida</v>
      </c>
      <c r="D170" s="14" t="str">
        <f>'[1]V, inciso p) (OP)'!D105</f>
        <v>DOPI-MUN-RM-IE-CI-157-2016</v>
      </c>
      <c r="E170" s="13">
        <f>'[1]V, inciso p) (OP)'!AD105</f>
        <v>42685</v>
      </c>
      <c r="F170" s="14" t="str">
        <f>'[1]V, inciso p) (OP)'!I105</f>
        <v>Suministro y colocación de estructuras de protección de rayos ultravioleta en los planteles educativos: Escuela Primaria Emiliano Zapata y Lázaro Cárdenas del Río, matricula 493, colonia San Isidro Ejidal; Escuela Primaria Ramón López Velarde, matricula 478, colonia Arcos de Zapopan tercera sección; Escuela Primaria Valentín Gómez Farias, matricula 243, colonia San Isidro Ejidal; Escuela Primaria José María Morelos y Pavón, matricula 194, colonia San José del Bajío, municipio de Zapopan, Jalisco.</v>
      </c>
      <c r="G170" s="14" t="s">
        <v>111</v>
      </c>
      <c r="H170" s="15">
        <f>'[1]V, inciso p) (OP)'!AG105</f>
        <v>3269771.91</v>
      </c>
      <c r="I170" s="14" t="str">
        <f>'[1]V, inciso p) (OP)'!AS105</f>
        <v>Varias colonias del Municipio</v>
      </c>
      <c r="J170" s="12" t="str">
        <f>'[1]V, inciso p) (OP)'!T105</f>
        <v>Vicente</v>
      </c>
      <c r="K170" s="12" t="str">
        <f>'[1]V, inciso p) (OP)'!U105</f>
        <v>Mendoza</v>
      </c>
      <c r="L170" s="12" t="str">
        <f>'[1]V, inciso p) (OP)'!V105</f>
        <v>Lamas</v>
      </c>
      <c r="M170" s="14" t="str">
        <f>'[1]V, inciso p) (OP)'!W105</f>
        <v>Constructora y Urbanizadora Arista, S.A. de C.V.</v>
      </c>
      <c r="N170" s="12" t="str">
        <f>'[1]V, inciso p) (OP)'!X105</f>
        <v>CUA130425I70</v>
      </c>
      <c r="O170" s="15">
        <f t="shared" si="5"/>
        <v>3269771.91</v>
      </c>
      <c r="P170" s="15">
        <v>3202169.04</v>
      </c>
      <c r="Q170" s="12" t="s">
        <v>527</v>
      </c>
      <c r="R170" s="15">
        <f>O170/2548</f>
        <v>1283.2699803767662</v>
      </c>
      <c r="S170" s="12" t="s">
        <v>42</v>
      </c>
      <c r="T170" s="17">
        <v>1402</v>
      </c>
      <c r="U170" s="14" t="s">
        <v>43</v>
      </c>
      <c r="V170" s="12" t="s">
        <v>44</v>
      </c>
      <c r="W170" s="13">
        <f>'[1]V, inciso p) (OP)'!AM105</f>
        <v>42688</v>
      </c>
      <c r="X170" s="13">
        <f>'[1]V, inciso p) (OP)'!AN105</f>
        <v>42728</v>
      </c>
      <c r="Y170" s="12" t="s">
        <v>510</v>
      </c>
      <c r="Z170" s="12" t="s">
        <v>511</v>
      </c>
      <c r="AA170" s="12" t="s">
        <v>512</v>
      </c>
      <c r="AB170" s="18" t="s">
        <v>1894</v>
      </c>
      <c r="AC170" s="14" t="s">
        <v>48</v>
      </c>
      <c r="AD170" s="14"/>
    </row>
    <row r="171" spans="1:30" ht="80.099999999999994" customHeight="1">
      <c r="A171" s="5">
        <v>158</v>
      </c>
      <c r="B171" s="12">
        <v>2016</v>
      </c>
      <c r="C171" s="14" t="str">
        <f>'[1]V, inciso p) (OP)'!B106</f>
        <v>Licitación por Invitación Restringida</v>
      </c>
      <c r="D171" s="14" t="str">
        <f>'[1]V, inciso p) (OP)'!D106</f>
        <v>DOPI-MUN-RM-IE-CI-158-2016</v>
      </c>
      <c r="E171" s="13">
        <f>'[1]V, inciso p) (OP)'!AD106</f>
        <v>42685</v>
      </c>
      <c r="F171" s="14" t="str">
        <f>'[1]V, inciso p) (OP)'!I106</f>
        <v>Suministro y colocación de estructuras de protección de rayos ultravioleta en los planteles educativos: Escuela Primaria 5 de Mayo y Bernardo Ortíz de Montellano, matricula 642, colonia Misión del Bosque; Escuela Primaria Rural Luis Pérez Verdía, matricula 220, colonia San Francisco de Ixcatán; Escuela Primaria Rural Mariano Azuela, matricula 198, colonia Río Blanco; Escuela Primaria Rural Miguel Hidalgo y Costilla, matricula 140, Ampliación de Copala, municipio de Zapopan, Jalisco.</v>
      </c>
      <c r="G171" s="14" t="s">
        <v>111</v>
      </c>
      <c r="H171" s="15">
        <f>'[1]V, inciso p) (OP)'!AG106</f>
        <v>3328458.75</v>
      </c>
      <c r="I171" s="14" t="str">
        <f>'[1]V, inciso p) (OP)'!AS106</f>
        <v>Varias colonias del Municipio</v>
      </c>
      <c r="J171" s="12" t="str">
        <f>'[1]V, inciso p) (OP)'!T106</f>
        <v>J. Gerardo</v>
      </c>
      <c r="K171" s="12" t="str">
        <f>'[1]V, inciso p) (OP)'!U106</f>
        <v>Nicanor</v>
      </c>
      <c r="L171" s="12" t="str">
        <f>'[1]V, inciso p) (OP)'!V106</f>
        <v>Mejia Mariscal</v>
      </c>
      <c r="M171" s="14" t="str">
        <f>'[1]V, inciso p) (OP)'!W106</f>
        <v>Ineco Construye, S.A. de C.V.</v>
      </c>
      <c r="N171" s="12" t="str">
        <f>'[1]V, inciso p) (OP)'!X106</f>
        <v>ICO980722M04</v>
      </c>
      <c r="O171" s="15">
        <f t="shared" si="5"/>
        <v>3328458.75</v>
      </c>
      <c r="P171" s="15">
        <v>3289362.3599999994</v>
      </c>
      <c r="Q171" s="12" t="s">
        <v>528</v>
      </c>
      <c r="R171" s="15">
        <f>O171/2378</f>
        <v>1399.6882884777124</v>
      </c>
      <c r="S171" s="12" t="s">
        <v>42</v>
      </c>
      <c r="T171" s="17">
        <v>1020</v>
      </c>
      <c r="U171" s="14" t="s">
        <v>43</v>
      </c>
      <c r="V171" s="12" t="s">
        <v>44</v>
      </c>
      <c r="W171" s="13">
        <f>'[1]V, inciso p) (OP)'!AM106</f>
        <v>42688</v>
      </c>
      <c r="X171" s="13">
        <f>'[1]V, inciso p) (OP)'!AN106</f>
        <v>42728</v>
      </c>
      <c r="Y171" s="12" t="s">
        <v>436</v>
      </c>
      <c r="Z171" s="12" t="s">
        <v>295</v>
      </c>
      <c r="AA171" s="12" t="s">
        <v>76</v>
      </c>
      <c r="AB171" s="14" t="s">
        <v>1640</v>
      </c>
      <c r="AC171" s="18"/>
      <c r="AD171" s="14"/>
    </row>
    <row r="172" spans="1:30" ht="80.099999999999994" customHeight="1">
      <c r="A172" s="6">
        <v>159</v>
      </c>
      <c r="B172" s="12">
        <v>2016</v>
      </c>
      <c r="C172" s="14" t="s">
        <v>65</v>
      </c>
      <c r="D172" s="14" t="str">
        <f>'[1]V, inciso o) (OP)'!C72</f>
        <v>DOPI-MUN-RM-PAV-AD-159-2016</v>
      </c>
      <c r="E172" s="13">
        <f>'[1]V, inciso o) (OP)'!V72</f>
        <v>42613</v>
      </c>
      <c r="F172" s="14" t="str">
        <f>'[1]V, inciso o) (OP)'!AA72</f>
        <v>Sustitución de rejillas en bocas de tormenta en Avenida Patria ente Avila Camacho y Real Acueducto, en Avenida Tepeyac entre Manuel J. Clouthier y limite municipal, lateral Periférico en su cruce con Mariano Otero, municipio de Zapopan, Jalisco</v>
      </c>
      <c r="G172" s="14" t="s">
        <v>111</v>
      </c>
      <c r="H172" s="15">
        <f>'[1]V, inciso o) (OP)'!Y72</f>
        <v>1439734.18</v>
      </c>
      <c r="I172" s="14" t="s">
        <v>1349</v>
      </c>
      <c r="J172" s="12" t="str">
        <f>'[1]V, inciso o) (OP)'!M72</f>
        <v>José Jaime</v>
      </c>
      <c r="K172" s="12" t="str">
        <f>'[1]V, inciso o) (OP)'!N72</f>
        <v>Camarena</v>
      </c>
      <c r="L172" s="12" t="str">
        <f>'[1]V, inciso o) (OP)'!O72</f>
        <v>Correa</v>
      </c>
      <c r="M172" s="14" t="str">
        <f>'[1]V, inciso o) (OP)'!P72</f>
        <v>Firmitas Constructa, S.A. de C.V.</v>
      </c>
      <c r="N172" s="12" t="str">
        <f>'[1]V, inciso o) (OP)'!Q72</f>
        <v>FCO110711N24</v>
      </c>
      <c r="O172" s="15">
        <f>'[1]V, inciso o) (OP)'!Y72</f>
        <v>1439734.18</v>
      </c>
      <c r="P172" s="12" t="s">
        <v>48</v>
      </c>
      <c r="Q172" s="12" t="s">
        <v>529</v>
      </c>
      <c r="R172" s="15">
        <f>O172/15</f>
        <v>95982.278666666665</v>
      </c>
      <c r="S172" s="12" t="s">
        <v>42</v>
      </c>
      <c r="T172" s="17">
        <v>102366</v>
      </c>
      <c r="U172" s="14" t="s">
        <v>43</v>
      </c>
      <c r="V172" s="12" t="s">
        <v>44</v>
      </c>
      <c r="W172" s="13">
        <f>'[1]V, inciso o) (OP)'!AD72</f>
        <v>42618</v>
      </c>
      <c r="X172" s="13">
        <f>'[1]V, inciso o) (OP)'!AE72</f>
        <v>42658</v>
      </c>
      <c r="Y172" s="12" t="s">
        <v>399</v>
      </c>
      <c r="Z172" s="12" t="s">
        <v>284</v>
      </c>
      <c r="AA172" s="12" t="s">
        <v>81</v>
      </c>
      <c r="AB172" s="8" t="s">
        <v>1714</v>
      </c>
      <c r="AC172" s="14" t="s">
        <v>48</v>
      </c>
      <c r="AD172" s="14"/>
    </row>
    <row r="173" spans="1:30" ht="80.099999999999994" customHeight="1">
      <c r="A173" s="5">
        <v>160</v>
      </c>
      <c r="B173" s="12">
        <v>2016</v>
      </c>
      <c r="C173" s="14" t="s">
        <v>65</v>
      </c>
      <c r="D173" s="14" t="str">
        <f>'[1]V, inciso o) (OP)'!C73</f>
        <v>DOPI-MUN-RM-PAV-AD-160-2016</v>
      </c>
      <c r="E173" s="13">
        <f>'[1]V, inciso o) (OP)'!V73</f>
        <v>42615</v>
      </c>
      <c r="F173" s="14" t="str">
        <f>'[1]V, inciso o) (OP)'!AA73</f>
        <v>Programa emergente de bacheo de vialidades en Zapopan Centro tramo 1, municipio de Zapopan, Jalisco.</v>
      </c>
      <c r="G173" s="14" t="s">
        <v>111</v>
      </c>
      <c r="H173" s="15">
        <f>'[1]V, inciso o) (OP)'!Y73</f>
        <v>998750.24</v>
      </c>
      <c r="I173" s="14" t="s">
        <v>1349</v>
      </c>
      <c r="J173" s="12" t="str">
        <f>'[1]V, inciso o) (OP)'!M73</f>
        <v>Luis Armando</v>
      </c>
      <c r="K173" s="12" t="str">
        <f>'[1]V, inciso o) (OP)'!N73</f>
        <v>Linares</v>
      </c>
      <c r="L173" s="12" t="str">
        <f>'[1]V, inciso o) (OP)'!O73</f>
        <v>Cacho</v>
      </c>
      <c r="M173" s="14" t="str">
        <f>'[1]V, inciso o) (OP)'!P73</f>
        <v>Urbanizadora y Constructora Roal, S.A. de C.V.</v>
      </c>
      <c r="N173" s="12" t="str">
        <f>'[1]V, inciso o) (OP)'!Q73</f>
        <v>URC160310857</v>
      </c>
      <c r="O173" s="15">
        <f>'[1]V, inciso o) (OP)'!Y73</f>
        <v>998750.24</v>
      </c>
      <c r="P173" s="15">
        <v>998750.23</v>
      </c>
      <c r="Q173" s="12" t="s">
        <v>530</v>
      </c>
      <c r="R173" s="15">
        <f>O173/5625</f>
        <v>177.55559822222222</v>
      </c>
      <c r="S173" s="12" t="s">
        <v>42</v>
      </c>
      <c r="T173" s="17">
        <v>17598</v>
      </c>
      <c r="U173" s="14" t="s">
        <v>43</v>
      </c>
      <c r="V173" s="12" t="s">
        <v>44</v>
      </c>
      <c r="W173" s="13">
        <f>'[1]V, inciso o) (OP)'!AD73</f>
        <v>42618</v>
      </c>
      <c r="X173" s="13">
        <f>'[1]V, inciso o) (OP)'!AE73</f>
        <v>42674</v>
      </c>
      <c r="Y173" s="12" t="s">
        <v>531</v>
      </c>
      <c r="Z173" s="12" t="s">
        <v>532</v>
      </c>
      <c r="AA173" s="12" t="s">
        <v>533</v>
      </c>
      <c r="AB173" s="8" t="s">
        <v>1715</v>
      </c>
      <c r="AC173" s="14" t="s">
        <v>48</v>
      </c>
      <c r="AD173" s="14"/>
    </row>
    <row r="174" spans="1:30" ht="80.099999999999994" customHeight="1">
      <c r="A174" s="5">
        <v>161</v>
      </c>
      <c r="B174" s="12">
        <v>2016</v>
      </c>
      <c r="C174" s="14" t="s">
        <v>65</v>
      </c>
      <c r="D174" s="14" t="str">
        <f>'[1]V, inciso o) (OP)'!C74</f>
        <v>DOPI-MUN-RM-PAV-AD-161-2016</v>
      </c>
      <c r="E174" s="13">
        <f>'[1]V, inciso o) (OP)'!V74</f>
        <v>42615</v>
      </c>
      <c r="F174" s="14" t="str">
        <f>'[1]V, inciso o) (OP)'!AA74</f>
        <v>Programa emergente de bacheo de vialidades en Zapopan Centro tramo 2, municipio de Zapopan, Jalisco.</v>
      </c>
      <c r="G174" s="14" t="s">
        <v>111</v>
      </c>
      <c r="H174" s="15">
        <f>'[1]V, inciso o) (OP)'!Y74</f>
        <v>999587.49</v>
      </c>
      <c r="I174" s="14" t="s">
        <v>1349</v>
      </c>
      <c r="J174" s="12" t="str">
        <f>'[1]V, inciso o) (OP)'!M74</f>
        <v>Orlando</v>
      </c>
      <c r="K174" s="12" t="str">
        <f>'[1]V, inciso o) (OP)'!N74</f>
        <v>Hijar</v>
      </c>
      <c r="L174" s="12" t="str">
        <f>'[1]V, inciso o) (OP)'!O74</f>
        <v>Casillas</v>
      </c>
      <c r="M174" s="14" t="str">
        <f>'[1]V, inciso o) (OP)'!P74</f>
        <v>Constructora y Urbanizadora Ceda, S.A. de C.V.</v>
      </c>
      <c r="N174" s="12" t="str">
        <f>'[1]V, inciso o) (OP)'!Q74</f>
        <v>CUC121107NV2</v>
      </c>
      <c r="O174" s="15">
        <f>'[1]V, inciso o) (OP)'!Y74</f>
        <v>999587.49</v>
      </c>
      <c r="P174" s="15">
        <v>999587.48</v>
      </c>
      <c r="Q174" s="12" t="s">
        <v>534</v>
      </c>
      <c r="R174" s="15">
        <f>O174/5612</f>
        <v>178.11608873841769</v>
      </c>
      <c r="S174" s="12" t="s">
        <v>42</v>
      </c>
      <c r="T174" s="17">
        <v>18966</v>
      </c>
      <c r="U174" s="14" t="s">
        <v>43</v>
      </c>
      <c r="V174" s="12" t="s">
        <v>44</v>
      </c>
      <c r="W174" s="13">
        <f>'[1]V, inciso o) (OP)'!AD74</f>
        <v>42618</v>
      </c>
      <c r="X174" s="13">
        <f>'[1]V, inciso o) (OP)'!AE74</f>
        <v>42674</v>
      </c>
      <c r="Y174" s="12" t="s">
        <v>531</v>
      </c>
      <c r="Z174" s="12" t="s">
        <v>532</v>
      </c>
      <c r="AA174" s="12" t="s">
        <v>533</v>
      </c>
      <c r="AB174" s="8" t="s">
        <v>1716</v>
      </c>
      <c r="AC174" s="14" t="s">
        <v>48</v>
      </c>
      <c r="AD174" s="14"/>
    </row>
    <row r="175" spans="1:30" ht="80.099999999999994" customHeight="1">
      <c r="A175" s="6">
        <v>162</v>
      </c>
      <c r="B175" s="12">
        <v>2016</v>
      </c>
      <c r="C175" s="14" t="s">
        <v>65</v>
      </c>
      <c r="D175" s="14" t="str">
        <f>'[1]V, inciso o) (OP)'!C75</f>
        <v>DOPI-MUN-RM-PAV-AD-162-2016</v>
      </c>
      <c r="E175" s="13">
        <f>'[1]V, inciso o) (OP)'!V75</f>
        <v>42615</v>
      </c>
      <c r="F175" s="14" t="str">
        <f>'[1]V, inciso o) (OP)'!AA75</f>
        <v>Programa emergente de bacheo de vialidades en Zapopan Sur tramo 1, municipio de Zapopan, Jalisco.</v>
      </c>
      <c r="G175" s="14" t="s">
        <v>111</v>
      </c>
      <c r="H175" s="15">
        <f>'[1]V, inciso o) (OP)'!Y75</f>
        <v>1000115.36</v>
      </c>
      <c r="I175" s="14" t="s">
        <v>1349</v>
      </c>
      <c r="J175" s="12" t="str">
        <f>'[1]V, inciso o) (OP)'!M75</f>
        <v>Ignacio Javier</v>
      </c>
      <c r="K175" s="12" t="str">
        <f>'[1]V, inciso o) (OP)'!N75</f>
        <v>Curiel</v>
      </c>
      <c r="L175" s="12" t="str">
        <f>'[1]V, inciso o) (OP)'!O75</f>
        <v>Dueñas</v>
      </c>
      <c r="M175" s="14" t="str">
        <f>'[1]V, inciso o) (OP)'!P75</f>
        <v>TC Construcción y Mantenimiento, S.A. de C.V.</v>
      </c>
      <c r="N175" s="12" t="str">
        <f>'[1]V, inciso o) (OP)'!Q75</f>
        <v>TCM100915HA1</v>
      </c>
      <c r="O175" s="15">
        <f>'[1]V, inciso o) (OP)'!Y75</f>
        <v>1000115.36</v>
      </c>
      <c r="P175" s="15">
        <v>999274.61</v>
      </c>
      <c r="Q175" s="12" t="s">
        <v>535</v>
      </c>
      <c r="R175" s="15">
        <f>O175/5721</f>
        <v>174.81478063275651</v>
      </c>
      <c r="S175" s="12" t="s">
        <v>42</v>
      </c>
      <c r="T175" s="17">
        <v>18521</v>
      </c>
      <c r="U175" s="14" t="s">
        <v>43</v>
      </c>
      <c r="V175" s="12" t="s">
        <v>44</v>
      </c>
      <c r="W175" s="13">
        <f>'[1]V, inciso o) (OP)'!AD75</f>
        <v>42618</v>
      </c>
      <c r="X175" s="13">
        <f>'[1]V, inciso o) (OP)'!AE75</f>
        <v>42674</v>
      </c>
      <c r="Y175" s="12" t="s">
        <v>531</v>
      </c>
      <c r="Z175" s="12" t="s">
        <v>532</v>
      </c>
      <c r="AA175" s="12" t="s">
        <v>533</v>
      </c>
      <c r="AB175" s="8" t="s">
        <v>1717</v>
      </c>
      <c r="AC175" s="14" t="s">
        <v>48</v>
      </c>
      <c r="AD175" s="14"/>
    </row>
    <row r="176" spans="1:30" ht="80.099999999999994" customHeight="1">
      <c r="A176" s="6">
        <v>163</v>
      </c>
      <c r="B176" s="12">
        <v>2016</v>
      </c>
      <c r="C176" s="14" t="s">
        <v>65</v>
      </c>
      <c r="D176" s="14" t="str">
        <f>'[1]V, inciso o) (OP)'!C76</f>
        <v>DOPI-MUN-RM-PAV-AD-163-2016</v>
      </c>
      <c r="E176" s="13">
        <f>'[1]V, inciso o) (OP)'!V76</f>
        <v>42615</v>
      </c>
      <c r="F176" s="14" t="str">
        <f>'[1]V, inciso o) (OP)'!AA76</f>
        <v>Programa emergente de bacheo de vialidades en Zapopan Sur Poniente tramo 1, municipio de Zapopan, Jalisco.</v>
      </c>
      <c r="G176" s="14" t="s">
        <v>111</v>
      </c>
      <c r="H176" s="15">
        <f>'[1]V, inciso o) (OP)'!Y76</f>
        <v>1001250.87</v>
      </c>
      <c r="I176" s="14" t="s">
        <v>1349</v>
      </c>
      <c r="J176" s="12" t="str">
        <f>'[1]V, inciso o) (OP)'!M76</f>
        <v>Regino</v>
      </c>
      <c r="K176" s="12" t="str">
        <f>'[1]V, inciso o) (OP)'!N76</f>
        <v>Ruiz del Campo</v>
      </c>
      <c r="L176" s="12" t="str">
        <f>'[1]V, inciso o) (OP)'!O76</f>
        <v>Medina</v>
      </c>
      <c r="M176" s="14" t="str">
        <f>'[1]V, inciso o) (OP)'!P76</f>
        <v>Regino Ruiz del Campo Medina</v>
      </c>
      <c r="N176" s="12" t="str">
        <f>'[1]V, inciso o) (OP)'!Q76</f>
        <v>RUMR771116UA8</v>
      </c>
      <c r="O176" s="15">
        <f>'[1]V, inciso o) (OP)'!Y76</f>
        <v>1001250.87</v>
      </c>
      <c r="P176" s="15">
        <v>1001250.87</v>
      </c>
      <c r="Q176" s="12" t="s">
        <v>536</v>
      </c>
      <c r="R176" s="15">
        <f>O176/5725</f>
        <v>174.89098165938864</v>
      </c>
      <c r="S176" s="12" t="s">
        <v>42</v>
      </c>
      <c r="T176" s="17">
        <v>19422</v>
      </c>
      <c r="U176" s="14" t="s">
        <v>43</v>
      </c>
      <c r="V176" s="12" t="s">
        <v>44</v>
      </c>
      <c r="W176" s="13">
        <f>'[1]V, inciso o) (OP)'!AD76</f>
        <v>42618</v>
      </c>
      <c r="X176" s="13">
        <f>'[1]V, inciso o) (OP)'!AE76</f>
        <v>42674</v>
      </c>
      <c r="Y176" s="12" t="s">
        <v>531</v>
      </c>
      <c r="Z176" s="12" t="s">
        <v>532</v>
      </c>
      <c r="AA176" s="12" t="s">
        <v>533</v>
      </c>
      <c r="AB176" s="8" t="s">
        <v>1718</v>
      </c>
      <c r="AC176" s="14" t="s">
        <v>48</v>
      </c>
      <c r="AD176" s="14"/>
    </row>
    <row r="177" spans="1:30" ht="80.099999999999994" customHeight="1">
      <c r="A177" s="6">
        <v>164</v>
      </c>
      <c r="B177" s="12">
        <v>2016</v>
      </c>
      <c r="C177" s="14" t="s">
        <v>65</v>
      </c>
      <c r="D177" s="14" t="str">
        <f>'[1]V, inciso o) (OP)'!C77</f>
        <v>DOPI-MUN-RM-PAV-AD-164-2016</v>
      </c>
      <c r="E177" s="13">
        <f>'[1]V, inciso o) (OP)'!V77</f>
        <v>42615</v>
      </c>
      <c r="F177" s="14" t="str">
        <f>'[1]V, inciso o) (OP)'!AA77</f>
        <v>Programa emergente de bacheo de vialidades en Zapopan Sur Poniente tramo 2, municipio de Zapopan, Jalsico</v>
      </c>
      <c r="G177" s="14" t="s">
        <v>111</v>
      </c>
      <c r="H177" s="15">
        <f>'[1]V, inciso o) (OP)'!Y77</f>
        <v>1002128.72</v>
      </c>
      <c r="I177" s="14" t="s">
        <v>1349</v>
      </c>
      <c r="J177" s="12" t="str">
        <f>'[1]V, inciso o) (OP)'!M77</f>
        <v>Carlos Ignacio</v>
      </c>
      <c r="K177" s="12" t="str">
        <f>'[1]V, inciso o) (OP)'!N77</f>
        <v>Curiel</v>
      </c>
      <c r="L177" s="12" t="str">
        <f>'[1]V, inciso o) (OP)'!O77</f>
        <v>Dueñas</v>
      </c>
      <c r="M177" s="14" t="str">
        <f>'[1]V, inciso o) (OP)'!P77</f>
        <v>Constructora Cecuchi, S.A. de C.V.</v>
      </c>
      <c r="N177" s="12" t="str">
        <f>'[1]V, inciso o) (OP)'!Q77</f>
        <v>CCE130723IR7</v>
      </c>
      <c r="O177" s="15">
        <f>'[1]V, inciso o) (OP)'!Y77</f>
        <v>1002128.72</v>
      </c>
      <c r="P177" s="15">
        <v>1002059.85</v>
      </c>
      <c r="Q177" s="12" t="s">
        <v>537</v>
      </c>
      <c r="R177" s="15">
        <f>O177/5731</f>
        <v>174.86105740708427</v>
      </c>
      <c r="S177" s="12" t="s">
        <v>42</v>
      </c>
      <c r="T177" s="17">
        <v>19523</v>
      </c>
      <c r="U177" s="14" t="s">
        <v>43</v>
      </c>
      <c r="V177" s="12" t="s">
        <v>44</v>
      </c>
      <c r="W177" s="13">
        <f>'[1]V, inciso o) (OP)'!AD77</f>
        <v>42618</v>
      </c>
      <c r="X177" s="13">
        <f>'[1]V, inciso o) (OP)'!AE77</f>
        <v>42674</v>
      </c>
      <c r="Y177" s="12" t="s">
        <v>531</v>
      </c>
      <c r="Z177" s="12" t="s">
        <v>532</v>
      </c>
      <c r="AA177" s="12" t="s">
        <v>533</v>
      </c>
      <c r="AB177" s="8" t="s">
        <v>1719</v>
      </c>
      <c r="AC177" s="14" t="s">
        <v>48</v>
      </c>
      <c r="AD177" s="14"/>
    </row>
    <row r="178" spans="1:30" ht="80.099999999999994" customHeight="1">
      <c r="A178" s="6">
        <v>165</v>
      </c>
      <c r="B178" s="12">
        <v>2016</v>
      </c>
      <c r="C178" s="14" t="s">
        <v>65</v>
      </c>
      <c r="D178" s="14" t="str">
        <f>'[1]V, inciso o) (OP)'!C78</f>
        <v>DOPI-MUN-RM-PAV-AD-165-2016</v>
      </c>
      <c r="E178" s="13">
        <f>'[1]V, inciso o) (OP)'!V78</f>
        <v>42615</v>
      </c>
      <c r="F178" s="14" t="str">
        <f>'[1]V, inciso o) (OP)'!AA78</f>
        <v>Programa emergente de bacheo de vialidades en Zapopan Poniente tramo 1, municipio de Zapopan, Jalsico</v>
      </c>
      <c r="G178" s="14" t="s">
        <v>111</v>
      </c>
      <c r="H178" s="15">
        <f>'[1]V, inciso o) (OP)'!Y78</f>
        <v>997115.6</v>
      </c>
      <c r="I178" s="14" t="s">
        <v>1349</v>
      </c>
      <c r="J178" s="12" t="str">
        <f>'[1]V, inciso o) (OP)'!M78</f>
        <v>Antonio</v>
      </c>
      <c r="K178" s="12" t="str">
        <f>'[1]V, inciso o) (OP)'!N78</f>
        <v>Chávez</v>
      </c>
      <c r="L178" s="12" t="str">
        <f>'[1]V, inciso o) (OP)'!O78</f>
        <v>Navarro</v>
      </c>
      <c r="M178" s="14" t="str">
        <f>'[1]V, inciso o) (OP)'!P78</f>
        <v>Constructora Industrial Chávez S.A. de C.V.</v>
      </c>
      <c r="N178" s="12" t="str">
        <f>'[1]V, inciso o) (OP)'!Q78</f>
        <v>CIC960718BW4</v>
      </c>
      <c r="O178" s="15">
        <f>'[1]V, inciso o) (OP)'!Y78</f>
        <v>997115.6</v>
      </c>
      <c r="P178" s="12" t="s">
        <v>48</v>
      </c>
      <c r="Q178" s="12" t="s">
        <v>538</v>
      </c>
      <c r="R178" s="15">
        <f>O178/5645</f>
        <v>176.6369530558016</v>
      </c>
      <c r="S178" s="12" t="s">
        <v>42</v>
      </c>
      <c r="T178" s="17">
        <v>22538</v>
      </c>
      <c r="U178" s="14" t="s">
        <v>43</v>
      </c>
      <c r="V178" s="12" t="s">
        <v>44</v>
      </c>
      <c r="W178" s="13">
        <f>'[1]V, inciso o) (OP)'!AD78</f>
        <v>42618</v>
      </c>
      <c r="X178" s="13">
        <f>'[1]V, inciso o) (OP)'!AE78</f>
        <v>42674</v>
      </c>
      <c r="Y178" s="12" t="s">
        <v>531</v>
      </c>
      <c r="Z178" s="12" t="s">
        <v>532</v>
      </c>
      <c r="AA178" s="12" t="s">
        <v>533</v>
      </c>
      <c r="AB178" s="8" t="s">
        <v>1720</v>
      </c>
      <c r="AC178" s="14" t="s">
        <v>48</v>
      </c>
      <c r="AD178" s="14"/>
    </row>
    <row r="179" spans="1:30" ht="80.099999999999994" customHeight="1">
      <c r="A179" s="6">
        <v>166</v>
      </c>
      <c r="B179" s="12">
        <v>2016</v>
      </c>
      <c r="C179" s="14" t="s">
        <v>65</v>
      </c>
      <c r="D179" s="14" t="str">
        <f>'[1]V, inciso o) (OP)'!C79</f>
        <v>DOPI-MUN-RM-PAV-AD-166-2016</v>
      </c>
      <c r="E179" s="13">
        <f>'[1]V, inciso o) (OP)'!V79</f>
        <v>42615</v>
      </c>
      <c r="F179" s="14" t="str">
        <f>'[1]V, inciso o) (OP)'!AA79</f>
        <v>Programa emergente de bacheo de vialidades en Zapopan Poniente tramo 2, municipio de Zapopan, Jalsico</v>
      </c>
      <c r="G179" s="14" t="s">
        <v>111</v>
      </c>
      <c r="H179" s="15">
        <f>'[1]V, inciso o) (OP)'!Y79</f>
        <v>1003154.53</v>
      </c>
      <c r="I179" s="14" t="s">
        <v>1349</v>
      </c>
      <c r="J179" s="12" t="str">
        <f>'[1]V, inciso o) (OP)'!M79</f>
        <v>Raquel</v>
      </c>
      <c r="K179" s="12" t="str">
        <f>'[1]V, inciso o) (OP)'!N79</f>
        <v>Chávez</v>
      </c>
      <c r="L179" s="12" t="str">
        <f>'[1]V, inciso o) (OP)'!O79</f>
        <v>Navarro</v>
      </c>
      <c r="M179" s="14" t="str">
        <f>'[1]V, inciso o) (OP)'!P79</f>
        <v>Asfaltos Selectos de Ocotlán, S.A. de C.V.</v>
      </c>
      <c r="N179" s="12" t="str">
        <f>'[1]V, inciso o) (OP)'!Q79</f>
        <v>ASO080408GY0</v>
      </c>
      <c r="O179" s="15">
        <f>'[1]V, inciso o) (OP)'!Y79</f>
        <v>1003154.53</v>
      </c>
      <c r="P179" s="15">
        <f>O179</f>
        <v>1003154.53</v>
      </c>
      <c r="Q179" s="12" t="s">
        <v>539</v>
      </c>
      <c r="R179" s="15">
        <f>O179/5733</f>
        <v>174.97898656898658</v>
      </c>
      <c r="S179" s="12" t="s">
        <v>42</v>
      </c>
      <c r="T179" s="17">
        <v>21065</v>
      </c>
      <c r="U179" s="14" t="s">
        <v>43</v>
      </c>
      <c r="V179" s="12" t="s">
        <v>44</v>
      </c>
      <c r="W179" s="13">
        <f>'[1]V, inciso o) (OP)'!AD79</f>
        <v>42618</v>
      </c>
      <c r="X179" s="13">
        <f>'[1]V, inciso o) (OP)'!AE79</f>
        <v>42674</v>
      </c>
      <c r="Y179" s="12" t="s">
        <v>531</v>
      </c>
      <c r="Z179" s="12" t="s">
        <v>532</v>
      </c>
      <c r="AA179" s="12" t="s">
        <v>533</v>
      </c>
      <c r="AB179" s="8" t="s">
        <v>1721</v>
      </c>
      <c r="AC179" s="14" t="s">
        <v>48</v>
      </c>
      <c r="AD179" s="14"/>
    </row>
    <row r="180" spans="1:30" ht="80.099999999999994" customHeight="1">
      <c r="A180" s="6">
        <v>167</v>
      </c>
      <c r="B180" s="12">
        <v>2016</v>
      </c>
      <c r="C180" s="14" t="s">
        <v>65</v>
      </c>
      <c r="D180" s="14" t="str">
        <f>'[1]V, inciso o) (OP)'!C80</f>
        <v>DOPI-MUN-RM-PAV-AD-167-2016</v>
      </c>
      <c r="E180" s="13">
        <f>'[1]V, inciso o) (OP)'!V80</f>
        <v>42615</v>
      </c>
      <c r="F180" s="14" t="str">
        <f>'[1]V, inciso o) (OP)'!AA80</f>
        <v>Programa emergente de bacheo de vialidades en Zapopan Norponiente tramo 1, municipio de Zapopan, Jalisco.</v>
      </c>
      <c r="G180" s="14" t="s">
        <v>111</v>
      </c>
      <c r="H180" s="15">
        <f>'[1]V, inciso o) (OP)'!Y80</f>
        <v>990472.15</v>
      </c>
      <c r="I180" s="14" t="s">
        <v>1349</v>
      </c>
      <c r="J180" s="12" t="str">
        <f>'[1]V, inciso o) (OP)'!M80</f>
        <v xml:space="preserve">Guillermo Emmanuel </v>
      </c>
      <c r="K180" s="12" t="str">
        <f>'[1]V, inciso o) (OP)'!N80</f>
        <v xml:space="preserve">Lara </v>
      </c>
      <c r="L180" s="12" t="str">
        <f>'[1]V, inciso o) (OP)'!O80</f>
        <v>Ochoa</v>
      </c>
      <c r="M180" s="14" t="str">
        <f>'[1]V, inciso o) (OP)'!P80</f>
        <v>Alquimia Grupo Constructor, S.A. de C.V.</v>
      </c>
      <c r="N180" s="12" t="str">
        <f>'[1]V, inciso o) (OP)'!Q80</f>
        <v>AGC070223J95</v>
      </c>
      <c r="O180" s="15">
        <f>'[1]V, inciso o) (OP)'!Y80</f>
        <v>990472.15</v>
      </c>
      <c r="P180" s="15">
        <v>990425.96</v>
      </c>
      <c r="Q180" s="12" t="s">
        <v>540</v>
      </c>
      <c r="R180" s="15">
        <f>O180/5614</f>
        <v>176.428954399715</v>
      </c>
      <c r="S180" s="12" t="s">
        <v>42</v>
      </c>
      <c r="T180" s="17">
        <v>23124</v>
      </c>
      <c r="U180" s="14" t="s">
        <v>43</v>
      </c>
      <c r="V180" s="12" t="s">
        <v>44</v>
      </c>
      <c r="W180" s="13">
        <f>'[1]V, inciso o) (OP)'!AD80</f>
        <v>42618</v>
      </c>
      <c r="X180" s="13">
        <f>'[1]V, inciso o) (OP)'!AE80</f>
        <v>42674</v>
      </c>
      <c r="Y180" s="12" t="s">
        <v>531</v>
      </c>
      <c r="Z180" s="12" t="s">
        <v>532</v>
      </c>
      <c r="AA180" s="12" t="s">
        <v>533</v>
      </c>
      <c r="AB180" s="8" t="s">
        <v>1895</v>
      </c>
      <c r="AC180" s="14" t="s">
        <v>48</v>
      </c>
      <c r="AD180" s="14"/>
    </row>
    <row r="181" spans="1:30" ht="80.099999999999994" customHeight="1">
      <c r="A181" s="6">
        <v>168</v>
      </c>
      <c r="B181" s="12">
        <v>2016</v>
      </c>
      <c r="C181" s="14" t="s">
        <v>65</v>
      </c>
      <c r="D181" s="14" t="str">
        <f>'[1]V, inciso o) (OP)'!C81</f>
        <v>DOPI-MUN-RM-PAV-AD-168-2016</v>
      </c>
      <c r="E181" s="13">
        <f>'[1]V, inciso o) (OP)'!V81</f>
        <v>42615</v>
      </c>
      <c r="F181" s="14" t="str">
        <f>'[1]V, inciso o) (OP)'!AA81</f>
        <v>Programa emergente de bacheo de vialidades en Zapopan Norponiente tramo 2, municipio de Zapopan, Jalsico</v>
      </c>
      <c r="G181" s="14" t="s">
        <v>111</v>
      </c>
      <c r="H181" s="15">
        <f>'[1]V, inciso o) (OP)'!Y81</f>
        <v>988477.86</v>
      </c>
      <c r="I181" s="14" t="s">
        <v>1349</v>
      </c>
      <c r="J181" s="12" t="str">
        <f>'[1]V, inciso o) (OP)'!M81</f>
        <v>Aurora Lucia</v>
      </c>
      <c r="K181" s="12" t="str">
        <f>'[1]V, inciso o) (OP)'!N81</f>
        <v xml:space="preserve">Brenez </v>
      </c>
      <c r="L181" s="12" t="str">
        <f>'[1]V, inciso o) (OP)'!O81</f>
        <v>Garnica</v>
      </c>
      <c r="M181" s="14" t="str">
        <f>'[1]V, inciso o) (OP)'!P81</f>
        <v>Karol Urbanizaciones y Construcciones, S.A. de C.V.</v>
      </c>
      <c r="N181" s="12" t="str">
        <f>'[1]V, inciso o) (OP)'!Q81</f>
        <v>KUC070424344</v>
      </c>
      <c r="O181" s="15">
        <f>'[1]V, inciso o) (OP)'!Y81</f>
        <v>988477.86</v>
      </c>
      <c r="P181" s="15">
        <v>987447.91999999993</v>
      </c>
      <c r="Q181" s="12" t="s">
        <v>541</v>
      </c>
      <c r="R181" s="15">
        <f>O181/5591</f>
        <v>176.79804328384904</v>
      </c>
      <c r="S181" s="12" t="s">
        <v>42</v>
      </c>
      <c r="T181" s="17">
        <v>22365</v>
      </c>
      <c r="U181" s="14" t="s">
        <v>43</v>
      </c>
      <c r="V181" s="12" t="s">
        <v>44</v>
      </c>
      <c r="W181" s="13">
        <f>'[1]V, inciso o) (OP)'!AD81</f>
        <v>42618</v>
      </c>
      <c r="X181" s="13">
        <f>'[1]V, inciso o) (OP)'!AE81</f>
        <v>42674</v>
      </c>
      <c r="Y181" s="12" t="s">
        <v>531</v>
      </c>
      <c r="Z181" s="12" t="s">
        <v>532</v>
      </c>
      <c r="AA181" s="12" t="s">
        <v>533</v>
      </c>
      <c r="AB181" s="8" t="s">
        <v>1722</v>
      </c>
      <c r="AC181" s="14" t="s">
        <v>48</v>
      </c>
      <c r="AD181" s="14"/>
    </row>
    <row r="182" spans="1:30" ht="80.099999999999994" customHeight="1">
      <c r="A182" s="6">
        <v>169</v>
      </c>
      <c r="B182" s="12">
        <v>2016</v>
      </c>
      <c r="C182" s="14" t="s">
        <v>65</v>
      </c>
      <c r="D182" s="14" t="str">
        <f>'[1]V, inciso o) (OP)'!C82</f>
        <v>DOPI-MUN-RM-PAV-AD-169-2016</v>
      </c>
      <c r="E182" s="13">
        <f>'[1]V, inciso o) (OP)'!V82</f>
        <v>42615</v>
      </c>
      <c r="F182" s="14" t="str">
        <f>'[1]V, inciso o) (OP)'!AA82</f>
        <v>Programa emergente de bacheo de vialidades en Zapopan Norte tramo 1, municipio de Zapopan, Jalsico</v>
      </c>
      <c r="G182" s="14" t="s">
        <v>111</v>
      </c>
      <c r="H182" s="15">
        <f>'[1]V, inciso o) (OP)'!Y82</f>
        <v>996236.89</v>
      </c>
      <c r="I182" s="14" t="s">
        <v>1349</v>
      </c>
      <c r="J182" s="12" t="str">
        <f>'[1]V, inciso o) (OP)'!M82</f>
        <v>Carlos Felipe</v>
      </c>
      <c r="K182" s="12" t="str">
        <f>'[1]V, inciso o) (OP)'!N82</f>
        <v>Vázquez</v>
      </c>
      <c r="L182" s="12" t="str">
        <f>'[1]V, inciso o) (OP)'!O82</f>
        <v>Guerra</v>
      </c>
      <c r="M182" s="14" t="str">
        <f>'[1]V, inciso o) (OP)'!P82</f>
        <v>Urbanizadora Vázquez Guerra, S.A. de C.V.</v>
      </c>
      <c r="N182" s="12" t="str">
        <f>'[1]V, inciso o) (OP)'!Q82</f>
        <v>UVG841211G22</v>
      </c>
      <c r="O182" s="15">
        <f>'[1]V, inciso o) (OP)'!Y82</f>
        <v>996236.89</v>
      </c>
      <c r="P182" s="15">
        <v>996236.87999999989</v>
      </c>
      <c r="Q182" s="12" t="s">
        <v>542</v>
      </c>
      <c r="R182" s="15">
        <f>O182/5608</f>
        <v>177.64566512125535</v>
      </c>
      <c r="S182" s="12" t="s">
        <v>42</v>
      </c>
      <c r="T182" s="17">
        <v>20165</v>
      </c>
      <c r="U182" s="14" t="s">
        <v>43</v>
      </c>
      <c r="V182" s="12" t="s">
        <v>44</v>
      </c>
      <c r="W182" s="13">
        <f>'[1]V, inciso o) (OP)'!AD82</f>
        <v>42618</v>
      </c>
      <c r="X182" s="13">
        <f>'[1]V, inciso o) (OP)'!AE82</f>
        <v>42674</v>
      </c>
      <c r="Y182" s="12" t="s">
        <v>531</v>
      </c>
      <c r="Z182" s="12" t="s">
        <v>532</v>
      </c>
      <c r="AA182" s="12" t="s">
        <v>533</v>
      </c>
      <c r="AB182" s="8" t="s">
        <v>1896</v>
      </c>
      <c r="AC182" s="14" t="s">
        <v>48</v>
      </c>
      <c r="AD182" s="14"/>
    </row>
    <row r="183" spans="1:30" ht="80.099999999999994" customHeight="1">
      <c r="A183" s="5">
        <v>170</v>
      </c>
      <c r="B183" s="12">
        <v>2016</v>
      </c>
      <c r="C183" s="14" t="s">
        <v>65</v>
      </c>
      <c r="D183" s="14" t="str">
        <f>'[1]V, inciso o) (OP)'!C83</f>
        <v>DOPI-MUN-RM-ELE-AD-170-2016</v>
      </c>
      <c r="E183" s="13">
        <f>'[1]V, inciso o) (OP)'!V83</f>
        <v>42636</v>
      </c>
      <c r="F183" s="14" t="str">
        <f>'[1]V, inciso o) (OP)'!AA83</f>
        <v>Trabajos complementarios de infraestructura eléctrica y de alumbrado público, frente 1, municipio de Zapopan, Jalisco</v>
      </c>
      <c r="G183" s="14" t="s">
        <v>111</v>
      </c>
      <c r="H183" s="15">
        <f>'[1]V, inciso o) (OP)'!Y83</f>
        <v>1492750.23</v>
      </c>
      <c r="I183" s="14" t="s">
        <v>1349</v>
      </c>
      <c r="J183" s="12" t="str">
        <f>'[1]V, inciso o) (OP)'!M83</f>
        <v>Pia Lorena</v>
      </c>
      <c r="K183" s="12" t="str">
        <f>'[1]V, inciso o) (OP)'!N83</f>
        <v>Buenrostro</v>
      </c>
      <c r="L183" s="12" t="str">
        <f>'[1]V, inciso o) (OP)'!O83</f>
        <v>Ahued</v>
      </c>
      <c r="M183" s="14" t="str">
        <f>'[1]V, inciso o) (OP)'!P83</f>
        <v>Birmek Construcciones, S.A. de C.V.</v>
      </c>
      <c r="N183" s="12" t="str">
        <f>'[1]V, inciso o) (OP)'!Q83</f>
        <v>BCO070129512</v>
      </c>
      <c r="O183" s="15">
        <f>'[1]V, inciso o) (OP)'!Y83</f>
        <v>1492750.23</v>
      </c>
      <c r="P183" s="15">
        <f>O183</f>
        <v>1492750.23</v>
      </c>
      <c r="Q183" s="12" t="s">
        <v>543</v>
      </c>
      <c r="R183" s="15">
        <f>O183/584</f>
        <v>2556.0791609589041</v>
      </c>
      <c r="S183" s="12" t="s">
        <v>42</v>
      </c>
      <c r="T183" s="17">
        <v>18652</v>
      </c>
      <c r="U183" s="14" t="s">
        <v>43</v>
      </c>
      <c r="V183" s="12" t="s">
        <v>378</v>
      </c>
      <c r="W183" s="13">
        <f>'[1]V, inciso o) (OP)'!AD83</f>
        <v>42639</v>
      </c>
      <c r="X183" s="13">
        <f>'[1]V, inciso o) (OP)'!AE83</f>
        <v>42719</v>
      </c>
      <c r="Y183" s="12" t="s">
        <v>408</v>
      </c>
      <c r="Z183" s="12" t="s">
        <v>301</v>
      </c>
      <c r="AA183" s="12" t="s">
        <v>518</v>
      </c>
      <c r="AB183" s="8" t="s">
        <v>1723</v>
      </c>
      <c r="AC183" s="14" t="s">
        <v>48</v>
      </c>
      <c r="AD183" s="14" t="s">
        <v>1571</v>
      </c>
    </row>
    <row r="184" spans="1:30" ht="80.099999999999994" customHeight="1">
      <c r="A184" s="6">
        <v>171</v>
      </c>
      <c r="B184" s="12">
        <v>2016</v>
      </c>
      <c r="C184" s="14" t="s">
        <v>65</v>
      </c>
      <c r="D184" s="14" t="str">
        <f>'[1]V, inciso o) (OP)'!C84</f>
        <v>DOPI-MUN-RM-PAV-AD-171-2016</v>
      </c>
      <c r="E184" s="13">
        <f>'[1]V, inciso o) (OP)'!V84</f>
        <v>42622</v>
      </c>
      <c r="F184" s="14" t="str">
        <f>'[1]V, inciso o) (OP)'!AA84</f>
        <v>Pavimentación con adoquín y empedrado tradicional con material producto de recuperación en diferentes vialidades en el Municipio de Zapopan, Jalisco</v>
      </c>
      <c r="G184" s="14" t="s">
        <v>111</v>
      </c>
      <c r="H184" s="15">
        <f>'[1]V, inciso o) (OP)'!Y84</f>
        <v>1480115.18</v>
      </c>
      <c r="I184" s="14" t="s">
        <v>1349</v>
      </c>
      <c r="J184" s="12" t="str">
        <f>'[1]V, inciso o) (OP)'!M84</f>
        <v>Omar</v>
      </c>
      <c r="K184" s="12" t="str">
        <f>'[1]V, inciso o) (OP)'!N84</f>
        <v>Mora</v>
      </c>
      <c r="L184" s="12" t="str">
        <f>'[1]V, inciso o) (OP)'!O84</f>
        <v>Montes de Oca</v>
      </c>
      <c r="M184" s="14" t="str">
        <f>'[1]V, inciso o) (OP)'!P84</f>
        <v>Dommont Construcciones, S.A. de C.V.</v>
      </c>
      <c r="N184" s="12" t="str">
        <f>'[1]V, inciso o) (OP)'!Q84</f>
        <v>DCO130215C16</v>
      </c>
      <c r="O184" s="15">
        <f>'[1]V, inciso o) (OP)'!Y84</f>
        <v>1480115.18</v>
      </c>
      <c r="P184" s="15">
        <v>1468209.45</v>
      </c>
      <c r="Q184" s="12" t="s">
        <v>544</v>
      </c>
      <c r="R184" s="15">
        <f>O184/3100</f>
        <v>477.45650967741932</v>
      </c>
      <c r="S184" s="12" t="s">
        <v>42</v>
      </c>
      <c r="T184" s="17">
        <v>16845</v>
      </c>
      <c r="U184" s="14" t="s">
        <v>43</v>
      </c>
      <c r="V184" s="12" t="s">
        <v>44</v>
      </c>
      <c r="W184" s="13">
        <f>'[1]V, inciso o) (OP)'!AD84</f>
        <v>42624</v>
      </c>
      <c r="X184" s="13">
        <f>'[1]V, inciso o) (OP)'!AE84</f>
        <v>42689</v>
      </c>
      <c r="Y184" s="12" t="s">
        <v>439</v>
      </c>
      <c r="Z184" s="12" t="s">
        <v>186</v>
      </c>
      <c r="AA184" s="12" t="s">
        <v>92</v>
      </c>
      <c r="AB184" s="14" t="s">
        <v>1641</v>
      </c>
      <c r="AC184" s="18"/>
      <c r="AD184" s="14"/>
    </row>
    <row r="185" spans="1:30" ht="80.099999999999994" customHeight="1">
      <c r="A185" s="6">
        <v>172</v>
      </c>
      <c r="B185" s="12">
        <v>2016</v>
      </c>
      <c r="C185" s="14" t="s">
        <v>65</v>
      </c>
      <c r="D185" s="14" t="str">
        <f>'[1]V, inciso o) (OP)'!C85</f>
        <v>DOPI-MUN-RM-SIS-AD-172-2016</v>
      </c>
      <c r="E185" s="13">
        <f>'[1]V, inciso o) (OP)'!V85</f>
        <v>42622</v>
      </c>
      <c r="F185" s="14" t="str">
        <f>'[1]V, inciso o) (OP)'!AA85</f>
        <v>Programación e implementación de sistema informático para la programación, contratación, control y seguimiento de ejecución de obra, elaboración de estimaciones y padrón de contratistas del Municipio de Zapopan, Jalisco</v>
      </c>
      <c r="G185" s="14" t="s">
        <v>66</v>
      </c>
      <c r="H185" s="15">
        <f>'[1]V, inciso o) (OP)'!Y85</f>
        <v>435640.37</v>
      </c>
      <c r="I185" s="14" t="s">
        <v>124</v>
      </c>
      <c r="J185" s="12" t="str">
        <f>'[1]V, inciso o) (OP)'!M85</f>
        <v>Víctor Martín</v>
      </c>
      <c r="K185" s="12" t="str">
        <f>'[1]V, inciso o) (OP)'!N85</f>
        <v>López</v>
      </c>
      <c r="L185" s="12" t="str">
        <f>'[1]V, inciso o) (OP)'!O85</f>
        <v>Santos</v>
      </c>
      <c r="M185" s="14" t="str">
        <f>'[1]V, inciso o) (OP)'!P85</f>
        <v>Desarrollos Vicsa, S.A. de C.V.</v>
      </c>
      <c r="N185" s="12" t="str">
        <f>'[1]V, inciso o) (OP)'!Q85</f>
        <v>DVI0903301U3</v>
      </c>
      <c r="O185" s="15">
        <f>'[1]V, inciso o) (OP)'!Y85</f>
        <v>435640.37</v>
      </c>
      <c r="P185" s="15">
        <v>435640.36</v>
      </c>
      <c r="Q185" s="12" t="s">
        <v>545</v>
      </c>
      <c r="R185" s="15">
        <f>O185</f>
        <v>435640.37</v>
      </c>
      <c r="S185" s="12" t="s">
        <v>42</v>
      </c>
      <c r="T185" s="17">
        <v>685</v>
      </c>
      <c r="U185" s="14" t="s">
        <v>124</v>
      </c>
      <c r="V185" s="12" t="s">
        <v>44</v>
      </c>
      <c r="W185" s="13">
        <f>'[1]V, inciso o) (OP)'!AD85</f>
        <v>42624</v>
      </c>
      <c r="X185" s="13">
        <f>'[1]V, inciso o) (OP)'!AE85</f>
        <v>42689</v>
      </c>
      <c r="Y185" s="12" t="s">
        <v>546</v>
      </c>
      <c r="Z185" s="12" t="s">
        <v>547</v>
      </c>
      <c r="AA185" s="12" t="s">
        <v>548</v>
      </c>
      <c r="AB185" s="14" t="s">
        <v>48</v>
      </c>
      <c r="AC185" s="14" t="s">
        <v>48</v>
      </c>
      <c r="AD185" s="14"/>
    </row>
    <row r="186" spans="1:30" ht="80.099999999999994" customHeight="1">
      <c r="A186" s="5">
        <v>173</v>
      </c>
      <c r="B186" s="12">
        <v>2016</v>
      </c>
      <c r="C186" s="14" t="str">
        <f>'[1]V, inciso p) (OP)'!B107</f>
        <v>Licitación Pública</v>
      </c>
      <c r="D186" s="14" t="str">
        <f>'[1]V, inciso p) (OP)'!D107</f>
        <v>DOPI-MUN-RM-IM-LP-173-2016</v>
      </c>
      <c r="E186" s="13">
        <f>'[1]V, inciso p) (OP)'!AD107</f>
        <v>42726</v>
      </c>
      <c r="F186" s="14" t="str">
        <f>'[1]V, inciso p) (OP)'!I107</f>
        <v>Rehabilitación de la instalación eléctrica, iluminación y alumbrado público en el mercado municipal de Atemajac, municipio de Zapopan, Jalisco.</v>
      </c>
      <c r="G186" s="14" t="s">
        <v>111</v>
      </c>
      <c r="H186" s="15">
        <f>'[1]V, inciso p) (OP)'!AG107</f>
        <v>8929443.7100000009</v>
      </c>
      <c r="I186" s="14" t="str">
        <f>'[1]V, inciso p) (OP)'!AS107</f>
        <v>Atemajac</v>
      </c>
      <c r="J186" s="12" t="str">
        <f>'[1]V, inciso p) (OP)'!T107</f>
        <v>Amalia</v>
      </c>
      <c r="K186" s="12" t="str">
        <f>'[1]V, inciso p) (OP)'!U107</f>
        <v>Moreno</v>
      </c>
      <c r="L186" s="12" t="str">
        <f>'[1]V, inciso p) (OP)'!V107</f>
        <v>Maldonado</v>
      </c>
      <c r="M186" s="14" t="str">
        <f>'[1]V, inciso p) (OP)'!W107</f>
        <v>Grupo Constructor los Muros, S.A. de C.V.</v>
      </c>
      <c r="N186" s="12" t="str">
        <f>'[1]V, inciso p) (OP)'!X107</f>
        <v>GCM020226F28</v>
      </c>
      <c r="O186" s="15">
        <f>'[1]V, inciso p) (OP)'!AG107</f>
        <v>8929443.7100000009</v>
      </c>
      <c r="P186" s="15">
        <f>O186</f>
        <v>8929443.7100000009</v>
      </c>
      <c r="Q186" s="12" t="s">
        <v>549</v>
      </c>
      <c r="R186" s="15">
        <f>O186/9461.16</f>
        <v>943.8000953371469</v>
      </c>
      <c r="S186" s="12" t="s">
        <v>42</v>
      </c>
      <c r="T186" s="17">
        <v>12833</v>
      </c>
      <c r="U186" s="14" t="s">
        <v>43</v>
      </c>
      <c r="V186" s="12" t="s">
        <v>378</v>
      </c>
      <c r="W186" s="13">
        <f>'[1]V, inciso p) (OP)'!AM107</f>
        <v>42727</v>
      </c>
      <c r="X186" s="13">
        <f>'[1]V, inciso p) (OP)'!AN107</f>
        <v>42816</v>
      </c>
      <c r="Y186" s="12" t="s">
        <v>408</v>
      </c>
      <c r="Z186" s="12" t="s">
        <v>301</v>
      </c>
      <c r="AA186" s="12" t="s">
        <v>518</v>
      </c>
      <c r="AB186" s="14" t="s">
        <v>48</v>
      </c>
      <c r="AC186" s="14" t="s">
        <v>48</v>
      </c>
      <c r="AD186" s="14" t="s">
        <v>1571</v>
      </c>
    </row>
    <row r="187" spans="1:30" ht="80.099999999999994" customHeight="1">
      <c r="A187" s="5">
        <v>174</v>
      </c>
      <c r="B187" s="12">
        <v>2016</v>
      </c>
      <c r="C187" s="14" t="str">
        <f>'[1]V, inciso p) (OP)'!B108</f>
        <v>Licitación Pública</v>
      </c>
      <c r="D187" s="14" t="str">
        <f>'[1]V, inciso p) (OP)'!D108</f>
        <v>DOPI-MUN-RM-IM-LP-174-2016</v>
      </c>
      <c r="E187" s="13">
        <f>'[1]V, inciso p) (OP)'!AD108</f>
        <v>42726</v>
      </c>
      <c r="F187" s="14" t="str">
        <f>'[1]V, inciso p) (OP)'!I108</f>
        <v>Rehabilitación de la red hidrosanitaria, instalación de la red contra incendio, obra civil, elevador y acabados en el mercado municipal de Atemajac, municipio de Zapopan , Jalisco.</v>
      </c>
      <c r="G187" s="14" t="s">
        <v>111</v>
      </c>
      <c r="H187" s="15">
        <f>'[1]V, inciso p) (OP)'!AG108</f>
        <v>10276943.060000001</v>
      </c>
      <c r="I187" s="14" t="str">
        <f>'[1]V, inciso p) (OP)'!AS108</f>
        <v>Atemajac</v>
      </c>
      <c r="J187" s="12" t="str">
        <f>'[1]V, inciso p) (OP)'!T108</f>
        <v xml:space="preserve">Leobardo </v>
      </c>
      <c r="K187" s="12" t="str">
        <f>'[1]V, inciso p) (OP)'!U108</f>
        <v>Preciado</v>
      </c>
      <c r="L187" s="12" t="str">
        <f>'[1]V, inciso p) (OP)'!V108</f>
        <v>Zepeda</v>
      </c>
      <c r="M187" s="14" t="str">
        <f>'[1]V, inciso p) (OP)'!W108</f>
        <v xml:space="preserve">Consorcio Constructor Adobes, S. A. de C. V. </v>
      </c>
      <c r="N187" s="12" t="str">
        <f>'[1]V, inciso p) (OP)'!X108</f>
        <v>CCA971126QC9</v>
      </c>
      <c r="O187" s="15">
        <f>'[1]V, inciso p) (OP)'!AG108</f>
        <v>10276943.060000001</v>
      </c>
      <c r="P187" s="15">
        <v>10276943.02</v>
      </c>
      <c r="Q187" s="12" t="s">
        <v>550</v>
      </c>
      <c r="R187" s="15">
        <f>O187/9461.16</f>
        <v>1086.2244227980502</v>
      </c>
      <c r="S187" s="12" t="s">
        <v>42</v>
      </c>
      <c r="T187" s="17">
        <v>12833</v>
      </c>
      <c r="U187" s="14" t="s">
        <v>43</v>
      </c>
      <c r="V187" s="12" t="s">
        <v>378</v>
      </c>
      <c r="W187" s="13">
        <f>'[1]V, inciso p) (OP)'!AM108</f>
        <v>42727</v>
      </c>
      <c r="X187" s="13">
        <f>'[1]V, inciso p) (OP)'!AN108</f>
        <v>42816</v>
      </c>
      <c r="Y187" s="12" t="s">
        <v>492</v>
      </c>
      <c r="Z187" s="12" t="s">
        <v>493</v>
      </c>
      <c r="AA187" s="12" t="s">
        <v>97</v>
      </c>
      <c r="AB187" s="14" t="s">
        <v>48</v>
      </c>
      <c r="AC187" s="14" t="s">
        <v>48</v>
      </c>
      <c r="AD187" s="14"/>
    </row>
    <row r="188" spans="1:30" ht="80.099999999999994" customHeight="1">
      <c r="A188" s="5">
        <v>175</v>
      </c>
      <c r="B188" s="12">
        <v>2016</v>
      </c>
      <c r="C188" s="14" t="str">
        <f>'[1]V, inciso p) (OP)'!B109</f>
        <v>Licitación Pública</v>
      </c>
      <c r="D188" s="14" t="str">
        <f>'[1]V, inciso p) (OP)'!D109</f>
        <v>DOPI-MUN-RM-DP-LP-175-2016</v>
      </c>
      <c r="E188" s="13">
        <f>'[1]V, inciso p) (OP)'!AD109</f>
        <v>42726</v>
      </c>
      <c r="F188" s="14" t="str">
        <f>'[1]V, inciso p) (OP)'!I109</f>
        <v>Sustitución de rejillas de bocas de tormenta en diferentes vialidades del municipio.</v>
      </c>
      <c r="G188" s="14" t="s">
        <v>111</v>
      </c>
      <c r="H188" s="15">
        <f>'[1]V, inciso p) (OP)'!AG109</f>
        <v>2998448.3</v>
      </c>
      <c r="I188" s="14" t="str">
        <f>'[1]V, inciso p) (OP)'!AS109</f>
        <v>Varias colonias del Municipio</v>
      </c>
      <c r="J188" s="12" t="str">
        <f>'[1]V, inciso p) (OP)'!T109</f>
        <v>José Omar</v>
      </c>
      <c r="K188" s="12" t="str">
        <f>'[1]V, inciso p) (OP)'!U109</f>
        <v>Fernández</v>
      </c>
      <c r="L188" s="12" t="str">
        <f>'[1]V, inciso p) (OP)'!V109</f>
        <v>Vázquez</v>
      </c>
      <c r="M188" s="14" t="str">
        <f>'[1]V, inciso p) (OP)'!W109</f>
        <v>José Omar Fernández Vázquez</v>
      </c>
      <c r="N188" s="12" t="str">
        <f>'[1]V, inciso p) (OP)'!X109</f>
        <v>FEVO740619686</v>
      </c>
      <c r="O188" s="15">
        <f>'[1]V, inciso p) (OP)'!AG109</f>
        <v>2998448.3</v>
      </c>
      <c r="P188" s="15">
        <v>2655157.6</v>
      </c>
      <c r="Q188" s="12" t="s">
        <v>551</v>
      </c>
      <c r="R188" s="15">
        <f>O188/254</f>
        <v>11804.914566929134</v>
      </c>
      <c r="S188" s="12" t="s">
        <v>42</v>
      </c>
      <c r="T188" s="17">
        <v>122366</v>
      </c>
      <c r="U188" s="14" t="s">
        <v>43</v>
      </c>
      <c r="V188" s="12" t="s">
        <v>44</v>
      </c>
      <c r="W188" s="13">
        <f>'[1]V, inciso p) (OP)'!AM109</f>
        <v>42727</v>
      </c>
      <c r="X188" s="13">
        <f>'[1]V, inciso p) (OP)'!AN109</f>
        <v>42846</v>
      </c>
      <c r="Y188" s="12" t="s">
        <v>552</v>
      </c>
      <c r="Z188" s="12" t="s">
        <v>553</v>
      </c>
      <c r="AA188" s="12" t="s">
        <v>148</v>
      </c>
      <c r="AB188" s="14" t="s">
        <v>48</v>
      </c>
      <c r="AC188" s="14" t="s">
        <v>48</v>
      </c>
      <c r="AD188" s="14"/>
    </row>
    <row r="189" spans="1:30" ht="80.099999999999994" customHeight="1">
      <c r="A189" s="5">
        <v>176</v>
      </c>
      <c r="B189" s="12">
        <v>2016</v>
      </c>
      <c r="C189" s="14" t="str">
        <f>'[1]V, inciso p) (OP)'!B110</f>
        <v>Licitación Pública</v>
      </c>
      <c r="D189" s="14" t="str">
        <f>'[1]V, inciso p) (OP)'!D110</f>
        <v>DOPI-MUN-RM-ID-LP-176-2016</v>
      </c>
      <c r="E189" s="13">
        <f>'[1]V, inciso p) (OP)'!AD110</f>
        <v>42726</v>
      </c>
      <c r="F189" s="14" t="str">
        <f>'[1]V, inciso p) (OP)'!I110</f>
        <v>Rehabilitación de las instalaciones y equipamiento deportivo de la Unidad Deportiva Miramar, municipio de Zapopan, Jalisco</v>
      </c>
      <c r="G189" s="14" t="s">
        <v>111</v>
      </c>
      <c r="H189" s="15">
        <f>'[1]V, inciso p) (OP)'!AG110</f>
        <v>7420078.3799999999</v>
      </c>
      <c r="I189" s="14" t="str">
        <f>'[1]V, inciso p) (OP)'!AS110</f>
        <v>Colonia Miramar</v>
      </c>
      <c r="J189" s="12" t="str">
        <f>'[1]V, inciso p) (OP)'!T110</f>
        <v>José Antonio</v>
      </c>
      <c r="K189" s="12" t="str">
        <f>'[1]V, inciso p) (OP)'!U110</f>
        <v>Álvarez</v>
      </c>
      <c r="L189" s="12" t="str">
        <f>'[1]V, inciso p) (OP)'!V110</f>
        <v>Garcia</v>
      </c>
      <c r="M189" s="14" t="str">
        <f>'[1]V, inciso p) (OP)'!W110</f>
        <v>Urcoma 1970, S.A. de C.V.</v>
      </c>
      <c r="N189" s="12" t="str">
        <f>'[1]V, inciso p) (OP)'!X110</f>
        <v>UMN160125869</v>
      </c>
      <c r="O189" s="15">
        <f>'[1]V, inciso p) (OP)'!AG110</f>
        <v>7420078.3799999999</v>
      </c>
      <c r="P189" s="15">
        <v>9034232.75</v>
      </c>
      <c r="Q189" s="12" t="s">
        <v>554</v>
      </c>
      <c r="R189" s="15">
        <f>O189/13099.16</f>
        <v>566.45451922107986</v>
      </c>
      <c r="S189" s="12" t="s">
        <v>42</v>
      </c>
      <c r="T189" s="17">
        <v>3881</v>
      </c>
      <c r="U189" s="14" t="s">
        <v>43</v>
      </c>
      <c r="V189" s="12" t="s">
        <v>44</v>
      </c>
      <c r="W189" s="13">
        <f>'[1]V, inciso p) (OP)'!AM110</f>
        <v>42727</v>
      </c>
      <c r="X189" s="13">
        <f>'[1]V, inciso p) (OP)'!AN110</f>
        <v>42816</v>
      </c>
      <c r="Y189" s="12" t="s">
        <v>436</v>
      </c>
      <c r="Z189" s="12" t="s">
        <v>295</v>
      </c>
      <c r="AA189" s="12" t="s">
        <v>76</v>
      </c>
      <c r="AB189" s="18" t="s">
        <v>1724</v>
      </c>
      <c r="AC189" s="14" t="s">
        <v>48</v>
      </c>
      <c r="AD189" s="14"/>
    </row>
    <row r="190" spans="1:30" ht="80.099999999999994" customHeight="1">
      <c r="A190" s="5">
        <v>177</v>
      </c>
      <c r="B190" s="12">
        <v>2016</v>
      </c>
      <c r="C190" s="14" t="str">
        <f>'[1]V, inciso p) (OP)'!B111</f>
        <v>Licitación Pública</v>
      </c>
      <c r="D190" s="14" t="str">
        <f>'[1]V, inciso p) (OP)'!D111</f>
        <v>DOPI-MUN-RM-ID-LP-177-2016</v>
      </c>
      <c r="E190" s="13">
        <f>'[1]V, inciso p) (OP)'!AD111</f>
        <v>42726</v>
      </c>
      <c r="F190" s="14" t="str">
        <f>'[1]V, inciso p) (OP)'!I111</f>
        <v>Rehabilitación de las Instalaciones y equipamiento deportivo de la Unidad Deportiva Paseos del Briseño, municipio de Zapopan, Jalisco</v>
      </c>
      <c r="G190" s="14" t="s">
        <v>111</v>
      </c>
      <c r="H190" s="15">
        <f>'[1]V, inciso p) (OP)'!AG111</f>
        <v>8768312.9199999999</v>
      </c>
      <c r="I190" s="14" t="str">
        <f>'[1]V, inciso p) (OP)'!AS111</f>
        <v>Colonia Paseos del Briseño</v>
      </c>
      <c r="J190" s="12" t="str">
        <f>'[1]V, inciso p) (OP)'!T111</f>
        <v>Francisco Javier</v>
      </c>
      <c r="K190" s="12" t="str">
        <f>'[1]V, inciso p) (OP)'!U111</f>
        <v>Diaz</v>
      </c>
      <c r="L190" s="12" t="str">
        <f>'[1]V, inciso p) (OP)'!V111</f>
        <v>Ruiz</v>
      </c>
      <c r="M190" s="14" t="str">
        <f>'[1]V, inciso p) (OP)'!W111</f>
        <v>Constructora Diru, S.A. de C.V.</v>
      </c>
      <c r="N190" s="12" t="str">
        <f>'[1]V, inciso p) (OP)'!X111</f>
        <v>CDI950714B79</v>
      </c>
      <c r="O190" s="15">
        <f>'[1]V, inciso p) (OP)'!AG111</f>
        <v>8768312.9199999999</v>
      </c>
      <c r="P190" s="15">
        <v>10697341.039999999</v>
      </c>
      <c r="Q190" s="20">
        <v>16194.34</v>
      </c>
      <c r="R190" s="15">
        <f>O190/16194.34</f>
        <v>541.44305479568789</v>
      </c>
      <c r="S190" s="12" t="s">
        <v>42</v>
      </c>
      <c r="T190" s="17">
        <v>2896</v>
      </c>
      <c r="U190" s="14" t="s">
        <v>43</v>
      </c>
      <c r="V190" s="12" t="s">
        <v>44</v>
      </c>
      <c r="W190" s="13">
        <f>'[1]V, inciso p) (OP)'!AM111</f>
        <v>42727</v>
      </c>
      <c r="X190" s="13">
        <f>'[1]V, inciso p) (OP)'!AN111</f>
        <v>42816</v>
      </c>
      <c r="Y190" s="12" t="s">
        <v>470</v>
      </c>
      <c r="Z190" s="12" t="s">
        <v>315</v>
      </c>
      <c r="AA190" s="12" t="s">
        <v>134</v>
      </c>
      <c r="AB190" s="18" t="s">
        <v>1725</v>
      </c>
      <c r="AC190" s="14" t="s">
        <v>48</v>
      </c>
      <c r="AD190" s="14"/>
    </row>
    <row r="191" spans="1:30" ht="80.099999999999994" customHeight="1">
      <c r="A191" s="5">
        <v>178</v>
      </c>
      <c r="B191" s="12">
        <v>2016</v>
      </c>
      <c r="C191" s="14" t="str">
        <f>'[1]V, inciso p) (OP)'!B112</f>
        <v>Licitación Pública</v>
      </c>
      <c r="D191" s="14" t="str">
        <f>'[1]V, inciso p) (OP)'!D112</f>
        <v>DOPI-MUN-RM-ID-LP-178-2016</v>
      </c>
      <c r="E191" s="13">
        <f>'[1]V, inciso p) (OP)'!AD112</f>
        <v>42726</v>
      </c>
      <c r="F191" s="14" t="str">
        <f>'[1]V, inciso p) (OP)'!I112</f>
        <v>Rehabilitación de las Instalaciones y equipamiento deportivo de la Unidad Deportiva San Juan de Ocotán, municipio de Zapopan, Jalisco</v>
      </c>
      <c r="G191" s="14" t="s">
        <v>111</v>
      </c>
      <c r="H191" s="15">
        <f>'[1]V, inciso p) (OP)'!AG112</f>
        <v>7913055.7999999998</v>
      </c>
      <c r="I191" s="14" t="str">
        <f>'[1]V, inciso p) (OP)'!AS112</f>
        <v>Colonia San Juan de Ocotán</v>
      </c>
      <c r="J191" s="12" t="str">
        <f>'[1]V, inciso p) (OP)'!T112</f>
        <v>Eduardo</v>
      </c>
      <c r="K191" s="12" t="str">
        <f>'[1]V, inciso p) (OP)'!U112</f>
        <v>Romero</v>
      </c>
      <c r="L191" s="12" t="str">
        <f>'[1]V, inciso p) (OP)'!V112</f>
        <v>Lugo</v>
      </c>
      <c r="M191" s="14" t="str">
        <f>'[1]V, inciso p) (OP)'!W112</f>
        <v>RS Obras y Servicios S.A. de C.V.</v>
      </c>
      <c r="N191" s="12" t="str">
        <f>'[1]V, inciso p) (OP)'!X112</f>
        <v>ROS120904PV9</v>
      </c>
      <c r="O191" s="15">
        <f>'[1]V, inciso p) (OP)'!AG112</f>
        <v>7913055.7999999998</v>
      </c>
      <c r="P191" s="15">
        <v>10234237.609999999</v>
      </c>
      <c r="Q191" s="12" t="s">
        <v>555</v>
      </c>
      <c r="R191" s="15">
        <f>O191/8180.41</f>
        <v>967.31775057729385</v>
      </c>
      <c r="S191" s="12" t="s">
        <v>42</v>
      </c>
      <c r="T191" s="17">
        <v>12652</v>
      </c>
      <c r="U191" s="14" t="s">
        <v>43</v>
      </c>
      <c r="V191" s="12" t="s">
        <v>44</v>
      </c>
      <c r="W191" s="13">
        <f>'[1]V, inciso p) (OP)'!AM112</f>
        <v>42727</v>
      </c>
      <c r="X191" s="13">
        <f>'[1]V, inciso p) (OP)'!AN112</f>
        <v>42794</v>
      </c>
      <c r="Y191" s="12" t="s">
        <v>454</v>
      </c>
      <c r="Z191" s="12" t="s">
        <v>455</v>
      </c>
      <c r="AA191" s="12" t="s">
        <v>456</v>
      </c>
      <c r="AB191" s="14" t="s">
        <v>48</v>
      </c>
      <c r="AC191" s="14" t="s">
        <v>48</v>
      </c>
      <c r="AD191" s="14"/>
    </row>
    <row r="192" spans="1:30" ht="80.099999999999994" customHeight="1">
      <c r="A192" s="5">
        <v>179</v>
      </c>
      <c r="B192" s="12">
        <v>2016</v>
      </c>
      <c r="C192" s="14" t="str">
        <f>'[1]V, inciso p) (OP)'!B113</f>
        <v>Licitación Pública</v>
      </c>
      <c r="D192" s="14" t="str">
        <f>'[1]V, inciso p) (OP)'!D113</f>
        <v>DOPI-MUN-RM-MOV-LP-179-2016</v>
      </c>
      <c r="E192" s="13">
        <f>'[1]V, inciso p) (OP)'!AD113</f>
        <v>42726</v>
      </c>
      <c r="F192" s="14" t="str">
        <f>'[1]V, inciso p) (OP)'!I113</f>
        <v>Construcción de cruceros seguros, incluye señaletica horizontal y vertical, acceso universal en esquinas,semaforización y paradas de autobús en diferentes cruceros, zona 1 del Municipio de Zapopan, Jallisco</v>
      </c>
      <c r="G192" s="14" t="s">
        <v>66</v>
      </c>
      <c r="H192" s="15">
        <f>'[1]V, inciso p) (OP)'!AG113</f>
        <v>3582511.3</v>
      </c>
      <c r="I192" s="14" t="str">
        <f>'[1]V, inciso p) (OP)'!AS113</f>
        <v>Varias colonias del Municipio</v>
      </c>
      <c r="J192" s="12" t="str">
        <f>'[1]V, inciso p) (OP)'!T113</f>
        <v>José Omar</v>
      </c>
      <c r="K192" s="12" t="str">
        <f>'[1]V, inciso p) (OP)'!U113</f>
        <v>Fernández</v>
      </c>
      <c r="L192" s="12" t="str">
        <f>'[1]V, inciso p) (OP)'!V113</f>
        <v>Vázquez</v>
      </c>
      <c r="M192" s="14" t="str">
        <f>'[1]V, inciso p) (OP)'!W113</f>
        <v>José Omar Fernández Vázquez</v>
      </c>
      <c r="N192" s="12" t="str">
        <f>'[1]V, inciso p) (OP)'!X113</f>
        <v>FEVO740619686</v>
      </c>
      <c r="O192" s="15">
        <f>'[1]V, inciso p) (OP)'!AG113</f>
        <v>3582511.3</v>
      </c>
      <c r="P192" s="15">
        <v>3223239.99</v>
      </c>
      <c r="Q192" s="12" t="s">
        <v>556</v>
      </c>
      <c r="R192" s="15">
        <f>O192/1718</f>
        <v>2085.2801513387658</v>
      </c>
      <c r="S192" s="12" t="s">
        <v>42</v>
      </c>
      <c r="T192" s="17">
        <v>220690</v>
      </c>
      <c r="U192" s="14" t="s">
        <v>43</v>
      </c>
      <c r="V192" s="12" t="s">
        <v>44</v>
      </c>
      <c r="W192" s="13">
        <f>'[1]V, inciso p) (OP)'!AM113</f>
        <v>42727</v>
      </c>
      <c r="X192" s="13">
        <f>'[1]V, inciso p) (OP)'!AN113</f>
        <v>42846</v>
      </c>
      <c r="Y192" s="12" t="s">
        <v>552</v>
      </c>
      <c r="Z192" s="12" t="s">
        <v>553</v>
      </c>
      <c r="AA192" s="12" t="s">
        <v>148</v>
      </c>
      <c r="AB192" s="14" t="s">
        <v>48</v>
      </c>
      <c r="AC192" s="14" t="s">
        <v>48</v>
      </c>
      <c r="AD192" s="14"/>
    </row>
    <row r="193" spans="1:30" ht="80.099999999999994" customHeight="1">
      <c r="A193" s="5">
        <v>180</v>
      </c>
      <c r="B193" s="12">
        <v>2016</v>
      </c>
      <c r="C193" s="14" t="str">
        <f>'[1]V, inciso p) (OP)'!B114</f>
        <v>Licitación Pública</v>
      </c>
      <c r="D193" s="14" t="str">
        <f>'[1]V, inciso p) (OP)'!D114</f>
        <v>DOPI-MUN-RM-MOV-LP-180-2016</v>
      </c>
      <c r="E193" s="13">
        <f>'[1]V, inciso p) (OP)'!AD114</f>
        <v>42726</v>
      </c>
      <c r="F193" s="14" t="str">
        <f>'[1]V, inciso p) (OP)'!I114</f>
        <v>Construcción de cruceros seguros, incluye señaletica horizontal y vertical, acceso universal en esquinas,semaforización y paradas de autobús en diferentes cruceros, zona 2 del Municipio de Zapopan, Jallisco</v>
      </c>
      <c r="G193" s="14" t="s">
        <v>66</v>
      </c>
      <c r="H193" s="15">
        <f>'[1]V, inciso p) (OP)'!AG114</f>
        <v>4703307.2300000004</v>
      </c>
      <c r="I193" s="14" t="str">
        <f>'[1]V, inciso p) (OP)'!AS114</f>
        <v>Varias colonias del Municipio</v>
      </c>
      <c r="J193" s="12" t="str">
        <f>'[1]V, inciso p) (OP)'!T114</f>
        <v>José Jaime</v>
      </c>
      <c r="K193" s="12" t="str">
        <f>'[1]V, inciso p) (OP)'!U114</f>
        <v>Camarena</v>
      </c>
      <c r="L193" s="12" t="str">
        <f>'[1]V, inciso p) (OP)'!V114</f>
        <v>Correa</v>
      </c>
      <c r="M193" s="14" t="str">
        <f>'[1]V, inciso p) (OP)'!W114</f>
        <v>Firmitas Constructa, S.A de C.V.</v>
      </c>
      <c r="N193" s="12" t="str">
        <f>'[1]V, inciso p) (OP)'!X114</f>
        <v>FCO110711N24</v>
      </c>
      <c r="O193" s="15">
        <f>'[1]V, inciso p) (OP)'!AG114</f>
        <v>4703307.2300000004</v>
      </c>
      <c r="P193" s="15">
        <v>4606639.96</v>
      </c>
      <c r="Q193" s="12" t="s">
        <v>557</v>
      </c>
      <c r="R193" s="15">
        <f>O193/2265.23</f>
        <v>2076.3044944663457</v>
      </c>
      <c r="S193" s="12" t="s">
        <v>42</v>
      </c>
      <c r="T193" s="17">
        <v>284788</v>
      </c>
      <c r="U193" s="14" t="s">
        <v>43</v>
      </c>
      <c r="V193" s="12" t="s">
        <v>378</v>
      </c>
      <c r="W193" s="13">
        <f>'[1]V, inciso p) (OP)'!AM114</f>
        <v>42727</v>
      </c>
      <c r="X193" s="13">
        <f>'[1]V, inciso p) (OP)'!AN114</f>
        <v>42846</v>
      </c>
      <c r="Y193" s="12" t="s">
        <v>552</v>
      </c>
      <c r="Z193" s="12" t="s">
        <v>553</v>
      </c>
      <c r="AA193" s="12" t="s">
        <v>148</v>
      </c>
      <c r="AB193" s="14" t="s">
        <v>48</v>
      </c>
      <c r="AC193" s="14" t="s">
        <v>48</v>
      </c>
      <c r="AD193" s="14"/>
    </row>
    <row r="194" spans="1:30" ht="80.099999999999994" customHeight="1">
      <c r="A194" s="6">
        <v>181</v>
      </c>
      <c r="B194" s="12">
        <v>2016</v>
      </c>
      <c r="C194" s="14" t="s">
        <v>65</v>
      </c>
      <c r="D194" s="14" t="str">
        <f>'[1]V, inciso o) (OP)'!C86</f>
        <v>DOPI-MUN-RM-PAV-AD-181-2016</v>
      </c>
      <c r="E194" s="13">
        <f>'[1]V, inciso o) (OP)'!V86</f>
        <v>42653</v>
      </c>
      <c r="F194" s="14" t="str">
        <f>'[1]V, inciso o) (OP)'!AA86</f>
        <v>Programa emergente de bacheo de vialidades en Zapopan Norte tramo 2, municipio de Zapopan, Jalisco.</v>
      </c>
      <c r="G194" s="14" t="s">
        <v>111</v>
      </c>
      <c r="H194" s="15">
        <f>'[1]V, inciso o) (OP)'!Y86</f>
        <v>1494945.36</v>
      </c>
      <c r="I194" s="14" t="s">
        <v>1349</v>
      </c>
      <c r="J194" s="12" t="str">
        <f>'[1]V, inciso o) (OP)'!M86</f>
        <v>RAFAEL AUGUSTO</v>
      </c>
      <c r="K194" s="12" t="str">
        <f>'[1]V, inciso o) (OP)'!N86</f>
        <v>CABALLERO</v>
      </c>
      <c r="L194" s="12" t="str">
        <f>'[1]V, inciso o) (OP)'!O86</f>
        <v>QUIRARTE</v>
      </c>
      <c r="M194" s="14" t="str">
        <f>'[1]V, inciso o) (OP)'!P86</f>
        <v>PROYECTOS ARQUITECTONICOS TRIANGULO, S.A. DE C.V.</v>
      </c>
      <c r="N194" s="12" t="str">
        <f>'[1]V, inciso o) (OP)'!Q86</f>
        <v>PAT110331HH0</v>
      </c>
      <c r="O194" s="15">
        <f>'[1]V, inciso o) (OP)'!Y86</f>
        <v>1494945.36</v>
      </c>
      <c r="P194" s="15">
        <v>1494945.07</v>
      </c>
      <c r="Q194" s="12" t="s">
        <v>558</v>
      </c>
      <c r="R194" s="15">
        <f>O194/249</f>
        <v>6003.7966265060249</v>
      </c>
      <c r="S194" s="12" t="s">
        <v>42</v>
      </c>
      <c r="T194" s="17">
        <v>156300</v>
      </c>
      <c r="U194" s="14" t="s">
        <v>43</v>
      </c>
      <c r="V194" s="12" t="s">
        <v>44</v>
      </c>
      <c r="W194" s="13">
        <f>'[1]V, inciso o) (OP)'!AD86</f>
        <v>42654</v>
      </c>
      <c r="X194" s="13">
        <f>'[1]V, inciso o) (OP)'!AE86</f>
        <v>42710</v>
      </c>
      <c r="Y194" s="12" t="s">
        <v>531</v>
      </c>
      <c r="Z194" s="12" t="s">
        <v>532</v>
      </c>
      <c r="AA194" s="12" t="s">
        <v>533</v>
      </c>
      <c r="AB194" s="14" t="s">
        <v>1642</v>
      </c>
      <c r="AC194" s="18"/>
      <c r="AD194" s="14"/>
    </row>
    <row r="195" spans="1:30" ht="80.099999999999994" customHeight="1">
      <c r="A195" s="6">
        <v>182</v>
      </c>
      <c r="B195" s="12">
        <v>2016</v>
      </c>
      <c r="C195" s="14" t="s">
        <v>65</v>
      </c>
      <c r="D195" s="14" t="str">
        <f>'[1]V, inciso o) (OP)'!C87</f>
        <v>DOPI-MUN-RM-PAV-AD-182-2016</v>
      </c>
      <c r="E195" s="13">
        <f>'[1]V, inciso o) (OP)'!V87</f>
        <v>42650</v>
      </c>
      <c r="F195" s="14" t="str">
        <f>'[1]V, inciso o) (OP)'!AA87</f>
        <v>Rehabilitación de machuelos de concreto hidráulico en la Av. Juan Gil Preciado, tramo 1, municipio de Zapopan, Jalisco.</v>
      </c>
      <c r="G195" s="14" t="s">
        <v>111</v>
      </c>
      <c r="H195" s="15">
        <f>'[1]V, inciso o) (OP)'!Y87</f>
        <v>1498832.34</v>
      </c>
      <c r="I195" s="14" t="s">
        <v>1349</v>
      </c>
      <c r="J195" s="12" t="str">
        <f>'[1]V, inciso o) (OP)'!M87</f>
        <v>ENRIQUE</v>
      </c>
      <c r="K195" s="12" t="str">
        <f>'[1]V, inciso o) (OP)'!N87</f>
        <v>LUGO</v>
      </c>
      <c r="L195" s="12" t="str">
        <f>'[1]V, inciso o) (OP)'!O87</f>
        <v>IBARRA</v>
      </c>
      <c r="M195" s="14" t="str">
        <f>'[1]V, inciso o) (OP)'!P87</f>
        <v>LUGO IBARRA CONSORCIO CONSTRUCTOR, S.A. DE C.V.</v>
      </c>
      <c r="N195" s="12" t="str">
        <f>'[1]V, inciso o) (OP)'!Q87</f>
        <v>LIC0208141P8</v>
      </c>
      <c r="O195" s="15">
        <f>'[1]V, inciso o) (OP)'!Y87</f>
        <v>1498832.34</v>
      </c>
      <c r="P195" s="15">
        <v>1498786.94</v>
      </c>
      <c r="Q195" s="12" t="s">
        <v>559</v>
      </c>
      <c r="R195" s="15">
        <f>O195/4153</f>
        <v>360.90352516253313</v>
      </c>
      <c r="S195" s="12" t="s">
        <v>42</v>
      </c>
      <c r="T195" s="17">
        <v>121200</v>
      </c>
      <c r="U195" s="14" t="s">
        <v>43</v>
      </c>
      <c r="V195" s="12" t="s">
        <v>44</v>
      </c>
      <c r="W195" s="13">
        <f>'[1]V, inciso o) (OP)'!AD87</f>
        <v>42653</v>
      </c>
      <c r="X195" s="13">
        <f>'[1]V, inciso o) (OP)'!AE87</f>
        <v>42712</v>
      </c>
      <c r="Y195" s="12" t="s">
        <v>380</v>
      </c>
      <c r="Z195" s="12" t="s">
        <v>257</v>
      </c>
      <c r="AA195" s="12" t="s">
        <v>258</v>
      </c>
      <c r="AB195" s="14" t="s">
        <v>1643</v>
      </c>
      <c r="AC195" s="18"/>
      <c r="AD195" s="14"/>
    </row>
    <row r="196" spans="1:30" ht="80.099999999999994" customHeight="1">
      <c r="A196" s="6">
        <v>183</v>
      </c>
      <c r="B196" s="12">
        <v>2016</v>
      </c>
      <c r="C196" s="14" t="s">
        <v>65</v>
      </c>
      <c r="D196" s="14" t="str">
        <f>'[1]V, inciso o) (OP)'!C88</f>
        <v>DOPI-MUN-RM-PAV-AD-183-2016</v>
      </c>
      <c r="E196" s="13">
        <f>'[1]V, inciso o) (OP)'!V88</f>
        <v>42650</v>
      </c>
      <c r="F196" s="14" t="str">
        <f>'[1]V, inciso o) (OP)'!AA88</f>
        <v>Rehabilitación de machuelos de concreto hidráulico en la Av. Juan Gil Preciado, tramo 2, municipio de Zapopan, Jalisco.</v>
      </c>
      <c r="G196" s="14" t="s">
        <v>111</v>
      </c>
      <c r="H196" s="15">
        <f>'[1]V, inciso o) (OP)'!Y88</f>
        <v>1492150.48</v>
      </c>
      <c r="I196" s="14" t="s">
        <v>1349</v>
      </c>
      <c r="J196" s="12" t="str">
        <f>'[1]V, inciso o) (OP)'!M88</f>
        <v>ARTURO</v>
      </c>
      <c r="K196" s="12" t="str">
        <f>'[1]V, inciso o) (OP)'!N88</f>
        <v>SARMIENTO</v>
      </c>
      <c r="L196" s="12" t="str">
        <f>'[1]V, inciso o) (OP)'!O88</f>
        <v>SANCHEZ</v>
      </c>
      <c r="M196" s="14" t="str">
        <f>'[1]V, inciso o) (OP)'!P88</f>
        <v>CONSTRUBRAVO, S.A. DE C.V.</v>
      </c>
      <c r="N196" s="12" t="str">
        <f>'[1]V, inciso o) (OP)'!Q88</f>
        <v>CON020208696</v>
      </c>
      <c r="O196" s="15">
        <f>'[1]V, inciso o) (OP)'!Y88</f>
        <v>1492150.48</v>
      </c>
      <c r="P196" s="15">
        <v>1492126.81</v>
      </c>
      <c r="Q196" s="12" t="s">
        <v>559</v>
      </c>
      <c r="R196" s="15">
        <f>O196/4153</f>
        <v>359.29460149289667</v>
      </c>
      <c r="S196" s="12" t="s">
        <v>42</v>
      </c>
      <c r="T196" s="17">
        <v>121200</v>
      </c>
      <c r="U196" s="14" t="s">
        <v>43</v>
      </c>
      <c r="V196" s="12" t="s">
        <v>44</v>
      </c>
      <c r="W196" s="13">
        <f>'[1]V, inciso o) (OP)'!AD88</f>
        <v>42653</v>
      </c>
      <c r="X196" s="13">
        <f>'[1]V, inciso o) (OP)'!AE88</f>
        <v>42712</v>
      </c>
      <c r="Y196" s="12" t="s">
        <v>380</v>
      </c>
      <c r="Z196" s="12" t="s">
        <v>257</v>
      </c>
      <c r="AA196" s="12" t="s">
        <v>258</v>
      </c>
      <c r="AB196" s="14" t="s">
        <v>48</v>
      </c>
      <c r="AC196" s="14" t="s">
        <v>48</v>
      </c>
      <c r="AD196" s="14"/>
    </row>
    <row r="197" spans="1:30" ht="80.099999999999994" customHeight="1">
      <c r="A197" s="5">
        <v>184</v>
      </c>
      <c r="B197" s="12">
        <v>2016</v>
      </c>
      <c r="C197" s="14" t="s">
        <v>65</v>
      </c>
      <c r="D197" s="14" t="str">
        <f>'[1]V, inciso o) (OP)'!C89</f>
        <v>DOPI-MUN-RM-DP-AD-184-2016</v>
      </c>
      <c r="E197" s="13">
        <f>'[1]V, inciso o) (OP)'!V89</f>
        <v>42653</v>
      </c>
      <c r="F197" s="14" t="str">
        <f>'[1]V, inciso o) (OP)'!AA89</f>
        <v>Construcción de colector pluvial en el camino al Arenero, municipio de Zapopan, Jalisco.</v>
      </c>
      <c r="G197" s="14" t="s">
        <v>111</v>
      </c>
      <c r="H197" s="15">
        <f>'[1]V, inciso o) (OP)'!Y89</f>
        <v>1478083.67</v>
      </c>
      <c r="I197" s="14" t="s">
        <v>560</v>
      </c>
      <c r="J197" s="12" t="str">
        <f>'[1]V, inciso o) (OP)'!M89</f>
        <v xml:space="preserve">EDUARDO </v>
      </c>
      <c r="K197" s="12" t="str">
        <f>'[1]V, inciso o) (OP)'!N89</f>
        <v>ROMERO</v>
      </c>
      <c r="L197" s="12" t="str">
        <f>'[1]V, inciso o) (OP)'!O89</f>
        <v>LUGO</v>
      </c>
      <c r="M197" s="14" t="str">
        <f>'[1]V, inciso o) (OP)'!P89</f>
        <v>RS OBRAS Y SERVICIOS S.A. DE C.V.</v>
      </c>
      <c r="N197" s="12" t="str">
        <f>'[1]V, inciso o) (OP)'!Q89</f>
        <v>ROS120904PV9</v>
      </c>
      <c r="O197" s="15">
        <f>'[1]V, inciso o) (OP)'!Y89</f>
        <v>1478083.67</v>
      </c>
      <c r="P197" s="15">
        <v>1413104.22</v>
      </c>
      <c r="Q197" s="12" t="s">
        <v>561</v>
      </c>
      <c r="R197" s="15">
        <f>O197/231</f>
        <v>6398.6306060606057</v>
      </c>
      <c r="S197" s="12" t="s">
        <v>42</v>
      </c>
      <c r="T197" s="17">
        <v>1850</v>
      </c>
      <c r="U197" s="14" t="s">
        <v>43</v>
      </c>
      <c r="V197" s="12" t="s">
        <v>44</v>
      </c>
      <c r="W197" s="13">
        <f>'[1]V, inciso o) (OP)'!AD89</f>
        <v>42654</v>
      </c>
      <c r="X197" s="13">
        <f>'[1]V, inciso o) (OP)'!AE89</f>
        <v>42678</v>
      </c>
      <c r="Y197" s="12" t="s">
        <v>562</v>
      </c>
      <c r="Z197" s="12" t="s">
        <v>70</v>
      </c>
      <c r="AA197" s="12" t="s">
        <v>71</v>
      </c>
      <c r="AB197" s="14" t="s">
        <v>48</v>
      </c>
      <c r="AC197" s="14" t="s">
        <v>48</v>
      </c>
      <c r="AD197" s="14"/>
    </row>
    <row r="198" spans="1:30" ht="80.099999999999994" customHeight="1">
      <c r="A198" s="6">
        <v>185</v>
      </c>
      <c r="B198" s="12">
        <v>2016</v>
      </c>
      <c r="C198" s="14" t="s">
        <v>65</v>
      </c>
      <c r="D198" s="14" t="str">
        <f>'[1]V, inciso o) (OP)'!C90</f>
        <v>DOPI-MUN-RM-PROY-AD-185-2016</v>
      </c>
      <c r="E198" s="13">
        <f>'[1]V, inciso o) (OP)'!V90</f>
        <v>42653</v>
      </c>
      <c r="F198" s="14" t="str">
        <f>'[1]V, inciso o) (OP)'!AA90</f>
        <v>Proyecto ejecutivo de la renovación y ampliación del Museo de Arte de Zapopan, ubicado en el Andador 20 de Noviembre y la calle 28 de Enero, en la cabecera municipal, de Zapopan, Jalisco.</v>
      </c>
      <c r="G198" s="14" t="s">
        <v>111</v>
      </c>
      <c r="H198" s="15">
        <f>'[1]V, inciso o) (OP)'!Y90</f>
        <v>986034.8</v>
      </c>
      <c r="I198" s="14" t="s">
        <v>121</v>
      </c>
      <c r="J198" s="14" t="str">
        <f>'[1]V, inciso o) (OP)'!M90</f>
        <v>ENRIQUE FRANCISCO</v>
      </c>
      <c r="K198" s="12" t="str">
        <f>'[1]V, inciso o) (OP)'!N90</f>
        <v>TOUSSAINT</v>
      </c>
      <c r="L198" s="12" t="str">
        <f>'[1]V, inciso o) (OP)'!O90</f>
        <v>OCHOA</v>
      </c>
      <c r="M198" s="14" t="str">
        <f>'[1]V, inciso o) (OP)'!P90</f>
        <v>GRUPO ARQUITECTOS TOUSSAINT Y ORENDAIN SC</v>
      </c>
      <c r="N198" s="12" t="str">
        <f>'[1]V, inciso o) (OP)'!Q90</f>
        <v>GAT920520R72</v>
      </c>
      <c r="O198" s="15">
        <f>'[1]V, inciso o) (OP)'!Y90</f>
        <v>986034.8</v>
      </c>
      <c r="P198" s="15">
        <v>986034.79</v>
      </c>
      <c r="Q198" s="12" t="s">
        <v>508</v>
      </c>
      <c r="R198" s="15">
        <f>O198</f>
        <v>986034.8</v>
      </c>
      <c r="S198" s="12" t="s">
        <v>125</v>
      </c>
      <c r="T198" s="17" t="s">
        <v>125</v>
      </c>
      <c r="U198" s="14" t="s">
        <v>124</v>
      </c>
      <c r="V198" s="12" t="s">
        <v>44</v>
      </c>
      <c r="W198" s="13">
        <f>'[1]V, inciso o) (OP)'!AD90</f>
        <v>42654</v>
      </c>
      <c r="X198" s="13">
        <f>'[1]V, inciso o) (OP)'!AE90</f>
        <v>42750</v>
      </c>
      <c r="Y198" s="12" t="s">
        <v>407</v>
      </c>
      <c r="Z198" s="12" t="s">
        <v>315</v>
      </c>
      <c r="AA198" s="12" t="s">
        <v>316</v>
      </c>
      <c r="AB198" s="14" t="s">
        <v>1644</v>
      </c>
      <c r="AC198" s="18"/>
      <c r="AD198" s="14"/>
    </row>
    <row r="199" spans="1:30" ht="80.099999999999994" customHeight="1">
      <c r="A199" s="5">
        <v>186</v>
      </c>
      <c r="B199" s="12">
        <v>2016</v>
      </c>
      <c r="C199" s="14" t="s">
        <v>65</v>
      </c>
      <c r="D199" s="14" t="str">
        <f>'[1]V, inciso o) (OP)'!C91</f>
        <v>DOPI-MUN-RM-DP-AD-186-2016</v>
      </c>
      <c r="E199" s="13">
        <f>'[1]V, inciso o) (OP)'!V91</f>
        <v>42653</v>
      </c>
      <c r="F199" s="14" t="str">
        <f>'[1]V, inciso o) (OP)'!AA91</f>
        <v>Solución Pluvial en Tesistán (colector pluvial de 36" y bocas de tormenta) en la calle Jalisco, Hidalgo, Puebla, en la localidad de Tesistán, municipio de Zapopan, Jalisco. Frente 1.</v>
      </c>
      <c r="G199" s="14" t="s">
        <v>111</v>
      </c>
      <c r="H199" s="15">
        <f>'[1]V, inciso o) (OP)'!Y91</f>
        <v>1479766.1</v>
      </c>
      <c r="I199" s="14" t="s">
        <v>563</v>
      </c>
      <c r="J199" s="14" t="str">
        <f>'[1]V, inciso o) (OP)'!M91</f>
        <v>JAVIER</v>
      </c>
      <c r="K199" s="12" t="str">
        <f>'[1]V, inciso o) (OP)'!N91</f>
        <v xml:space="preserve">ÁVILA </v>
      </c>
      <c r="L199" s="12" t="str">
        <f>'[1]V, inciso o) (OP)'!O91</f>
        <v>FLORES</v>
      </c>
      <c r="M199" s="14" t="str">
        <f>'[1]V, inciso o) (OP)'!P91</f>
        <v>SAVHO CONSULTORÍA Y CONSTRUCCIÓN, S.A. DE C.V.</v>
      </c>
      <c r="N199" s="12" t="str">
        <f>'[1]V, inciso o) (OP)'!Q91</f>
        <v>SCC060622HZ3</v>
      </c>
      <c r="O199" s="15">
        <f>'[1]V, inciso o) (OP)'!Y91</f>
        <v>1479766.1</v>
      </c>
      <c r="P199" s="15">
        <v>1473936.67</v>
      </c>
      <c r="Q199" s="12" t="s">
        <v>564</v>
      </c>
      <c r="R199" s="15">
        <f>O199/222</f>
        <v>6665.6130630630632</v>
      </c>
      <c r="S199" s="12" t="s">
        <v>42</v>
      </c>
      <c r="T199" s="17">
        <v>2460</v>
      </c>
      <c r="U199" s="14" t="s">
        <v>43</v>
      </c>
      <c r="V199" s="12" t="s">
        <v>44</v>
      </c>
      <c r="W199" s="13">
        <f>'[1]V, inciso o) (OP)'!AD91</f>
        <v>42654</v>
      </c>
      <c r="X199" s="13">
        <f>'[1]V, inciso o) (OP)'!AE91</f>
        <v>42704</v>
      </c>
      <c r="Y199" s="12" t="s">
        <v>336</v>
      </c>
      <c r="Z199" s="12" t="s">
        <v>337</v>
      </c>
      <c r="AA199" s="12" t="s">
        <v>120</v>
      </c>
      <c r="AB199" s="14" t="s">
        <v>48</v>
      </c>
      <c r="AC199" s="14" t="s">
        <v>48</v>
      </c>
      <c r="AD199" s="14"/>
    </row>
    <row r="200" spans="1:30" ht="80.099999999999994" customHeight="1">
      <c r="A200" s="5">
        <v>187</v>
      </c>
      <c r="B200" s="12">
        <v>2016</v>
      </c>
      <c r="C200" s="14" t="s">
        <v>65</v>
      </c>
      <c r="D200" s="14" t="str">
        <f>'[1]V, inciso o) (OP)'!C92</f>
        <v>DOPI-MUN-RM-IE-AD-187-2016</v>
      </c>
      <c r="E200" s="13">
        <f>'[1]V, inciso o) (OP)'!V92</f>
        <v>42664</v>
      </c>
      <c r="F200" s="14" t="str">
        <f>'[1]V, inciso o) (OP)'!AA92</f>
        <v>Suministro y colocación de estructuras de protección de rayos ultravioleta y sustitución de losas de concreto en el plantel educativo Gustavo Diaz Ordaz, clave 14EPR1473U, colonia Gustavo Diaz Ordaz, Municipio de Zapopan, Jalisco.</v>
      </c>
      <c r="G200" s="14" t="s">
        <v>111</v>
      </c>
      <c r="H200" s="15">
        <f>'[1]V, inciso o) (OP)'!Y92</f>
        <v>998756.32</v>
      </c>
      <c r="I200" s="14" t="s">
        <v>565</v>
      </c>
      <c r="J200" s="14" t="str">
        <f>'[1]V, inciso o) (OP)'!M92</f>
        <v>AARON</v>
      </c>
      <c r="K200" s="12" t="str">
        <f>'[1]V, inciso o) (OP)'!N92</f>
        <v>AMARAL</v>
      </c>
      <c r="L200" s="12" t="str">
        <f>'[1]V, inciso o) (OP)'!O92</f>
        <v>LOPEZ</v>
      </c>
      <c r="M200" s="14" t="str">
        <f>'[1]V, inciso o) (OP)'!P92</f>
        <v>GLOBAL CONSTRUCCIONES Y CONSULTORIA, S.A. DE C.V.</v>
      </c>
      <c r="N200" s="12" t="str">
        <f>'[1]V, inciso o) (OP)'!Q92</f>
        <v>GCC1102098R8</v>
      </c>
      <c r="O200" s="15">
        <f>'[1]V, inciso o) (OP)'!Y92</f>
        <v>998756.32</v>
      </c>
      <c r="P200" s="15">
        <v>960346.67999999993</v>
      </c>
      <c r="Q200" s="12" t="s">
        <v>566</v>
      </c>
      <c r="R200" s="15">
        <f>O200/684</f>
        <v>1460.1700584795321</v>
      </c>
      <c r="S200" s="12" t="s">
        <v>42</v>
      </c>
      <c r="T200" s="17">
        <v>1140</v>
      </c>
      <c r="U200" s="14" t="s">
        <v>43</v>
      </c>
      <c r="V200" s="12" t="s">
        <v>44</v>
      </c>
      <c r="W200" s="13">
        <f>'[1]V, inciso o) (OP)'!AD92</f>
        <v>42667</v>
      </c>
      <c r="X200" s="13">
        <f>'[1]V, inciso o) (OP)'!AE92</f>
        <v>42726</v>
      </c>
      <c r="Y200" s="12" t="s">
        <v>436</v>
      </c>
      <c r="Z200" s="12" t="s">
        <v>75</v>
      </c>
      <c r="AA200" s="12" t="s">
        <v>567</v>
      </c>
      <c r="AB200" s="14" t="s">
        <v>1645</v>
      </c>
      <c r="AC200" s="18"/>
      <c r="AD200" s="14"/>
    </row>
    <row r="201" spans="1:30" ht="80.099999999999994" customHeight="1">
      <c r="A201" s="5">
        <v>188</v>
      </c>
      <c r="B201" s="12">
        <v>2016</v>
      </c>
      <c r="C201" s="14" t="s">
        <v>31</v>
      </c>
      <c r="D201" s="14" t="str">
        <f>'[1]V, inciso p) (OP)'!D115</f>
        <v>DOPI-FED-R23-IM-LP-188-2016</v>
      </c>
      <c r="E201" s="13">
        <f>'[1]V, inciso p) (OP)'!AD115</f>
        <v>42704</v>
      </c>
      <c r="F201" s="14" t="str">
        <f>'[1]V, inciso p) (OP)'!AL115</f>
        <v>Construcción de la primera etapa del centro comunitario, Centro de Emprendimiento, en Miramar, frente 1.</v>
      </c>
      <c r="G201" s="14" t="s">
        <v>416</v>
      </c>
      <c r="H201" s="15">
        <f>'[1]V, inciso p) (OP)'!AG115</f>
        <v>18435309.59</v>
      </c>
      <c r="I201" s="14" t="str">
        <f>'[1]V, inciso p) (OP)'!AS115</f>
        <v>Colonia Miramar</v>
      </c>
      <c r="J201" s="14" t="str">
        <f>'[1]V, inciso p) (OP)'!T115</f>
        <v>Luis German</v>
      </c>
      <c r="K201" s="12" t="str">
        <f>'[1]V, inciso p) (OP)'!U115</f>
        <v xml:space="preserve">Delgadillo </v>
      </c>
      <c r="L201" s="12" t="str">
        <f>'[1]V, inciso p) (OP)'!V115</f>
        <v>Alcazar</v>
      </c>
      <c r="M201" s="14" t="str">
        <f>'[1]V, inciso p) (OP)'!W115</f>
        <v>Axioma Proyectos e Ingeniería, S. A. de C. V.</v>
      </c>
      <c r="N201" s="12" t="str">
        <f>'[1]V, inciso p) (OP)'!X115</f>
        <v>APE111122MI0</v>
      </c>
      <c r="O201" s="15">
        <f t="shared" ref="O201:O223" si="6">H201</f>
        <v>18435309.59</v>
      </c>
      <c r="P201" s="15">
        <v>18435309.59</v>
      </c>
      <c r="Q201" s="12" t="s">
        <v>568</v>
      </c>
      <c r="R201" s="15">
        <f>O201/1601</f>
        <v>11514.871698938163</v>
      </c>
      <c r="S201" s="12" t="s">
        <v>42</v>
      </c>
      <c r="T201" s="17">
        <v>4790</v>
      </c>
      <c r="U201" s="14" t="s">
        <v>43</v>
      </c>
      <c r="V201" s="12" t="s">
        <v>44</v>
      </c>
      <c r="W201" s="13">
        <f>'[1]V, inciso p) (OP)'!AM115</f>
        <v>42705</v>
      </c>
      <c r="X201" s="13">
        <f>'[1]V, inciso p) (OP)'!AN115</f>
        <v>42735</v>
      </c>
      <c r="Y201" s="12" t="s">
        <v>436</v>
      </c>
      <c r="Z201" s="12" t="s">
        <v>75</v>
      </c>
      <c r="AA201" s="12" t="s">
        <v>567</v>
      </c>
      <c r="AB201" s="14" t="s">
        <v>48</v>
      </c>
      <c r="AC201" s="14" t="s">
        <v>48</v>
      </c>
      <c r="AD201" s="14"/>
    </row>
    <row r="202" spans="1:30" ht="80.099999999999994" customHeight="1">
      <c r="A202" s="5">
        <v>189</v>
      </c>
      <c r="B202" s="12">
        <v>2016</v>
      </c>
      <c r="C202" s="14" t="s">
        <v>31</v>
      </c>
      <c r="D202" s="14" t="str">
        <f>'[1]V, inciso p) (OP)'!D116</f>
        <v>DOPI-FED-R23-IM-LP-189-2016</v>
      </c>
      <c r="E202" s="13">
        <f>'[1]V, inciso p) (OP)'!AD116</f>
        <v>42704</v>
      </c>
      <c r="F202" s="14" t="str">
        <f>'[1]V, inciso p) (OP)'!AL116</f>
        <v>Construcción de la primera etapa del centro comunitario, Centro de Emprendimiento, en Miramar, frente 2.</v>
      </c>
      <c r="G202" s="14" t="s">
        <v>416</v>
      </c>
      <c r="H202" s="15">
        <f>'[1]V, inciso p) (OP)'!AG116</f>
        <v>4817658.4800000004</v>
      </c>
      <c r="I202" s="14" t="str">
        <f>'[1]V, inciso p) (OP)'!AS116</f>
        <v>Colonia Miramar</v>
      </c>
      <c r="J202" s="14" t="str">
        <f>'[1]V, inciso p) (OP)'!T116</f>
        <v>Gustavo Alejandro</v>
      </c>
      <c r="K202" s="12" t="str">
        <f>'[1]V, inciso p) (OP)'!U116</f>
        <v>Ledezma</v>
      </c>
      <c r="L202" s="12" t="str">
        <f>'[1]V, inciso p) (OP)'!V116</f>
        <v xml:space="preserve"> Cervantes</v>
      </c>
      <c r="M202" s="14" t="str">
        <f>'[1]V, inciso p) (OP)'!W116</f>
        <v>Edificaciones y Proyectos Roca, S.A. de C.V.</v>
      </c>
      <c r="N202" s="12" t="str">
        <f>'[1]V, inciso p) (OP)'!X116</f>
        <v>EPR131016I71</v>
      </c>
      <c r="O202" s="15">
        <f t="shared" si="6"/>
        <v>4817658.4800000004</v>
      </c>
      <c r="P202" s="15">
        <f>O202</f>
        <v>4817658.4800000004</v>
      </c>
      <c r="Q202" s="12" t="s">
        <v>569</v>
      </c>
      <c r="R202" s="15">
        <f>O202/4215</f>
        <v>1142.9794733096087</v>
      </c>
      <c r="S202" s="12" t="s">
        <v>42</v>
      </c>
      <c r="T202" s="17">
        <v>4790</v>
      </c>
      <c r="U202" s="14" t="s">
        <v>43</v>
      </c>
      <c r="V202" s="12" t="s">
        <v>378</v>
      </c>
      <c r="W202" s="13">
        <f>'[1]V, inciso p) (OP)'!AM116</f>
        <v>42705</v>
      </c>
      <c r="X202" s="13">
        <f>'[1]V, inciso p) (OP)'!AN116</f>
        <v>42735</v>
      </c>
      <c r="Y202" s="12" t="s">
        <v>436</v>
      </c>
      <c r="Z202" s="12" t="s">
        <v>75</v>
      </c>
      <c r="AA202" s="12" t="s">
        <v>567</v>
      </c>
      <c r="AB202" s="18" t="s">
        <v>1726</v>
      </c>
      <c r="AC202" s="14" t="s">
        <v>48</v>
      </c>
      <c r="AD202" s="14" t="s">
        <v>1571</v>
      </c>
    </row>
    <row r="203" spans="1:30" ht="80.099999999999994" customHeight="1">
      <c r="A203" s="5">
        <v>190</v>
      </c>
      <c r="B203" s="12">
        <v>2016</v>
      </c>
      <c r="C203" s="14" t="s">
        <v>31</v>
      </c>
      <c r="D203" s="14" t="str">
        <f>'[1]V, inciso p) (OP)'!D117</f>
        <v>DOPI-FED-PR-PAV-LP-190-2016</v>
      </c>
      <c r="E203" s="13">
        <f>'[1]V, inciso p) (OP)'!AD117</f>
        <v>42704</v>
      </c>
      <c r="F203" s="14" t="str">
        <f>'[1]V, inciso p) (OP)'!AL117</f>
        <v>Pavimentación con concreto hidráulico de la Calle Rizo Ayala, incluye: red de agua potable y alcantarillado, alumbrado público y guarniciones, banquetas, renivelación de pozos y cajas, señalamiento horizontal y vertical, municipio de Zapopan, Jalisco.</v>
      </c>
      <c r="G203" s="14" t="s">
        <v>416</v>
      </c>
      <c r="H203" s="15">
        <f>'[1]V, inciso p) (OP)'!AG117</f>
        <v>2963838.41</v>
      </c>
      <c r="I203" s="14" t="str">
        <f>'[1]V, inciso p) (OP)'!AS117</f>
        <v>Colonia La Martinica</v>
      </c>
      <c r="J203" s="14" t="str">
        <f>'[1]V, inciso p) (OP)'!T117</f>
        <v>Blanca Estela</v>
      </c>
      <c r="K203" s="12" t="str">
        <f>'[1]V, inciso p) (OP)'!U117</f>
        <v>Moreno</v>
      </c>
      <c r="L203" s="12" t="str">
        <f>'[1]V, inciso p) (OP)'!V117</f>
        <v>Lemus</v>
      </c>
      <c r="M203" s="14" t="str">
        <f>'[1]V, inciso p) (OP)'!W117</f>
        <v xml:space="preserve">Estudios, Proyectos y Construcciones de Guadalajara, S.A. de C.V. </v>
      </c>
      <c r="N203" s="12" t="str">
        <f>'[1]V, inciso p) (OP)'!X117</f>
        <v>EPC7107236R1</v>
      </c>
      <c r="O203" s="15">
        <f t="shared" si="6"/>
        <v>2963838.41</v>
      </c>
      <c r="P203" s="15">
        <v>3519253.62</v>
      </c>
      <c r="Q203" s="12" t="s">
        <v>570</v>
      </c>
      <c r="R203" s="15">
        <f>O203/1440</f>
        <v>2058.2211180555555</v>
      </c>
      <c r="S203" s="12" t="s">
        <v>42</v>
      </c>
      <c r="T203" s="17">
        <v>1840</v>
      </c>
      <c r="U203" s="14" t="s">
        <v>43</v>
      </c>
      <c r="V203" s="12" t="s">
        <v>378</v>
      </c>
      <c r="W203" s="13">
        <f>'[1]V, inciso p) (OP)'!AM117</f>
        <v>42705</v>
      </c>
      <c r="X203" s="13">
        <f>'[1]V, inciso p) (OP)'!AN117</f>
        <v>42735</v>
      </c>
      <c r="Y203" s="12" t="s">
        <v>552</v>
      </c>
      <c r="Z203" s="12" t="s">
        <v>553</v>
      </c>
      <c r="AA203" s="12" t="s">
        <v>148</v>
      </c>
      <c r="AB203" s="14" t="s">
        <v>48</v>
      </c>
      <c r="AC203" s="14" t="s">
        <v>48</v>
      </c>
      <c r="AD203" s="14"/>
    </row>
    <row r="204" spans="1:30" ht="80.099999999999994" customHeight="1">
      <c r="A204" s="5">
        <v>191</v>
      </c>
      <c r="B204" s="12">
        <v>2016</v>
      </c>
      <c r="C204" s="14" t="s">
        <v>31</v>
      </c>
      <c r="D204" s="14" t="str">
        <f>'[1]V, inciso p) (OP)'!D118</f>
        <v>DOPI-FED-PR-PAV-LP-191-2016</v>
      </c>
      <c r="E204" s="13">
        <f>'[1]V, inciso p) (OP)'!AD118</f>
        <v>42704</v>
      </c>
      <c r="F204" s="14" t="str">
        <f>'[1]V, inciso p) (OP)'!AL118</f>
        <v>Reencarpetamiento de vialidad Calle Pípila con concreto hidráulico desde la Calle Felipe Ángeles a la Calle Rizo Ayala, incluye: guarniciones, banquetas, renivelación de pozos y cajas, señalamiento vertical y horizontal, Municipio de Zapopan, Jalisco</v>
      </c>
      <c r="G204" s="14" t="s">
        <v>416</v>
      </c>
      <c r="H204" s="15">
        <f>'[1]V, inciso p) (OP)'!AG118</f>
        <v>9700078.7599999998</v>
      </c>
      <c r="I204" s="14" t="str">
        <f>'[1]V, inciso p) (OP)'!AS118</f>
        <v>Colonia La Martinica</v>
      </c>
      <c r="J204" s="14" t="str">
        <f>'[1]V, inciso p) (OP)'!T118</f>
        <v>Sergio Cesar</v>
      </c>
      <c r="K204" s="12" t="str">
        <f>'[1]V, inciso p) (OP)'!U118</f>
        <v>Diaz</v>
      </c>
      <c r="L204" s="12" t="str">
        <f>'[1]V, inciso p) (OP)'!V118</f>
        <v>Quiroz</v>
      </c>
      <c r="M204" s="14" t="str">
        <f>'[1]V, inciso p) (OP)'!W118</f>
        <v>Grupo Unicreto S.A. de C.V.</v>
      </c>
      <c r="N204" s="12" t="str">
        <f>'[1]V, inciso p) (OP)'!X118</f>
        <v>GUN880613NY1</v>
      </c>
      <c r="O204" s="15">
        <f t="shared" si="6"/>
        <v>9700078.7599999998</v>
      </c>
      <c r="P204" s="12" t="s">
        <v>48</v>
      </c>
      <c r="Q204" s="12" t="s">
        <v>571</v>
      </c>
      <c r="R204" s="15">
        <f>O204/6183</f>
        <v>1568.8304641759664</v>
      </c>
      <c r="S204" s="12" t="s">
        <v>42</v>
      </c>
      <c r="T204" s="17">
        <v>1840</v>
      </c>
      <c r="U204" s="14" t="s">
        <v>43</v>
      </c>
      <c r="V204" s="12" t="s">
        <v>44</v>
      </c>
      <c r="W204" s="13">
        <f>'[1]V, inciso p) (OP)'!AM118</f>
        <v>42705</v>
      </c>
      <c r="X204" s="13">
        <f>'[1]V, inciso p) (OP)'!AN118</f>
        <v>42735</v>
      </c>
      <c r="Y204" s="12" t="s">
        <v>552</v>
      </c>
      <c r="Z204" s="12" t="s">
        <v>553</v>
      </c>
      <c r="AA204" s="12" t="s">
        <v>148</v>
      </c>
      <c r="AB204" s="14" t="s">
        <v>48</v>
      </c>
      <c r="AC204" s="14" t="s">
        <v>48</v>
      </c>
      <c r="AD204" s="14"/>
    </row>
    <row r="205" spans="1:30" ht="80.099999999999994" customHeight="1">
      <c r="A205" s="5">
        <v>192</v>
      </c>
      <c r="B205" s="12">
        <v>2016</v>
      </c>
      <c r="C205" s="14" t="s">
        <v>31</v>
      </c>
      <c r="D205" s="14" t="str">
        <f>'[1]V, inciso p) (OP)'!D119</f>
        <v>DOPI-FED-PR-PAV-LP-192-2016</v>
      </c>
      <c r="E205" s="13">
        <f>'[1]V, inciso p) (OP)'!AD119</f>
        <v>42704</v>
      </c>
      <c r="F205" s="14" t="str">
        <f>'[1]V, inciso p) (OP)'!AL119</f>
        <v>Reencarpetamiento de vialidad con concreto hidráulico Calle González Gallo desde la Av. Prolongación Federalismo al andador Rosario Guadalupe, incluye: guarniciones, banquetas, renivelaciones de pozos y cajas, señalamiento vertical y horizontal, Municipio de Zapopan, Jalisco.</v>
      </c>
      <c r="G205" s="14" t="s">
        <v>416</v>
      </c>
      <c r="H205" s="15">
        <f>'[1]V, inciso p) (OP)'!AG119</f>
        <v>9006202.9700000007</v>
      </c>
      <c r="I205" s="14" t="str">
        <f>'[1]V, inciso p) (OP)'!AS119</f>
        <v>Colonia Parque del Auditorio</v>
      </c>
      <c r="J205" s="14" t="str">
        <f>'[1]V, inciso p) (OP)'!T119</f>
        <v>José</v>
      </c>
      <c r="K205" s="12" t="str">
        <f>'[1]V, inciso p) (OP)'!U119</f>
        <v>Plascencia</v>
      </c>
      <c r="L205" s="12" t="str">
        <f>'[1]V, inciso p) (OP)'!V119</f>
        <v>Casillas</v>
      </c>
      <c r="M205" s="14" t="str">
        <f>'[1]V, inciso p) (OP)'!W119</f>
        <v>PyP Constructora, S.A. de C.V.</v>
      </c>
      <c r="N205" s="12" t="str">
        <f>'[1]V, inciso p) (OP)'!X119</f>
        <v>PPC980828SY4</v>
      </c>
      <c r="O205" s="15">
        <f t="shared" si="6"/>
        <v>9006202.9700000007</v>
      </c>
      <c r="P205" s="15">
        <v>9889999.9899999984</v>
      </c>
      <c r="Q205" s="12" t="s">
        <v>572</v>
      </c>
      <c r="R205" s="15">
        <f>O205/5521</f>
        <v>1631.2629904002899</v>
      </c>
      <c r="S205" s="12" t="s">
        <v>42</v>
      </c>
      <c r="T205" s="17">
        <v>2460</v>
      </c>
      <c r="U205" s="14" t="s">
        <v>43</v>
      </c>
      <c r="V205" s="12" t="s">
        <v>378</v>
      </c>
      <c r="W205" s="13">
        <f>'[1]V, inciso p) (OP)'!AM119</f>
        <v>42705</v>
      </c>
      <c r="X205" s="13">
        <f>'[1]V, inciso p) (OP)'!AN119</f>
        <v>42735</v>
      </c>
      <c r="Y205" s="12" t="s">
        <v>552</v>
      </c>
      <c r="Z205" s="12" t="s">
        <v>553</v>
      </c>
      <c r="AA205" s="12" t="s">
        <v>148</v>
      </c>
      <c r="AB205" s="14" t="s">
        <v>48</v>
      </c>
      <c r="AC205" s="14" t="s">
        <v>48</v>
      </c>
      <c r="AD205" s="14"/>
    </row>
    <row r="206" spans="1:30" ht="80.099999999999994" customHeight="1">
      <c r="A206" s="5">
        <v>193</v>
      </c>
      <c r="B206" s="12">
        <v>2016</v>
      </c>
      <c r="C206" s="14" t="s">
        <v>31</v>
      </c>
      <c r="D206" s="14" t="str">
        <f>'[1]V, inciso p) (OP)'!D120</f>
        <v>DOPI-FED-PR-PAV-LP-193-2016</v>
      </c>
      <c r="E206" s="13">
        <f>'[1]V, inciso p) (OP)'!AD120</f>
        <v>42704</v>
      </c>
      <c r="F206" s="14" t="str">
        <f>'[1]V, inciso p) (OP)'!AL120</f>
        <v>Construcción de vialidad con concreto hidráulico en calle Ingeniero Alberto Mora López, desde la calle Elote a Carretera a Saltillo, incluye: guarniciones, banquetas, red de agua potable y alcantarillado y red de alumbrado público, zona las Mesas, municipio de Zapopan, Jalisco.</v>
      </c>
      <c r="G206" s="14" t="s">
        <v>416</v>
      </c>
      <c r="H206" s="15">
        <f>'[1]V, inciso p) (OP)'!AG120</f>
        <v>1879618.12</v>
      </c>
      <c r="I206" s="14" t="str">
        <f>'[1]V, inciso p) (OP)'!AS120</f>
        <v>Colonia Mesa Colorada Oriente</v>
      </c>
      <c r="J206" s="14" t="str">
        <f>'[1]V, inciso p) (OP)'!T120</f>
        <v>Erick</v>
      </c>
      <c r="K206" s="12" t="str">
        <f>'[1]V, inciso p) (OP)'!U120</f>
        <v>Villaseñor</v>
      </c>
      <c r="L206" s="12" t="str">
        <f>'[1]V, inciso p) (OP)'!V120</f>
        <v>Gutiérrez</v>
      </c>
      <c r="M206" s="14" t="str">
        <f>'[1]V, inciso p) (OP)'!W120</f>
        <v>Pixide Constructora, S.A. de C.V.</v>
      </c>
      <c r="N206" s="12" t="str">
        <f>'[1]V, inciso p) (OP)'!X120</f>
        <v>PCO140829425</v>
      </c>
      <c r="O206" s="15">
        <f t="shared" si="6"/>
        <v>1879618.12</v>
      </c>
      <c r="P206" s="15">
        <v>1879618.1199999999</v>
      </c>
      <c r="Q206" s="12" t="s">
        <v>573</v>
      </c>
      <c r="R206" s="15">
        <f>O206/898</f>
        <v>2093.1159465478845</v>
      </c>
      <c r="S206" s="12" t="s">
        <v>42</v>
      </c>
      <c r="T206" s="17">
        <v>1450</v>
      </c>
      <c r="U206" s="14" t="s">
        <v>43</v>
      </c>
      <c r="V206" s="12" t="s">
        <v>44</v>
      </c>
      <c r="W206" s="13">
        <f>'[1]V, inciso p) (OP)'!AM120</f>
        <v>42705</v>
      </c>
      <c r="X206" s="13">
        <f>'[1]V, inciso p) (OP)'!AN120</f>
        <v>42735</v>
      </c>
      <c r="Y206" s="12" t="s">
        <v>350</v>
      </c>
      <c r="Z206" s="12" t="s">
        <v>351</v>
      </c>
      <c r="AA206" s="12" t="s">
        <v>352</v>
      </c>
      <c r="AB206" s="14" t="s">
        <v>48</v>
      </c>
      <c r="AC206" s="14" t="s">
        <v>48</v>
      </c>
      <c r="AD206" s="14"/>
    </row>
    <row r="207" spans="1:30" ht="80.099999999999994" customHeight="1">
      <c r="A207" s="5">
        <v>194</v>
      </c>
      <c r="B207" s="12">
        <v>2016</v>
      </c>
      <c r="C207" s="14" t="s">
        <v>31</v>
      </c>
      <c r="D207" s="14" t="str">
        <f>'[1]V, inciso p) (OP)'!D121</f>
        <v>DOPI-FED-SM-RS-LP-194-2016</v>
      </c>
      <c r="E207" s="13">
        <f>'[1]V, inciso p) (OP)'!AD121</f>
        <v>42704</v>
      </c>
      <c r="F207" s="14" t="str">
        <f>'[1]V, inciso p) (OP)'!AL121</f>
        <v>Construcción de la celda V y primera fase del equipamiento de la planta de separación y alta compactación para el relleno sanitario Picachos del municipio de Zapopan, Jalisco.</v>
      </c>
      <c r="G207" s="14" t="s">
        <v>416</v>
      </c>
      <c r="H207" s="15">
        <f>'[1]V, inciso p) (OP)'!AG121</f>
        <v>53876349.590000004</v>
      </c>
      <c r="I207" s="14" t="str">
        <f>'[1]V, inciso p) (OP)'!AS121</f>
        <v>Relleno Sanitario de Picachos</v>
      </c>
      <c r="J207" s="14" t="str">
        <f>'[1]V, inciso p) (OP)'!T121</f>
        <v>Héctor</v>
      </c>
      <c r="K207" s="12" t="str">
        <f>'[1]V, inciso p) (OP)'!U121</f>
        <v>Gaytán</v>
      </c>
      <c r="L207" s="12" t="str">
        <f>'[1]V, inciso p) (OP)'!V121</f>
        <v>Galicia</v>
      </c>
      <c r="M207" s="14" t="str">
        <f>'[1]V, inciso p) (OP)'!W121</f>
        <v>Secoi Construcciones y Servicios, S.A. de C.V.</v>
      </c>
      <c r="N207" s="12" t="str">
        <f>'[1]V, inciso p) (OP)'!X121</f>
        <v>SCS1301173MA</v>
      </c>
      <c r="O207" s="15">
        <f t="shared" si="6"/>
        <v>53876349.590000004</v>
      </c>
      <c r="P207" s="15">
        <f>O207</f>
        <v>53876349.590000004</v>
      </c>
      <c r="Q207" s="12" t="s">
        <v>574</v>
      </c>
      <c r="R207" s="15">
        <f>O207/47361.07</f>
        <v>1137.5661400808724</v>
      </c>
      <c r="S207" s="12" t="s">
        <v>42</v>
      </c>
      <c r="T207" s="17">
        <v>1243756</v>
      </c>
      <c r="U207" s="14" t="s">
        <v>43</v>
      </c>
      <c r="V207" s="12" t="s">
        <v>378</v>
      </c>
      <c r="W207" s="13">
        <f>'[1]V, inciso p) (OP)'!AM121</f>
        <v>42705</v>
      </c>
      <c r="X207" s="13">
        <f>'[1]V, inciso p) (OP)'!AN121</f>
        <v>42735</v>
      </c>
      <c r="Y207" s="12" t="s">
        <v>468</v>
      </c>
      <c r="Z207" s="12" t="s">
        <v>307</v>
      </c>
      <c r="AA207" s="12" t="s">
        <v>308</v>
      </c>
      <c r="AB207" s="18" t="s">
        <v>1897</v>
      </c>
      <c r="AC207" s="14" t="s">
        <v>48</v>
      </c>
      <c r="AD207" s="14" t="s">
        <v>1571</v>
      </c>
    </row>
    <row r="208" spans="1:30" ht="80.099999999999994" customHeight="1">
      <c r="A208" s="5">
        <v>195</v>
      </c>
      <c r="B208" s="12">
        <v>2016</v>
      </c>
      <c r="C208" s="14" t="s">
        <v>31</v>
      </c>
      <c r="D208" s="14" t="str">
        <f>'[1]V, inciso p) (OP)'!D122</f>
        <v>DOPI-EST-FC-IS-LP-195-2016</v>
      </c>
      <c r="E208" s="13">
        <f>'[1]V, inciso p) (OP)'!AD122</f>
        <v>42726</v>
      </c>
      <c r="F208" s="14" t="str">
        <f>'[1]V, inciso p) (OP)'!AL122</f>
        <v>Rehabilitación de Cruz Verde Federalismo, Municipio de Zapopan, Jalisco.</v>
      </c>
      <c r="G208" s="14" t="s">
        <v>437</v>
      </c>
      <c r="H208" s="15">
        <f>'[1]V, inciso p) (OP)'!AG122</f>
        <v>4495293.74</v>
      </c>
      <c r="I208" s="14" t="str">
        <f>'[1]V, inciso p) (OP)'!AS122</f>
        <v>Colonia Auditorio</v>
      </c>
      <c r="J208" s="14" t="str">
        <f>'[1]V, inciso p) (OP)'!T122</f>
        <v>Luis Armando</v>
      </c>
      <c r="K208" s="12" t="str">
        <f>'[1]V, inciso p) (OP)'!U122</f>
        <v>Linares</v>
      </c>
      <c r="L208" s="12" t="str">
        <f>'[1]V, inciso p) (OP)'!V122</f>
        <v>Cacho</v>
      </c>
      <c r="M208" s="14" t="str">
        <f>'[1]V, inciso p) (OP)'!W122</f>
        <v>Urbanizadora y Constructora Roal, S.A. de C.V.</v>
      </c>
      <c r="N208" s="12" t="str">
        <f>'[1]V, inciso p) (OP)'!X122</f>
        <v>URC160310857</v>
      </c>
      <c r="O208" s="15">
        <f t="shared" si="6"/>
        <v>4495293.74</v>
      </c>
      <c r="P208" s="15">
        <v>3919999.96</v>
      </c>
      <c r="Q208" s="12" t="s">
        <v>575</v>
      </c>
      <c r="R208" s="15">
        <f>O208/417.4</f>
        <v>10769.750215620508</v>
      </c>
      <c r="S208" s="12" t="s">
        <v>42</v>
      </c>
      <c r="T208" s="17">
        <v>242366</v>
      </c>
      <c r="U208" s="14" t="s">
        <v>43</v>
      </c>
      <c r="V208" s="12" t="s">
        <v>44</v>
      </c>
      <c r="W208" s="13">
        <f>'[1]V, inciso p) (OP)'!AM122</f>
        <v>42727</v>
      </c>
      <c r="X208" s="13">
        <f>'[1]V, inciso p) (OP)'!AN122</f>
        <v>42816</v>
      </c>
      <c r="Y208" s="12" t="s">
        <v>510</v>
      </c>
      <c r="Z208" s="12" t="s">
        <v>511</v>
      </c>
      <c r="AA208" s="12" t="s">
        <v>512</v>
      </c>
      <c r="AB208" s="14" t="s">
        <v>48</v>
      </c>
      <c r="AC208" s="14" t="s">
        <v>48</v>
      </c>
      <c r="AD208" s="14"/>
    </row>
    <row r="209" spans="1:30" ht="80.099999999999994" customHeight="1">
      <c r="A209" s="5">
        <v>196</v>
      </c>
      <c r="B209" s="12">
        <v>2016</v>
      </c>
      <c r="C209" s="14" t="s">
        <v>31</v>
      </c>
      <c r="D209" s="14" t="str">
        <f>'[1]V, inciso p) (OP)'!D123</f>
        <v>DOPI-EST-CR-IM-LP-196-2016</v>
      </c>
      <c r="E209" s="13">
        <f>'[1]V, inciso p) (OP)'!AD123</f>
        <v>42726</v>
      </c>
      <c r="F209" s="14" t="str">
        <f>'[1]V, inciso p) (OP)'!AL123</f>
        <v>Construcción del Centro Cultural en Villa de Guadalupe.</v>
      </c>
      <c r="G209" s="14" t="s">
        <v>437</v>
      </c>
      <c r="H209" s="15">
        <f>'[1]V, inciso p) (OP)'!AG123</f>
        <v>14395555.26</v>
      </c>
      <c r="I209" s="14" t="str">
        <f>'[1]V, inciso p) (OP)'!AS123</f>
        <v>Colonia Villa de Guadalupe</v>
      </c>
      <c r="J209" s="14" t="str">
        <f>'[1]V, inciso p) (OP)'!T123</f>
        <v>José Antonio</v>
      </c>
      <c r="K209" s="12" t="str">
        <f>'[1]V, inciso p) (OP)'!U123</f>
        <v>Álvarez</v>
      </c>
      <c r="L209" s="12" t="str">
        <f>'[1]V, inciso p) (OP)'!V123</f>
        <v>García</v>
      </c>
      <c r="M209" s="14" t="str">
        <f>'[1]V, inciso p) (OP)'!W123</f>
        <v>Urcoma 1970, S.A. de C.V.</v>
      </c>
      <c r="N209" s="12" t="str">
        <f>'[1]V, inciso p) (OP)'!X123</f>
        <v>UMN160125869</v>
      </c>
      <c r="O209" s="15">
        <f t="shared" si="6"/>
        <v>14395555.26</v>
      </c>
      <c r="P209" s="15">
        <f>O209</f>
        <v>14395555.26</v>
      </c>
      <c r="Q209" s="12" t="s">
        <v>576</v>
      </c>
      <c r="R209" s="15">
        <f>O209/767.32</f>
        <v>18760.82372413074</v>
      </c>
      <c r="S209" s="12" t="s">
        <v>42</v>
      </c>
      <c r="T209" s="17">
        <v>84152</v>
      </c>
      <c r="U209" s="14" t="s">
        <v>43</v>
      </c>
      <c r="V209" s="12" t="s">
        <v>378</v>
      </c>
      <c r="W209" s="13">
        <f>'[1]V, inciso p) (OP)'!AM123</f>
        <v>42727</v>
      </c>
      <c r="X209" s="13">
        <f>'[1]V, inciso p) (OP)'!AN123</f>
        <v>42846</v>
      </c>
      <c r="Y209" s="12" t="s">
        <v>510</v>
      </c>
      <c r="Z209" s="12" t="s">
        <v>511</v>
      </c>
      <c r="AA209" s="12" t="s">
        <v>512</v>
      </c>
      <c r="AB209" s="14" t="s">
        <v>48</v>
      </c>
      <c r="AC209" s="14" t="s">
        <v>48</v>
      </c>
      <c r="AD209" s="14" t="s">
        <v>1571</v>
      </c>
    </row>
    <row r="210" spans="1:30" ht="80.099999999999994" customHeight="1">
      <c r="A210" s="5">
        <v>198</v>
      </c>
      <c r="B210" s="12">
        <v>2016</v>
      </c>
      <c r="C210" s="14" t="s">
        <v>143</v>
      </c>
      <c r="D210" s="14" t="str">
        <f>'[1]V, inciso p) (OP)'!D124</f>
        <v>DOPI‐MUN‐PP‐EP‐CI‐198‐2016</v>
      </c>
      <c r="E210" s="13">
        <f>'[1]V, inciso p) (OP)'!AD124</f>
        <v>42727</v>
      </c>
      <c r="F210" s="14" t="str">
        <f>'[1]V, inciso p) (OP)'!AL124</f>
        <v>Mejoramiento de la imagen urbana de la plaza pública de localidad de Tesistán municipio de Zapopan, Jalisco.</v>
      </c>
      <c r="G210" s="14" t="s">
        <v>66</v>
      </c>
      <c r="H210" s="15">
        <f>'[1]V, inciso p) (OP)'!AG124</f>
        <v>8110239.25</v>
      </c>
      <c r="I210" s="14" t="str">
        <f>'[1]V, inciso p) (OP)'!AS124</f>
        <v>Localidad de Tesistán</v>
      </c>
      <c r="J210" s="14" t="str">
        <f>'[1]V, inciso p) (OP)'!T124</f>
        <v>Amalia</v>
      </c>
      <c r="K210" s="12" t="str">
        <f>'[1]V, inciso p) (OP)'!U124</f>
        <v>Moreno</v>
      </c>
      <c r="L210" s="12" t="str">
        <f>'[1]V, inciso p) (OP)'!V124</f>
        <v>Maldonado</v>
      </c>
      <c r="M210" s="14" t="str">
        <f>'[1]V, inciso p) (OP)'!W124</f>
        <v>Grupo Constructor los Muros, S.A. de C.V.</v>
      </c>
      <c r="N210" s="12" t="str">
        <f>'[1]V, inciso p) (OP)'!X124</f>
        <v>GCM020226F28</v>
      </c>
      <c r="O210" s="15">
        <f t="shared" si="6"/>
        <v>8110239.25</v>
      </c>
      <c r="P210" s="15">
        <v>6404010.6299999999</v>
      </c>
      <c r="Q210" s="12" t="s">
        <v>577</v>
      </c>
      <c r="R210" s="15">
        <f>O210/3642.95</f>
        <v>2226.2834378731523</v>
      </c>
      <c r="S210" s="12" t="s">
        <v>42</v>
      </c>
      <c r="T210" s="17">
        <v>39269</v>
      </c>
      <c r="U210" s="14" t="s">
        <v>43</v>
      </c>
      <c r="V210" s="12" t="s">
        <v>378</v>
      </c>
      <c r="W210" s="13">
        <f>'[1]V, inciso p) (OP)'!AM124</f>
        <v>42730</v>
      </c>
      <c r="X210" s="13">
        <f>'[1]V, inciso p) (OP)'!AN124</f>
        <v>42831</v>
      </c>
      <c r="Y210" s="12" t="s">
        <v>336</v>
      </c>
      <c r="Z210" s="12" t="s">
        <v>337</v>
      </c>
      <c r="AA210" s="12" t="s">
        <v>120</v>
      </c>
      <c r="AB210" s="14" t="s">
        <v>48</v>
      </c>
      <c r="AC210" s="14" t="s">
        <v>48</v>
      </c>
      <c r="AD210" s="14"/>
    </row>
    <row r="211" spans="1:30" s="1" customFormat="1" ht="80.099999999999994" customHeight="1">
      <c r="A211" s="5">
        <v>199</v>
      </c>
      <c r="B211" s="12">
        <v>2016</v>
      </c>
      <c r="C211" s="14" t="s">
        <v>31</v>
      </c>
      <c r="D211" s="14" t="str">
        <f>'[1]V, inciso p) (OP)'!D125</f>
        <v>DOPI‐MUN‐PP‐IS‐LP‐199‐2016</v>
      </c>
      <c r="E211" s="13">
        <f>'[1]V, inciso p) (OP)'!AD125</f>
        <v>42754</v>
      </c>
      <c r="F211" s="14" t="str">
        <f>'[1]V, inciso p) (OP)'!AL125</f>
        <v>Construcción de la cruz verde Villa de Guadalupe, en la zona de las mesas, municipio de Zapopan, Jalisco.</v>
      </c>
      <c r="G211" s="14" t="s">
        <v>66</v>
      </c>
      <c r="H211" s="15">
        <f>'[1]V, inciso p) (OP)'!AG125</f>
        <v>28125202.050000001</v>
      </c>
      <c r="I211" s="14" t="str">
        <f>'[1]V, inciso p) (OP)'!AS125</f>
        <v>Zona de Las Mesas</v>
      </c>
      <c r="J211" s="14" t="str">
        <f>'[1]V, inciso p) (OP)'!T125</f>
        <v>Ernesto</v>
      </c>
      <c r="K211" s="12" t="str">
        <f>'[1]V, inciso p) (OP)'!U125</f>
        <v>Olivares</v>
      </c>
      <c r="L211" s="12" t="str">
        <f>'[1]V, inciso p) (OP)'!V125</f>
        <v>Álvarez</v>
      </c>
      <c r="M211" s="14" t="str">
        <f>'[1]V, inciso p) (OP)'!W125</f>
        <v>Servicios Metropolitanos de Jalisco, S.A. de C.V.</v>
      </c>
      <c r="N211" s="12" t="str">
        <f>'[1]V, inciso p) (OP)'!X125</f>
        <v>SMJ090317FS9</v>
      </c>
      <c r="O211" s="15">
        <f t="shared" si="6"/>
        <v>28125202.050000001</v>
      </c>
      <c r="P211" s="15">
        <v>28125202.16</v>
      </c>
      <c r="Q211" s="12" t="s">
        <v>578</v>
      </c>
      <c r="R211" s="15">
        <f>O211/1200</f>
        <v>23437.668375000001</v>
      </c>
      <c r="S211" s="12" t="s">
        <v>42</v>
      </c>
      <c r="T211" s="17">
        <v>92780</v>
      </c>
      <c r="U211" s="14" t="s">
        <v>43</v>
      </c>
      <c r="V211" s="12" t="s">
        <v>378</v>
      </c>
      <c r="W211" s="13">
        <f>'[1]V, inciso p) (OP)'!AM125</f>
        <v>42755</v>
      </c>
      <c r="X211" s="13">
        <f>'[1]V, inciso p) (OP)'!AN125</f>
        <v>42874</v>
      </c>
      <c r="Y211" s="12" t="s">
        <v>510</v>
      </c>
      <c r="Z211" s="12" t="s">
        <v>511</v>
      </c>
      <c r="AA211" s="12" t="s">
        <v>512</v>
      </c>
      <c r="AB211" s="14" t="s">
        <v>48</v>
      </c>
      <c r="AC211" s="14" t="s">
        <v>48</v>
      </c>
      <c r="AD211" s="14"/>
    </row>
    <row r="212" spans="1:30" ht="80.099999999999994" customHeight="1">
      <c r="A212" s="5">
        <v>200</v>
      </c>
      <c r="B212" s="12">
        <v>2016</v>
      </c>
      <c r="C212" s="14" t="s">
        <v>143</v>
      </c>
      <c r="D212" s="14" t="str">
        <f>'[1]V, inciso p) (OP)'!D126</f>
        <v>DOPI-MUN-PP-ID-CI-200-2016</v>
      </c>
      <c r="E212" s="13">
        <f>'[1]V, inciso p) (OP)'!AD126</f>
        <v>42727</v>
      </c>
      <c r="F212" s="14" t="str">
        <f>'[1]V, inciso p) (OP)'!AL126</f>
        <v>Rehabilitación de las instalaciones y equipamiento deportivo de la Unidad Deportiva Lomas de Tabachines, municipio de Zapopan, Jalisco.</v>
      </c>
      <c r="G212" s="14" t="s">
        <v>66</v>
      </c>
      <c r="H212" s="15">
        <f>'[1]V, inciso p) (OP)'!AG126</f>
        <v>6502584.6699999999</v>
      </c>
      <c r="I212" s="14" t="str">
        <f>'[1]V, inciso p) (OP)'!AS126</f>
        <v>Colonia Lomas de Tabachines</v>
      </c>
      <c r="J212" s="14" t="str">
        <f>'[1]V, inciso p) (OP)'!T126</f>
        <v>Carlos Alberto</v>
      </c>
      <c r="K212" s="12" t="str">
        <f>'[1]V, inciso p) (OP)'!U126</f>
        <v>Villaseñor</v>
      </c>
      <c r="L212" s="12" t="str">
        <f>'[1]V, inciso p) (OP)'!V126</f>
        <v>Núñez</v>
      </c>
      <c r="M212" s="14" t="str">
        <f>'[1]V, inciso p) (OP)'!W126</f>
        <v>MTQ de México, S.A. de C.V.</v>
      </c>
      <c r="N212" s="12" t="str">
        <f>'[1]V, inciso p) (OP)'!X126</f>
        <v>MME011214IV5</v>
      </c>
      <c r="O212" s="15">
        <f t="shared" si="6"/>
        <v>6502584.6699999999</v>
      </c>
      <c r="P212" s="15">
        <v>6502583.0500000007</v>
      </c>
      <c r="Q212" s="12" t="s">
        <v>579</v>
      </c>
      <c r="R212" s="15">
        <f>O212/9522.21</f>
        <v>682.88608106731533</v>
      </c>
      <c r="S212" s="12" t="s">
        <v>42</v>
      </c>
      <c r="T212" s="17">
        <v>26544</v>
      </c>
      <c r="U212" s="14" t="s">
        <v>43</v>
      </c>
      <c r="V212" s="12" t="s">
        <v>44</v>
      </c>
      <c r="W212" s="13">
        <f>'[1]V, inciso p) (OP)'!AM126</f>
        <v>42730</v>
      </c>
      <c r="X212" s="13">
        <f>'[1]V, inciso p) (OP)'!AN126</f>
        <v>42820</v>
      </c>
      <c r="Y212" s="12" t="s">
        <v>449</v>
      </c>
      <c r="Z212" s="12" t="s">
        <v>450</v>
      </c>
      <c r="AA212" s="12" t="s">
        <v>451</v>
      </c>
      <c r="AB212" s="18" t="s">
        <v>1898</v>
      </c>
      <c r="AC212" s="14" t="s">
        <v>48</v>
      </c>
      <c r="AD212" s="14"/>
    </row>
    <row r="213" spans="1:30" ht="80.099999999999994" customHeight="1">
      <c r="A213" s="5">
        <v>201</v>
      </c>
      <c r="B213" s="12">
        <v>2016</v>
      </c>
      <c r="C213" s="14" t="s">
        <v>143</v>
      </c>
      <c r="D213" s="14" t="str">
        <f>'[1]V, inciso p) (OP)'!D127</f>
        <v>DOPI-MUN-RM-ID-CI-201-2016</v>
      </c>
      <c r="E213" s="13">
        <f>'[1]V, inciso p) (OP)'!AD127</f>
        <v>42727</v>
      </c>
      <c r="F213" s="14" t="str">
        <f>'[1]V, inciso p) (OP)'!AL127</f>
        <v>Rehabilitación de las instalaciones y equipamiento deportivo de la Unidad Deportiva Santa María del Pueblito, municipio de Zapopan, Jalisco.</v>
      </c>
      <c r="G213" s="14" t="s">
        <v>66</v>
      </c>
      <c r="H213" s="15">
        <f>'[1]V, inciso p) (OP)'!AG127</f>
        <v>7474586.25</v>
      </c>
      <c r="I213" s="14" t="str">
        <f>'[1]V, inciso p) (OP)'!AS127</f>
        <v>Colonia Santa Maria del Pueblito</v>
      </c>
      <c r="J213" s="14" t="str">
        <f>'[1]V, inciso p) (OP)'!T127</f>
        <v>Juan José</v>
      </c>
      <c r="K213" s="12" t="str">
        <f>'[1]V, inciso p) (OP)'!U127</f>
        <v>Gutiérrez</v>
      </c>
      <c r="L213" s="12" t="str">
        <f>'[1]V, inciso p) (OP)'!V127</f>
        <v>Contreras</v>
      </c>
      <c r="M213" s="14" t="str">
        <f>'[1]V, inciso p) (OP)'!W127</f>
        <v>Rencoist Construcciones, S.A. de C.V.</v>
      </c>
      <c r="N213" s="12" t="str">
        <f>'[1]V, inciso p) (OP)'!X127</f>
        <v>RCO130920JX9</v>
      </c>
      <c r="O213" s="15">
        <f t="shared" si="6"/>
        <v>7474586.25</v>
      </c>
      <c r="P213" s="15">
        <v>7471586.25</v>
      </c>
      <c r="Q213" s="12" t="s">
        <v>580</v>
      </c>
      <c r="R213" s="15">
        <f>O213/5960</f>
        <v>1254.1252097315437</v>
      </c>
      <c r="S213" s="12" t="s">
        <v>42</v>
      </c>
      <c r="T213" s="17">
        <v>19865</v>
      </c>
      <c r="U213" s="14" t="s">
        <v>43</v>
      </c>
      <c r="V213" s="12" t="s">
        <v>44</v>
      </c>
      <c r="W213" s="13">
        <f>'[1]V, inciso p) (OP)'!AM127</f>
        <v>42730</v>
      </c>
      <c r="X213" s="13">
        <f>'[1]V, inciso p) (OP)'!AN127</f>
        <v>42850</v>
      </c>
      <c r="Y213" s="12" t="s">
        <v>470</v>
      </c>
      <c r="Z213" s="12" t="s">
        <v>315</v>
      </c>
      <c r="AA213" s="12" t="s">
        <v>134</v>
      </c>
      <c r="AB213" s="18" t="s">
        <v>1899</v>
      </c>
      <c r="AC213" s="14" t="s">
        <v>48</v>
      </c>
      <c r="AD213" s="14"/>
    </row>
    <row r="214" spans="1:30" s="1" customFormat="1" ht="80.099999999999994" customHeight="1">
      <c r="A214" s="5">
        <v>202</v>
      </c>
      <c r="B214" s="12">
        <v>2016</v>
      </c>
      <c r="C214" s="14" t="s">
        <v>31</v>
      </c>
      <c r="D214" s="14" t="str">
        <f>'[1]V, inciso p) (OP)'!D128</f>
        <v>DOPI-EST-CM-PAV-LP-202-2016</v>
      </c>
      <c r="E214" s="13">
        <f>'[1]V, inciso p) (OP)'!AD128</f>
        <v>42754</v>
      </c>
      <c r="F214" s="14" t="str">
        <f>'[1]V, inciso p) (OP)'!AL128</f>
        <v>Renovación urbana en área habitacional y de zona comercial del Andador 20 de Noviembre en el Centro de Zapopan, Jalisco.</v>
      </c>
      <c r="G214" s="14" t="s">
        <v>581</v>
      </c>
      <c r="H214" s="15">
        <f>'[1]V, inciso p) (OP)'!AG128</f>
        <v>16710004.48</v>
      </c>
      <c r="I214" s="14" t="str">
        <f>'[1]V, inciso p) (OP)'!AS128</f>
        <v>Zapopan Centro</v>
      </c>
      <c r="J214" s="14" t="str">
        <f>'[1]V, inciso p) (OP)'!T128</f>
        <v>Ignacio Javier</v>
      </c>
      <c r="K214" s="12" t="str">
        <f>'[1]V, inciso p) (OP)'!U128</f>
        <v>Curiel</v>
      </c>
      <c r="L214" s="12" t="str">
        <f>'[1]V, inciso p) (OP)'!V128</f>
        <v>Dueñas</v>
      </c>
      <c r="M214" s="14" t="str">
        <f>'[1]V, inciso p) (OP)'!W128</f>
        <v>TC Construcción y Mantenimiento, S.A. de C.V.</v>
      </c>
      <c r="N214" s="12" t="str">
        <f>'[1]V, inciso p) (OP)'!X128</f>
        <v>TCM100915HA1</v>
      </c>
      <c r="O214" s="15">
        <f t="shared" si="6"/>
        <v>16710004.48</v>
      </c>
      <c r="P214" s="15">
        <v>16710004.48</v>
      </c>
      <c r="Q214" s="12" t="s">
        <v>582</v>
      </c>
      <c r="R214" s="15">
        <f>O214/8833</f>
        <v>1891.7700079248275</v>
      </c>
      <c r="S214" s="12" t="s">
        <v>42</v>
      </c>
      <c r="T214" s="17">
        <v>643192</v>
      </c>
      <c r="U214" s="14" t="s">
        <v>43</v>
      </c>
      <c r="V214" s="12" t="s">
        <v>378</v>
      </c>
      <c r="W214" s="13">
        <f>'[1]V, inciso p) (OP)'!AM128</f>
        <v>42755</v>
      </c>
      <c r="X214" s="13">
        <f>'[1]V, inciso p) (OP)'!AN128</f>
        <v>42834</v>
      </c>
      <c r="Y214" s="12" t="s">
        <v>454</v>
      </c>
      <c r="Z214" s="12" t="s">
        <v>583</v>
      </c>
      <c r="AA214" s="12" t="s">
        <v>584</v>
      </c>
      <c r="AB214" s="18" t="s">
        <v>1727</v>
      </c>
      <c r="AC214" s="14" t="s">
        <v>48</v>
      </c>
      <c r="AD214" s="14" t="s">
        <v>1571</v>
      </c>
    </row>
    <row r="215" spans="1:30" s="1" customFormat="1" ht="80.099999999999994" customHeight="1">
      <c r="A215" s="5">
        <v>203</v>
      </c>
      <c r="B215" s="12">
        <v>2016</v>
      </c>
      <c r="C215" s="14" t="s">
        <v>31</v>
      </c>
      <c r="D215" s="14" t="str">
        <f>'[1]V, inciso p) (OP)'!D129</f>
        <v>DOPI-EST-CM-PAV-LP-203-2016</v>
      </c>
      <c r="E215" s="13">
        <f>'[1]V, inciso p) (OP)'!AD129</f>
        <v>42754</v>
      </c>
      <c r="F215" s="14" t="str">
        <f>'[1]V, inciso p) (OP)'!AL129</f>
        <v>Renovación urbana de área habitacional y de zona comercial de laterales de Av. Aviación, del tramo de Juan Gil Preciado a Camino Antiguo a Tesistán, en Zapopan, Jalisco.</v>
      </c>
      <c r="G215" s="14" t="s">
        <v>581</v>
      </c>
      <c r="H215" s="15">
        <f>'[1]V, inciso p) (OP)'!AG129</f>
        <v>12580210.390000001</v>
      </c>
      <c r="I215" s="14" t="str">
        <f>'[1]V, inciso p) (OP)'!AS129</f>
        <v>Col. Nuevo México</v>
      </c>
      <c r="J215" s="14" t="str">
        <f>'[1]V, inciso p) (OP)'!T129</f>
        <v>Felipe Daniel</v>
      </c>
      <c r="K215" s="12" t="str">
        <f>'[1]V, inciso p) (OP)'!U129</f>
        <v>Nuñez</v>
      </c>
      <c r="L215" s="12" t="str">
        <f>'[1]V, inciso p) (OP)'!V129</f>
        <v>Hernández</v>
      </c>
      <c r="M215" s="14" t="str">
        <f>'[1]V, inciso p) (OP)'!W129</f>
        <v>Grupo Constructor Felca, S.A. de C.V.</v>
      </c>
      <c r="N215" s="12" t="str">
        <f>'[1]V, inciso p) (OP)'!X129</f>
        <v>GCF8504255B8</v>
      </c>
      <c r="O215" s="15">
        <f t="shared" si="6"/>
        <v>12580210.390000001</v>
      </c>
      <c r="P215" s="15">
        <v>12579835.460000001</v>
      </c>
      <c r="Q215" s="12" t="s">
        <v>585</v>
      </c>
      <c r="R215" s="15">
        <f>O215/8401</f>
        <v>1497.4658243066303</v>
      </c>
      <c r="S215" s="12" t="s">
        <v>42</v>
      </c>
      <c r="T215" s="17">
        <v>174914</v>
      </c>
      <c r="U215" s="14" t="s">
        <v>43</v>
      </c>
      <c r="V215" s="12" t="s">
        <v>44</v>
      </c>
      <c r="W215" s="13">
        <f>'[1]V, inciso p) (OP)'!AM129</f>
        <v>42755</v>
      </c>
      <c r="X215" s="13">
        <f>'[1]V, inciso p) (OP)'!AN129</f>
        <v>42834</v>
      </c>
      <c r="Y215" s="12" t="s">
        <v>399</v>
      </c>
      <c r="Z215" s="12" t="s">
        <v>284</v>
      </c>
      <c r="AA215" s="12" t="s">
        <v>81</v>
      </c>
      <c r="AB215" s="18" t="s">
        <v>1900</v>
      </c>
      <c r="AC215" s="14" t="s">
        <v>48</v>
      </c>
      <c r="AD215" s="14"/>
    </row>
    <row r="216" spans="1:30" s="1" customFormat="1" ht="80.099999999999994" customHeight="1">
      <c r="A216" s="5">
        <v>204</v>
      </c>
      <c r="B216" s="12">
        <v>2016</v>
      </c>
      <c r="C216" s="14" t="s">
        <v>31</v>
      </c>
      <c r="D216" s="14" t="str">
        <f>'[1]V, inciso p) (OP)'!D130</f>
        <v>DOPI-EST-CM-PAV-LP-204-2016</v>
      </c>
      <c r="E216" s="13">
        <f>'[1]V, inciso p) (OP)'!AD130</f>
        <v>42754</v>
      </c>
      <c r="F216" s="14" t="str">
        <f>'[1]V, inciso p) (OP)'!AL130</f>
        <v>Renovación urbana de área habitacional y de zona comercial de Av. Aviación, del tramo del Ingreso de Base Aérea No. 2 a Camino Antiguo a Tesistán, en Zapopan, Jalisco.</v>
      </c>
      <c r="G216" s="14" t="s">
        <v>581</v>
      </c>
      <c r="H216" s="15">
        <f>'[1]V, inciso p) (OP)'!AG130</f>
        <v>44287096.670000002</v>
      </c>
      <c r="I216" s="14" t="str">
        <f>'[1]V, inciso p) (OP)'!AS130</f>
        <v>Col. Nuevo México</v>
      </c>
      <c r="J216" s="14" t="str">
        <f>'[1]V, inciso p) (OP)'!T130</f>
        <v>Andrés Eduardo</v>
      </c>
      <c r="K216" s="12" t="str">
        <f>'[1]V, inciso p) (OP)'!U130</f>
        <v>Aceves</v>
      </c>
      <c r="L216" s="12" t="str">
        <f>'[1]V, inciso p) (OP)'!V130</f>
        <v>Castañeda</v>
      </c>
      <c r="M216" s="14" t="str">
        <f>'[1]V, inciso p) (OP)'!W130</f>
        <v>Secri Constructora, S.A. de C.V.</v>
      </c>
      <c r="N216" s="12" t="str">
        <f>'[1]V, inciso p) (OP)'!X130</f>
        <v>SCO100609EVA</v>
      </c>
      <c r="O216" s="15">
        <f t="shared" si="6"/>
        <v>44287096.670000002</v>
      </c>
      <c r="P216" s="15">
        <v>52943732.57</v>
      </c>
      <c r="Q216" s="12" t="s">
        <v>586</v>
      </c>
      <c r="R216" s="15">
        <f>O216/30276</f>
        <v>1462.7789889681596</v>
      </c>
      <c r="S216" s="12" t="s">
        <v>42</v>
      </c>
      <c r="T216" s="17">
        <v>174914</v>
      </c>
      <c r="U216" s="14" t="s">
        <v>43</v>
      </c>
      <c r="V216" s="12" t="s">
        <v>378</v>
      </c>
      <c r="W216" s="13">
        <f>'[1]V, inciso p) (OP)'!AM130</f>
        <v>42755</v>
      </c>
      <c r="X216" s="13">
        <f>'[1]V, inciso p) (OP)'!AN130</f>
        <v>42834</v>
      </c>
      <c r="Y216" s="12" t="s">
        <v>399</v>
      </c>
      <c r="Z216" s="12" t="s">
        <v>284</v>
      </c>
      <c r="AA216" s="12" t="s">
        <v>81</v>
      </c>
      <c r="AB216" s="18" t="s">
        <v>1901</v>
      </c>
      <c r="AC216" s="14" t="s">
        <v>48</v>
      </c>
      <c r="AD216" s="14"/>
    </row>
    <row r="217" spans="1:30" s="1" customFormat="1" ht="80.099999999999994" customHeight="1">
      <c r="A217" s="5">
        <v>205</v>
      </c>
      <c r="B217" s="12">
        <v>2016</v>
      </c>
      <c r="C217" s="14" t="s">
        <v>31</v>
      </c>
      <c r="D217" s="14" t="str">
        <f>'[1]V, inciso p) (OP)'!D131</f>
        <v>DOPI-EST-CM-PAV-LP-205-2016</v>
      </c>
      <c r="E217" s="13">
        <f>'[1]V, inciso p) (OP)'!AD131</f>
        <v>42754</v>
      </c>
      <c r="F217" s="14" t="str">
        <f>'[1]V, inciso p) (OP)'!AL131</f>
        <v>Renovación urbana de área habitacional de lateral Poniente de Periférico, de Prolongación Av. Central Guillermo González Camarena a Calle 5 de Mayo (incluye puente peatonal sobre Periférico), para la interconexión comercial a Calle 5 de Mayo, Andares, Av. Aviación, Zona Real y Av. Vallarta, en Zapopan, Jalisco.</v>
      </c>
      <c r="G217" s="14" t="s">
        <v>581</v>
      </c>
      <c r="H217" s="15">
        <f>'[1]V, inciso p) (OP)'!AG131</f>
        <v>18744083.59</v>
      </c>
      <c r="I217" s="14" t="str">
        <f>'[1]V, inciso p) (OP)'!AS131</f>
        <v>Col. San Juan de Ocotán</v>
      </c>
      <c r="J217" s="14" t="str">
        <f>'[1]V, inciso p) (OP)'!T131</f>
        <v>Mario</v>
      </c>
      <c r="K217" s="12" t="str">
        <f>'[1]V, inciso p) (OP)'!U131</f>
        <v>Beltrán</v>
      </c>
      <c r="L217" s="12" t="str">
        <f>'[1]V, inciso p) (OP)'!V131</f>
        <v>Rodríguez</v>
      </c>
      <c r="M217" s="14" t="str">
        <f>'[1]V, inciso p) (OP)'!W131</f>
        <v xml:space="preserve">Constructora y Desarrolladora Barba y Asociados, S. A. de C. V. </v>
      </c>
      <c r="N217" s="12" t="str">
        <f>'[1]V, inciso p) (OP)'!X131</f>
        <v>CDB0506068Z4</v>
      </c>
      <c r="O217" s="15">
        <f t="shared" si="6"/>
        <v>18744083.59</v>
      </c>
      <c r="P217" s="15">
        <v>18744083.59</v>
      </c>
      <c r="Q217" s="12" t="s">
        <v>587</v>
      </c>
      <c r="R217" s="15">
        <f>O217/14220</f>
        <v>1318.1493382559775</v>
      </c>
      <c r="S217" s="12" t="s">
        <v>42</v>
      </c>
      <c r="T217" s="17">
        <v>145782</v>
      </c>
      <c r="U217" s="14" t="s">
        <v>43</v>
      </c>
      <c r="V217" s="12" t="s">
        <v>378</v>
      </c>
      <c r="W217" s="13">
        <f>'[1]V, inciso p) (OP)'!AM131</f>
        <v>42755</v>
      </c>
      <c r="X217" s="13">
        <f>'[1]V, inciso p) (OP)'!AN131</f>
        <v>42834</v>
      </c>
      <c r="Y217" s="12" t="s">
        <v>322</v>
      </c>
      <c r="Z217" s="12" t="s">
        <v>196</v>
      </c>
      <c r="AA217" s="12" t="s">
        <v>197</v>
      </c>
      <c r="AB217" s="18" t="s">
        <v>1902</v>
      </c>
      <c r="AC217" s="14" t="s">
        <v>48</v>
      </c>
      <c r="AD217" s="14" t="s">
        <v>1571</v>
      </c>
    </row>
    <row r="218" spans="1:30" ht="80.099999999999994" customHeight="1">
      <c r="A218" s="5">
        <v>206</v>
      </c>
      <c r="B218" s="12">
        <v>2016</v>
      </c>
      <c r="C218" s="14" t="s">
        <v>143</v>
      </c>
      <c r="D218" s="14" t="str">
        <f>'[1]V, inciso p) (OP)'!D132</f>
        <v>DOPI-MUN-RM-ID-CI-206-2016</v>
      </c>
      <c r="E218" s="13">
        <f>'[1]V, inciso p) (OP)'!AD132</f>
        <v>42727</v>
      </c>
      <c r="F218" s="14" t="str">
        <f>'[1]V, inciso p) (OP)'!AL132</f>
        <v>Rehabilitación de las instalaciones y equipamiento deportivo de la Unidad Deportiva Miguel de la Madrid, municipio de Zapopan, Jalisco.</v>
      </c>
      <c r="G218" s="14" t="s">
        <v>66</v>
      </c>
      <c r="H218" s="15">
        <f>'[1]V, inciso p) (OP)'!AG132</f>
        <v>7998190.21</v>
      </c>
      <c r="I218" s="14" t="str">
        <f>'[1]V, inciso p) (OP)'!AS132</f>
        <v>Colonia Miguel de la Madrid</v>
      </c>
      <c r="J218" s="14" t="str">
        <f>'[1]V, inciso p) (OP)'!T132</f>
        <v>Apolinar</v>
      </c>
      <c r="K218" s="12" t="str">
        <f>'[1]V, inciso p) (OP)'!U132</f>
        <v>Gómez</v>
      </c>
      <c r="L218" s="12" t="str">
        <f>'[1]V, inciso p) (OP)'!V132</f>
        <v>Alonso</v>
      </c>
      <c r="M218" s="14" t="str">
        <f>'[1]V, inciso p) (OP)'!W132</f>
        <v>Edificaciones y Transformaciones Técnicas, S.A. de C.V.</v>
      </c>
      <c r="N218" s="12" t="str">
        <f>'[1]V, inciso p) (OP)'!X132</f>
        <v>ETT9302049B2</v>
      </c>
      <c r="O218" s="15">
        <f t="shared" si="6"/>
        <v>7998190.21</v>
      </c>
      <c r="P218" s="15">
        <v>7808041.3499999996</v>
      </c>
      <c r="Q218" s="12" t="s">
        <v>588</v>
      </c>
      <c r="R218" s="15">
        <f>O218/10786</f>
        <v>741.53441590951229</v>
      </c>
      <c r="S218" s="12" t="s">
        <v>42</v>
      </c>
      <c r="T218" s="17">
        <v>21536</v>
      </c>
      <c r="U218" s="14" t="s">
        <v>43</v>
      </c>
      <c r="V218" s="12" t="s">
        <v>44</v>
      </c>
      <c r="W218" s="13">
        <f>'[1]V, inciso p) (OP)'!AM132</f>
        <v>42730</v>
      </c>
      <c r="X218" s="13">
        <f>'[1]V, inciso p) (OP)'!AN132</f>
        <v>42850</v>
      </c>
      <c r="Y218" s="12" t="s">
        <v>552</v>
      </c>
      <c r="Z218" s="12" t="s">
        <v>553</v>
      </c>
      <c r="AA218" s="12" t="s">
        <v>148</v>
      </c>
      <c r="AB218" s="18" t="s">
        <v>1728</v>
      </c>
      <c r="AC218" s="14" t="s">
        <v>48</v>
      </c>
      <c r="AD218" s="14"/>
    </row>
    <row r="219" spans="1:30" ht="80.099999999999994" customHeight="1">
      <c r="A219" s="5">
        <v>207</v>
      </c>
      <c r="B219" s="12">
        <v>2016</v>
      </c>
      <c r="C219" s="14" t="s">
        <v>143</v>
      </c>
      <c r="D219" s="14" t="str">
        <f>'[1]V, inciso p) (OP)'!D133</f>
        <v>DOPI-MUN-RM-ID-CI-207-2016</v>
      </c>
      <c r="E219" s="13">
        <f>'[1]V, inciso p) (OP)'!AD133</f>
        <v>42727</v>
      </c>
      <c r="F219" s="14" t="str">
        <f>'[1]V, inciso p) (OP)'!AL133</f>
        <v>Rehabilitación de las instalaciones y equipamiento deportivo de la Unidad Deportiva Villas de Guadalupe, municipio de Zapopan, Jalisco.</v>
      </c>
      <c r="G219" s="14" t="s">
        <v>66</v>
      </c>
      <c r="H219" s="15">
        <f>'[1]V, inciso p) (OP)'!AG133</f>
        <v>7900442.7599999998</v>
      </c>
      <c r="I219" s="14" t="str">
        <f>'[1]V, inciso p) (OP)'!AS133</f>
        <v>Colonia Villa de Guadalupe</v>
      </c>
      <c r="J219" s="14" t="str">
        <f>'[1]V, inciso p) (OP)'!T133</f>
        <v xml:space="preserve">Leobardo </v>
      </c>
      <c r="K219" s="12" t="str">
        <f>'[1]V, inciso p) (OP)'!U133</f>
        <v>Preciado</v>
      </c>
      <c r="L219" s="12" t="str">
        <f>'[1]V, inciso p) (OP)'!V133</f>
        <v>Zepeda</v>
      </c>
      <c r="M219" s="14" t="str">
        <f>'[1]V, inciso p) (OP)'!W133</f>
        <v>Consorcio Constructor Adobes, S. A. de C. V.</v>
      </c>
      <c r="N219" s="12" t="str">
        <f>'[1]V, inciso p) (OP)'!X133</f>
        <v>CCA971126QC9</v>
      </c>
      <c r="O219" s="15">
        <f t="shared" si="6"/>
        <v>7900442.7599999998</v>
      </c>
      <c r="P219" s="15">
        <f>O219</f>
        <v>7900442.7599999998</v>
      </c>
      <c r="Q219" s="12" t="s">
        <v>589</v>
      </c>
      <c r="R219" s="15">
        <f>O219/4585</f>
        <v>1723.1063816793892</v>
      </c>
      <c r="S219" s="12" t="s">
        <v>42</v>
      </c>
      <c r="T219" s="17">
        <v>12558</v>
      </c>
      <c r="U219" s="14" t="s">
        <v>43</v>
      </c>
      <c r="V219" s="12" t="s">
        <v>378</v>
      </c>
      <c r="W219" s="13">
        <f>'[1]V, inciso p) (OP)'!AM133</f>
        <v>42730</v>
      </c>
      <c r="X219" s="13">
        <f>'[1]V, inciso p) (OP)'!AN133</f>
        <v>42850</v>
      </c>
      <c r="Y219" s="12" t="s">
        <v>439</v>
      </c>
      <c r="Z219" s="12" t="s">
        <v>186</v>
      </c>
      <c r="AA219" s="12" t="s">
        <v>92</v>
      </c>
      <c r="AB219" s="18" t="s">
        <v>1903</v>
      </c>
      <c r="AC219" s="14" t="s">
        <v>48</v>
      </c>
      <c r="AD219" s="14" t="s">
        <v>1571</v>
      </c>
    </row>
    <row r="220" spans="1:30" ht="80.099999999999994" customHeight="1">
      <c r="A220" s="5">
        <v>208</v>
      </c>
      <c r="B220" s="12">
        <v>2016</v>
      </c>
      <c r="C220" s="14" t="s">
        <v>143</v>
      </c>
      <c r="D220" s="14" t="str">
        <f>'[1]V, inciso p) (OP)'!D134</f>
        <v>DOPI-MUN-RM-ID-CI-208-2016</v>
      </c>
      <c r="E220" s="13">
        <f>'[1]V, inciso p) (OP)'!AD134</f>
        <v>42727</v>
      </c>
      <c r="F220" s="14" t="str">
        <f>'[1]V, inciso p) (OP)'!AL134</f>
        <v>Rehabilitación de las instalaciones y equipamiento deportivo de la Unidad Deportiva Santa Margarita, municipio de Zapopan, Jalisco.</v>
      </c>
      <c r="G220" s="14" t="s">
        <v>66</v>
      </c>
      <c r="H220" s="15">
        <f>'[1]V, inciso p) (OP)'!AG134</f>
        <v>7996437.3600000003</v>
      </c>
      <c r="I220" s="14" t="str">
        <f>'[1]V, inciso p) (OP)'!AS134</f>
        <v>Colonia Santa Margarita</v>
      </c>
      <c r="J220" s="14" t="str">
        <f>'[1]V, inciso p) (OP)'!T134</f>
        <v>David</v>
      </c>
      <c r="K220" s="12" t="str">
        <f>'[1]V, inciso p) (OP)'!U134</f>
        <v>Hernández</v>
      </c>
      <c r="L220" s="12" t="str">
        <f>'[1]V, inciso p) (OP)'!V134</f>
        <v>Flores</v>
      </c>
      <c r="M220" s="14" t="str">
        <f>'[1]V, inciso p) (OP)'!W134</f>
        <v>Constructora San Sebastián, S.A. de C.V.</v>
      </c>
      <c r="N220" s="12" t="str">
        <f>'[1]V, inciso p) (OP)'!X134</f>
        <v>CSS8303089S9</v>
      </c>
      <c r="O220" s="15">
        <f t="shared" si="6"/>
        <v>7996437.3600000003</v>
      </c>
      <c r="P220" s="15">
        <v>7996433.5099999998</v>
      </c>
      <c r="Q220" s="12" t="s">
        <v>590</v>
      </c>
      <c r="R220" s="15">
        <f>O220/12433</f>
        <v>643.16233893670073</v>
      </c>
      <c r="S220" s="12" t="s">
        <v>42</v>
      </c>
      <c r="T220" s="17">
        <v>38995</v>
      </c>
      <c r="U220" s="14" t="s">
        <v>43</v>
      </c>
      <c r="V220" s="12" t="s">
        <v>44</v>
      </c>
      <c r="W220" s="13">
        <f>'[1]V, inciso p) (OP)'!AM134</f>
        <v>42730</v>
      </c>
      <c r="X220" s="13">
        <f>'[1]V, inciso p) (OP)'!AN134</f>
        <v>42850</v>
      </c>
      <c r="Y220" s="12" t="s">
        <v>439</v>
      </c>
      <c r="Z220" s="12" t="s">
        <v>186</v>
      </c>
      <c r="AA220" s="12" t="s">
        <v>92</v>
      </c>
      <c r="AB220" s="18" t="s">
        <v>1729</v>
      </c>
      <c r="AC220" s="14" t="s">
        <v>48</v>
      </c>
      <c r="AD220" s="14"/>
    </row>
    <row r="221" spans="1:30" ht="80.099999999999994" customHeight="1">
      <c r="A221" s="6">
        <v>209</v>
      </c>
      <c r="B221" s="12">
        <v>2016</v>
      </c>
      <c r="C221" s="14" t="s">
        <v>143</v>
      </c>
      <c r="D221" s="14" t="str">
        <f>'[1]V, inciso p) (OP)'!D135</f>
        <v>DOPI-MUN-RM-PAV-CI-209-2016</v>
      </c>
      <c r="E221" s="13">
        <f>'[1]V, inciso p) (OP)'!AD135</f>
        <v>42727</v>
      </c>
      <c r="F221" s="14" t="str">
        <f>'[1]V, inciso p) (OP)'!AL135</f>
        <v>Construcción de pavimento de concreto hidráulico MR-45 y jardinería, en la Glorieta Venustiano Carranza en la colonia Constitución, municipio de Zapopan, Jalisco</v>
      </c>
      <c r="G221" s="14" t="s">
        <v>111</v>
      </c>
      <c r="H221" s="15">
        <f>'[1]V, inciso p) (OP)'!AG135</f>
        <v>5570941.0800000001</v>
      </c>
      <c r="I221" s="14" t="str">
        <f>'[1]V, inciso p) (OP)'!AS135</f>
        <v>Colonia Constitución</v>
      </c>
      <c r="J221" s="14" t="str">
        <f>'[1]V, inciso p) (OP)'!T135</f>
        <v>Jorge Alfredo</v>
      </c>
      <c r="K221" s="12" t="str">
        <f>'[1]V, inciso p) (OP)'!U135</f>
        <v>Ochoa</v>
      </c>
      <c r="L221" s="12" t="str">
        <f>'[1]V, inciso p) (OP)'!V135</f>
        <v>González</v>
      </c>
      <c r="M221" s="14" t="str">
        <f>'[1]V, inciso p) (OP)'!W135</f>
        <v>Aedificant, S.A. de C.V.</v>
      </c>
      <c r="N221" s="12" t="str">
        <f>'[1]V, inciso p) (OP)'!X135</f>
        <v>AED890925181</v>
      </c>
      <c r="O221" s="15">
        <f t="shared" si="6"/>
        <v>5570941.0800000001</v>
      </c>
      <c r="P221" s="15">
        <v>5406897.1899999995</v>
      </c>
      <c r="Q221" s="12" t="s">
        <v>591</v>
      </c>
      <c r="R221" s="15">
        <f>O221/3911.58</f>
        <v>1424.2176000490851</v>
      </c>
      <c r="S221" s="12" t="s">
        <v>42</v>
      </c>
      <c r="T221" s="17">
        <v>98745</v>
      </c>
      <c r="U221" s="14" t="s">
        <v>43</v>
      </c>
      <c r="V221" s="12" t="s">
        <v>44</v>
      </c>
      <c r="W221" s="13">
        <f>'[1]V, inciso p) (OP)'!AM135</f>
        <v>42730</v>
      </c>
      <c r="X221" s="13">
        <f>'[1]V, inciso p) (OP)'!AN135</f>
        <v>42762</v>
      </c>
      <c r="Y221" s="12" t="s">
        <v>418</v>
      </c>
      <c r="Z221" s="12" t="s">
        <v>419</v>
      </c>
      <c r="AA221" s="12" t="s">
        <v>420</v>
      </c>
      <c r="AB221" s="18" t="s">
        <v>1730</v>
      </c>
      <c r="AC221" s="14" t="s">
        <v>48</v>
      </c>
      <c r="AD221" s="14"/>
    </row>
    <row r="222" spans="1:30" ht="80.099999999999994" customHeight="1">
      <c r="A222" s="6">
        <v>210</v>
      </c>
      <c r="B222" s="12">
        <v>2016</v>
      </c>
      <c r="C222" s="14" t="s">
        <v>143</v>
      </c>
      <c r="D222" s="14" t="str">
        <f>'[1]V, inciso p) (OP)'!D136</f>
        <v>DOPI-MUN-RM-PAV-CI-210-2016</v>
      </c>
      <c r="E222" s="13">
        <f>'[1]V, inciso p) (OP)'!AD136</f>
        <v>42727</v>
      </c>
      <c r="F222" s="14" t="str">
        <f>'[1]V, inciso p) (OP)'!AL136</f>
        <v>Construcción de pavimento de concreto hidráulico, red de agua potable, alcantarillado sanitario, alumbrado público, banquetas, señalamiento vertical y horizontal, de la Prol. Laureles de Av. Del Rodeo a Periférico Norte Manuel Gómez Morín, municipio de Zapopan, Jalisco.</v>
      </c>
      <c r="G222" s="14" t="s">
        <v>111</v>
      </c>
      <c r="H222" s="15">
        <f>'[1]V, inciso p) (OP)'!AG136</f>
        <v>7995338.8700000001</v>
      </c>
      <c r="I222" s="14" t="str">
        <f>'[1]V, inciso p) (OP)'!AS136</f>
        <v>Colonia Belenes Norte</v>
      </c>
      <c r="J222" s="14" t="str">
        <f>'[1]V, inciso p) (OP)'!T136</f>
        <v>Elvia Alejandra</v>
      </c>
      <c r="K222" s="12" t="str">
        <f>'[1]V, inciso p) (OP)'!U136</f>
        <v>Torres</v>
      </c>
      <c r="L222" s="12" t="str">
        <f>'[1]V, inciso p) (OP)'!V136</f>
        <v>Villa</v>
      </c>
      <c r="M222" s="14" t="str">
        <f>'[1]V, inciso p) (OP)'!W136</f>
        <v>Procourza, S.A. de C.V.</v>
      </c>
      <c r="N222" s="12" t="str">
        <f>'[1]V, inciso p) (OP)'!X136</f>
        <v>PRO0205208F2</v>
      </c>
      <c r="O222" s="15">
        <f t="shared" si="6"/>
        <v>7995338.8700000001</v>
      </c>
      <c r="P222" s="15">
        <v>7431016.5300000003</v>
      </c>
      <c r="Q222" s="12" t="s">
        <v>592</v>
      </c>
      <c r="R222" s="15">
        <f>O222/6300</f>
        <v>1269.1014079365079</v>
      </c>
      <c r="S222" s="12" t="s">
        <v>42</v>
      </c>
      <c r="T222" s="17">
        <v>31566</v>
      </c>
      <c r="U222" s="14" t="s">
        <v>43</v>
      </c>
      <c r="V222" s="12" t="s">
        <v>44</v>
      </c>
      <c r="W222" s="13">
        <f>'[1]V, inciso p) (OP)'!AM136</f>
        <v>42730</v>
      </c>
      <c r="X222" s="13">
        <f>'[1]V, inciso p) (OP)'!AN136</f>
        <v>42820</v>
      </c>
      <c r="Y222" s="12" t="s">
        <v>593</v>
      </c>
      <c r="Z222" s="12" t="s">
        <v>594</v>
      </c>
      <c r="AA222" s="12" t="s">
        <v>258</v>
      </c>
      <c r="AB222" s="18" t="s">
        <v>1731</v>
      </c>
      <c r="AC222" s="14" t="s">
        <v>48</v>
      </c>
      <c r="AD222" s="14"/>
    </row>
    <row r="223" spans="1:30" ht="80.099999999999994" customHeight="1">
      <c r="A223" s="5">
        <v>211</v>
      </c>
      <c r="B223" s="12">
        <v>2016</v>
      </c>
      <c r="C223" s="14" t="s">
        <v>143</v>
      </c>
      <c r="D223" s="14" t="str">
        <f>'[1]V, inciso p) (OP)'!D137</f>
        <v>DOPI-MUN-RM-AP-CI-211-2016</v>
      </c>
      <c r="E223" s="13">
        <f>'[1]V, inciso p) (OP)'!AD137</f>
        <v>42727</v>
      </c>
      <c r="F223" s="14" t="str">
        <f>'[1]V, inciso p) (OP)'!AL137</f>
        <v>Construcción de línea de agua potable, drenaje sanitario, preparación para instalaciones de Telmex y CFE, pozos de absorción, en la Glorieta Venustiano Carranza en la colonia Constitución, municipio de Zapopan, Jalisco</v>
      </c>
      <c r="G223" s="14" t="s">
        <v>111</v>
      </c>
      <c r="H223" s="15">
        <f>'[1]V, inciso p) (OP)'!AG137</f>
        <v>2591650.5499999998</v>
      </c>
      <c r="I223" s="14" t="str">
        <f>'[1]V, inciso p) (OP)'!AS137</f>
        <v>Colonia Constitución</v>
      </c>
      <c r="J223" s="14" t="str">
        <f>'[1]V, inciso p) (OP)'!T137</f>
        <v>Rosalba Edilia</v>
      </c>
      <c r="K223" s="12" t="str">
        <f>'[1]V, inciso p) (OP)'!U137</f>
        <v>Sandoval</v>
      </c>
      <c r="L223" s="12" t="str">
        <f>'[1]V, inciso p) (OP)'!V137</f>
        <v>Huizar</v>
      </c>
      <c r="M223" s="14" t="str">
        <f>'[1]V, inciso p) (OP)'!W137</f>
        <v>Infraestructura San Miguel, S.A. de C.V.</v>
      </c>
      <c r="N223" s="12" t="str">
        <f>'[1]V, inciso p) (OP)'!X137</f>
        <v>ISM0112209Y5</v>
      </c>
      <c r="O223" s="15">
        <f t="shared" si="6"/>
        <v>2591650.5499999998</v>
      </c>
      <c r="P223" s="15">
        <v>2529130.69</v>
      </c>
      <c r="Q223" s="12" t="s">
        <v>595</v>
      </c>
      <c r="R223" s="15">
        <f>O223/671.12</f>
        <v>3861.6798039098817</v>
      </c>
      <c r="S223" s="12" t="s">
        <v>42</v>
      </c>
      <c r="T223" s="17">
        <v>2569</v>
      </c>
      <c r="U223" s="14" t="s">
        <v>43</v>
      </c>
      <c r="V223" s="12" t="s">
        <v>44</v>
      </c>
      <c r="W223" s="13">
        <f>'[1]V, inciso p) (OP)'!AM137</f>
        <v>42730</v>
      </c>
      <c r="X223" s="13">
        <f>'[1]V, inciso p) (OP)'!AN137</f>
        <v>42760</v>
      </c>
      <c r="Y223" s="12" t="s">
        <v>418</v>
      </c>
      <c r="Z223" s="12" t="s">
        <v>419</v>
      </c>
      <c r="AA223" s="12" t="s">
        <v>420</v>
      </c>
      <c r="AB223" s="18" t="s">
        <v>1904</v>
      </c>
      <c r="AC223" s="14" t="s">
        <v>48</v>
      </c>
      <c r="AD223" s="14"/>
    </row>
    <row r="224" spans="1:30" ht="80.099999999999994" customHeight="1">
      <c r="A224" s="5">
        <v>212</v>
      </c>
      <c r="B224" s="12">
        <v>2016</v>
      </c>
      <c r="C224" s="14" t="s">
        <v>65</v>
      </c>
      <c r="D224" s="14" t="str">
        <f>'[1]V, inciso o) (OP)'!C93</f>
        <v>DOPI-MUN-RM-AP-AD-212-2016</v>
      </c>
      <c r="E224" s="13">
        <f>'[1]V, inciso o) (OP)'!V93</f>
        <v>42653</v>
      </c>
      <c r="F224" s="14" t="str">
        <f>'[1]V, inciso o) (OP)'!AA93</f>
        <v>Construcción de linea de agua potable, drenaje sanitario y linea de alejamiento en la calle La grana y calle Rastro, en la colonia San Isidro, municipio de Zapopan, Jalisco.</v>
      </c>
      <c r="G224" s="14" t="s">
        <v>111</v>
      </c>
      <c r="H224" s="15">
        <f>'[1]V, inciso o) (OP)'!Y93</f>
        <v>1498750.44</v>
      </c>
      <c r="I224" s="14" t="s">
        <v>596</v>
      </c>
      <c r="J224" s="14" t="str">
        <f>'[1]V, inciso o) (OP)'!M93</f>
        <v xml:space="preserve">HECTOR DAVID </v>
      </c>
      <c r="K224" s="12" t="str">
        <f>'[1]V, inciso o) (OP)'!N93</f>
        <v>ROBLES</v>
      </c>
      <c r="L224" s="12" t="str">
        <f>'[1]V, inciso o) (OP)'!O93</f>
        <v>ROBLES</v>
      </c>
      <c r="M224" s="14" t="str">
        <f>'[1]V, inciso o) (OP)'!P93</f>
        <v>ESTRUCTURAS Y DISEÑOS DEL SOL, S.A. DE C.V.</v>
      </c>
      <c r="N224" s="12" t="str">
        <f>'[1]V, inciso o) (OP)'!Q93</f>
        <v>EDS001103AJ2</v>
      </c>
      <c r="O224" s="15">
        <f>'[1]V, inciso o) (OP)'!Y93</f>
        <v>1498750.44</v>
      </c>
      <c r="P224" s="15">
        <v>945921.83000000007</v>
      </c>
      <c r="Q224" s="12" t="s">
        <v>597</v>
      </c>
      <c r="R224" s="15">
        <f>O224/132</f>
        <v>11354.17</v>
      </c>
      <c r="S224" s="12" t="s">
        <v>42</v>
      </c>
      <c r="T224" s="17">
        <v>865</v>
      </c>
      <c r="U224" s="14" t="s">
        <v>43</v>
      </c>
      <c r="V224" s="12" t="s">
        <v>44</v>
      </c>
      <c r="W224" s="13">
        <f>'[1]V, inciso o) (OP)'!AD93</f>
        <v>42654</v>
      </c>
      <c r="X224" s="13">
        <f>'[1]V, inciso o) (OP)'!AE93</f>
        <v>42698</v>
      </c>
      <c r="Y224" s="12" t="s">
        <v>510</v>
      </c>
      <c r="Z224" s="12" t="s">
        <v>598</v>
      </c>
      <c r="AA224" s="12" t="s">
        <v>512</v>
      </c>
      <c r="AB224" s="14" t="s">
        <v>1646</v>
      </c>
      <c r="AC224" s="18"/>
      <c r="AD224" s="14"/>
    </row>
    <row r="225" spans="1:30" ht="80.099999999999994" customHeight="1">
      <c r="A225" s="5">
        <v>213</v>
      </c>
      <c r="B225" s="12">
        <v>2016</v>
      </c>
      <c r="C225" s="14" t="s">
        <v>65</v>
      </c>
      <c r="D225" s="14" t="str">
        <f>'[1]V, inciso o) (OP)'!C94</f>
        <v>DOPI-MUN-RM-IM-AD-213-2016</v>
      </c>
      <c r="E225" s="13">
        <f>'[1]V, inciso o) (OP)'!V94</f>
        <v>42647</v>
      </c>
      <c r="F225" s="14" t="str">
        <f>'[1]V, inciso o) (OP)'!AA94</f>
        <v>Suministro e instalación de piso de danza flotado de duela de Maple en el escenario del auditorio del Centro Cultural Constitución, ,municipio de Zapopan, Jalisco.</v>
      </c>
      <c r="G225" s="14" t="s">
        <v>111</v>
      </c>
      <c r="H225" s="15">
        <f>'[1]V, inciso o) (OP)'!Y94</f>
        <v>932552.22</v>
      </c>
      <c r="I225" s="14" t="s">
        <v>476</v>
      </c>
      <c r="J225" s="14" t="str">
        <f>'[1]V, inciso o) (OP)'!M94</f>
        <v>NORMA FABIOLA</v>
      </c>
      <c r="K225" s="12" t="str">
        <f>'[1]V, inciso o) (OP)'!N94</f>
        <v>RODRIGUEZ</v>
      </c>
      <c r="L225" s="12" t="str">
        <f>'[1]V, inciso o) (OP)'!O94</f>
        <v>CASTILLO</v>
      </c>
      <c r="M225" s="14" t="str">
        <f>'[1]V, inciso o) (OP)'!P94</f>
        <v>PARED URBANA, S.A. DE C.V.</v>
      </c>
      <c r="N225" s="12" t="str">
        <f>'[1]V, inciso o) (OP)'!Q94</f>
        <v>PUR071001L23</v>
      </c>
      <c r="O225" s="15">
        <f>'[1]V, inciso o) (OP)'!Y94</f>
        <v>932552.22</v>
      </c>
      <c r="P225" s="15">
        <v>922144.73</v>
      </c>
      <c r="Q225" s="12" t="s">
        <v>599</v>
      </c>
      <c r="R225" s="15">
        <f>O225/426</f>
        <v>2189.0897183098591</v>
      </c>
      <c r="S225" s="12" t="s">
        <v>42</v>
      </c>
      <c r="T225" s="17">
        <v>350</v>
      </c>
      <c r="U225" s="14" t="s">
        <v>43</v>
      </c>
      <c r="V225" s="12" t="s">
        <v>44</v>
      </c>
      <c r="W225" s="13">
        <f>'[1]V, inciso o) (OP)'!AD94</f>
        <v>42648</v>
      </c>
      <c r="X225" s="13">
        <f>'[1]V, inciso o) (OP)'!AE94</f>
        <v>42677</v>
      </c>
      <c r="Y225" s="12" t="s">
        <v>418</v>
      </c>
      <c r="Z225" s="12" t="s">
        <v>419</v>
      </c>
      <c r="AA225" s="12" t="s">
        <v>420</v>
      </c>
      <c r="AB225" s="8" t="s">
        <v>1732</v>
      </c>
      <c r="AC225" s="14" t="s">
        <v>48</v>
      </c>
      <c r="AD225" s="14"/>
    </row>
    <row r="226" spans="1:30" ht="80.099999999999994" customHeight="1">
      <c r="A226" s="5">
        <v>214</v>
      </c>
      <c r="B226" s="12">
        <v>2016</v>
      </c>
      <c r="C226" s="14" t="s">
        <v>600</v>
      </c>
      <c r="D226" s="14" t="str">
        <f>'[1]V, inciso p) (OP)'!D138</f>
        <v>DOPI-FED-HAB-PAV-CI-214-2016</v>
      </c>
      <c r="E226" s="13">
        <f>'[1]V, inciso p) (OP)'!AD138</f>
        <v>42717</v>
      </c>
      <c r="F226" s="14" t="str">
        <f>'[1]V, inciso p) (OP)'!AL138</f>
        <v>Pavimentación de concreto hidráulico en la calle Casiano Torres Poniente, municipio de Zapopan, Jalisco.</v>
      </c>
      <c r="G226" s="14" t="s">
        <v>601</v>
      </c>
      <c r="H226" s="15">
        <f>'[1]V, inciso p) (OP)'!AG138</f>
        <v>6282745.2800000003</v>
      </c>
      <c r="I226" s="14" t="str">
        <f>'[1]V, inciso p) (OP)'!AS138</f>
        <v>Colonia Vista Hermosa</v>
      </c>
      <c r="J226" s="14" t="str">
        <f>'[1]V, inciso p) (OP)'!T138</f>
        <v>Miguel Ángel</v>
      </c>
      <c r="K226" s="12" t="str">
        <f>'[1]V, inciso p) (OP)'!U138</f>
        <v>Romero</v>
      </c>
      <c r="L226" s="12" t="str">
        <f>'[1]V, inciso p) (OP)'!V138</f>
        <v>Lugo</v>
      </c>
      <c r="M226" s="14" t="str">
        <f>'[1]V, inciso p) (OP)'!W138</f>
        <v>Obras y Comercialización de la Construcción, S.A. de C.V.</v>
      </c>
      <c r="N226" s="12" t="str">
        <f>'[1]V, inciso p) (OP)'!X138</f>
        <v>OCC940714PB0</v>
      </c>
      <c r="O226" s="15">
        <f>'[1]V, inciso p) (OP)'!AG138</f>
        <v>6282745.2800000003</v>
      </c>
      <c r="P226" s="15">
        <v>5968941.3099999996</v>
      </c>
      <c r="Q226" s="12" t="s">
        <v>602</v>
      </c>
      <c r="R226" s="15">
        <f>O226/3200</f>
        <v>1963.3579</v>
      </c>
      <c r="S226" s="12" t="s">
        <v>42</v>
      </c>
      <c r="T226" s="17">
        <v>1255</v>
      </c>
      <c r="U226" s="14" t="s">
        <v>43</v>
      </c>
      <c r="V226" s="12" t="s">
        <v>44</v>
      </c>
      <c r="W226" s="13">
        <f>'[1]V, inciso p) (OP)'!AM138</f>
        <v>42718</v>
      </c>
      <c r="X226" s="13">
        <f>'[1]V, inciso p) (OP)'!AN138</f>
        <v>42735</v>
      </c>
      <c r="Y226" s="12" t="s">
        <v>350</v>
      </c>
      <c r="Z226" s="12" t="s">
        <v>351</v>
      </c>
      <c r="AA226" s="12" t="s">
        <v>352</v>
      </c>
      <c r="AB226" s="18" t="s">
        <v>1905</v>
      </c>
      <c r="AC226" s="14" t="s">
        <v>48</v>
      </c>
      <c r="AD226" s="14"/>
    </row>
    <row r="227" spans="1:30" ht="80.099999999999994" customHeight="1">
      <c r="A227" s="6">
        <v>215</v>
      </c>
      <c r="B227" s="12">
        <v>2016</v>
      </c>
      <c r="C227" s="14" t="s">
        <v>65</v>
      </c>
      <c r="D227" s="14" t="str">
        <f>'[1]V, inciso o) (OP)'!C95</f>
        <v>DOPI-MUN-RM-PROY-AD-215-2016</v>
      </c>
      <c r="E227" s="13">
        <f>'[1]V, inciso o) (OP)'!V95</f>
        <v>42657</v>
      </c>
      <c r="F227" s="14" t="str">
        <f>'[1]V, inciso o) (OP)'!AA95</f>
        <v>Estudios básicos topográficos para diferentes obras 2016, segunda etapa, del municipio de Zapopan, Jalisco.</v>
      </c>
      <c r="G227" s="14" t="s">
        <v>111</v>
      </c>
      <c r="H227" s="15">
        <f>'[1]V, inciso o) (OP)'!Y95</f>
        <v>1350125.87</v>
      </c>
      <c r="I227" s="14" t="s">
        <v>1349</v>
      </c>
      <c r="J227" s="14" t="str">
        <f>'[1]V, inciso o) (OP)'!M95</f>
        <v>LUIS ERNESTO</v>
      </c>
      <c r="K227" s="12" t="str">
        <f>'[1]V, inciso o) (OP)'!N95</f>
        <v>GONZALEZ</v>
      </c>
      <c r="L227" s="12" t="str">
        <f>'[1]V, inciso o) (OP)'!O95</f>
        <v>LOZANO</v>
      </c>
      <c r="M227" s="14" t="str">
        <f>'[1]V, inciso o) (OP)'!P95</f>
        <v>TOSCANA INGENIERIA, S. A.  DE C.V.</v>
      </c>
      <c r="N227" s="12" t="str">
        <f>'[1]V, inciso o) (OP)'!Q95</f>
        <v>TIN04100824A</v>
      </c>
      <c r="O227" s="15">
        <f>'[1]V, inciso o) (OP)'!Y95</f>
        <v>1350125.87</v>
      </c>
      <c r="P227" s="15">
        <v>1350125.8629999999</v>
      </c>
      <c r="Q227" s="12" t="s">
        <v>603</v>
      </c>
      <c r="R227" s="15">
        <f>O227/796102</f>
        <v>1.6959207111651524</v>
      </c>
      <c r="S227" s="12" t="s">
        <v>125</v>
      </c>
      <c r="T227" s="17" t="s">
        <v>125</v>
      </c>
      <c r="U227" s="14" t="s">
        <v>124</v>
      </c>
      <c r="V227" s="12" t="s">
        <v>44</v>
      </c>
      <c r="W227" s="13">
        <f>'[1]V, inciso o) (OP)'!AD95</f>
        <v>42660</v>
      </c>
      <c r="X227" s="13">
        <f>'[1]V, inciso o) (OP)'!AE95</f>
        <v>42735</v>
      </c>
      <c r="Y227" s="12" t="s">
        <v>363</v>
      </c>
      <c r="Z227" s="12" t="s">
        <v>604</v>
      </c>
      <c r="AA227" s="12" t="s">
        <v>139</v>
      </c>
      <c r="AB227" s="8" t="s">
        <v>1733</v>
      </c>
      <c r="AC227" s="14" t="s">
        <v>48</v>
      </c>
      <c r="AD227" s="14"/>
    </row>
    <row r="228" spans="1:30" ht="80.099999999999994" customHeight="1">
      <c r="A228" s="6">
        <v>216</v>
      </c>
      <c r="B228" s="12">
        <v>2016</v>
      </c>
      <c r="C228" s="14" t="s">
        <v>65</v>
      </c>
      <c r="D228" s="14" t="str">
        <f>'[1]V, inciso o) (OP)'!C96</f>
        <v>DOPI-MUN-RM-PAV-AD-216-2016</v>
      </c>
      <c r="E228" s="13">
        <f>'[1]V, inciso o) (OP)'!V96</f>
        <v>42674</v>
      </c>
      <c r="F228" s="14" t="str">
        <f>'[1]V, inciso o) (OP)'!AA96</f>
        <v>Programa emergente de bacheo de vialidades en Zapopan Norte, tramo 3, municipio de Zapopan, Jalisco.</v>
      </c>
      <c r="G228" s="14" t="s">
        <v>111</v>
      </c>
      <c r="H228" s="15">
        <f>'[1]V, inciso o) (OP)'!Y96</f>
        <v>1492596.99</v>
      </c>
      <c r="I228" s="14" t="s">
        <v>1349</v>
      </c>
      <c r="J228" s="14" t="str">
        <f>'[1]V, inciso o) (OP)'!M96</f>
        <v>ESPERANZA</v>
      </c>
      <c r="K228" s="12" t="str">
        <f>'[1]V, inciso o) (OP)'!N96</f>
        <v>CORONA</v>
      </c>
      <c r="L228" s="12" t="str">
        <f>'[1]V, inciso o) (OP)'!O96</f>
        <v>JUAREZ</v>
      </c>
      <c r="M228" s="14" t="str">
        <f>'[1]V, inciso o) (OP)'!P96</f>
        <v>GREEN PATCHER MEXICO, S. DE R.L. DE C.V.</v>
      </c>
      <c r="N228" s="12" t="str">
        <f>'[1]V, inciso o) (OP)'!Q96</f>
        <v>ISA071206P64</v>
      </c>
      <c r="O228" s="15">
        <f>'[1]V, inciso o) (OP)'!Y96</f>
        <v>1492596.99</v>
      </c>
      <c r="P228" s="12" t="s">
        <v>48</v>
      </c>
      <c r="Q228" s="12" t="s">
        <v>605</v>
      </c>
      <c r="R228" s="15">
        <f>O228/8510</f>
        <v>175.39330082256168</v>
      </c>
      <c r="S228" s="12" t="s">
        <v>42</v>
      </c>
      <c r="T228" s="17">
        <v>215000</v>
      </c>
      <c r="U228" s="14" t="s">
        <v>43</v>
      </c>
      <c r="V228" s="12" t="s">
        <v>44</v>
      </c>
      <c r="W228" s="13">
        <f>'[1]V, inciso o) (OP)'!AD96</f>
        <v>42675</v>
      </c>
      <c r="X228" s="13">
        <f>'[1]V, inciso o) (OP)'!AE96</f>
        <v>42734</v>
      </c>
      <c r="Y228" s="12" t="s">
        <v>531</v>
      </c>
      <c r="Z228" s="12" t="s">
        <v>532</v>
      </c>
      <c r="AA228" s="12" t="s">
        <v>533</v>
      </c>
      <c r="AB228" s="8" t="s">
        <v>1906</v>
      </c>
      <c r="AC228" s="14" t="s">
        <v>48</v>
      </c>
      <c r="AD228" s="14"/>
    </row>
    <row r="229" spans="1:30" ht="80.099999999999994" customHeight="1">
      <c r="A229" s="5">
        <v>217</v>
      </c>
      <c r="B229" s="12">
        <v>2016</v>
      </c>
      <c r="C229" s="14" t="s">
        <v>65</v>
      </c>
      <c r="D229" s="14" t="str">
        <f>'[1]V, inciso o) (OP)'!C97</f>
        <v>DOPI-MUN-RM-IM-AD-217-2016</v>
      </c>
      <c r="E229" s="13">
        <f>'[1]V, inciso o) (OP)'!V97</f>
        <v>42657</v>
      </c>
      <c r="F229" s="14" t="str">
        <f>'[1]V, inciso o) (OP)'!AA97</f>
        <v>Construcción de modulo de sanitarios, en el Panteón de Santa  Ana Tepetitlan, municipio de Zapopan, Jalisco.</v>
      </c>
      <c r="G229" s="14" t="s">
        <v>111</v>
      </c>
      <c r="H229" s="15">
        <f>'[1]V, inciso o) (OP)'!Y97</f>
        <v>950216.14</v>
      </c>
      <c r="I229" s="14" t="s">
        <v>281</v>
      </c>
      <c r="J229" s="14" t="str">
        <f>'[1]V, inciso o) (OP)'!M97</f>
        <v xml:space="preserve">RAFAEL </v>
      </c>
      <c r="K229" s="12" t="str">
        <f>'[1]V, inciso o) (OP)'!N97</f>
        <v>OROZCO</v>
      </c>
      <c r="L229" s="12" t="str">
        <f>'[1]V, inciso o) (OP)'!O97</f>
        <v>MARTINEZ</v>
      </c>
      <c r="M229" s="14" t="str">
        <f>'[1]V, inciso o) (OP)'!P97</f>
        <v>CEELE CONSTRUCCIONES, S.A. DE C.V.</v>
      </c>
      <c r="N229" s="12" t="str">
        <f>'[1]V, inciso o) (OP)'!Q97</f>
        <v>CCO020123366</v>
      </c>
      <c r="O229" s="15">
        <f>'[1]V, inciso o) (OP)'!Y97</f>
        <v>950216.14</v>
      </c>
      <c r="P229" s="15">
        <v>866232.4800000001</v>
      </c>
      <c r="Q229" s="12" t="s">
        <v>606</v>
      </c>
      <c r="R229" s="15">
        <f>O229/115</f>
        <v>8262.7490434782612</v>
      </c>
      <c r="S229" s="12" t="s">
        <v>42</v>
      </c>
      <c r="T229" s="17">
        <v>24800</v>
      </c>
      <c r="U229" s="14" t="s">
        <v>43</v>
      </c>
      <c r="V229" s="12" t="s">
        <v>44</v>
      </c>
      <c r="W229" s="13">
        <f>'[1]V, inciso o) (OP)'!AD97</f>
        <v>42660</v>
      </c>
      <c r="X229" s="13">
        <f>'[1]V, inciso o) (OP)'!AE97</f>
        <v>42714</v>
      </c>
      <c r="Y229" s="12" t="s">
        <v>328</v>
      </c>
      <c r="Z229" s="12" t="s">
        <v>236</v>
      </c>
      <c r="AA229" s="12" t="s">
        <v>147</v>
      </c>
      <c r="AB229" s="8" t="s">
        <v>1907</v>
      </c>
      <c r="AC229" s="14" t="s">
        <v>48</v>
      </c>
      <c r="AD229" s="14"/>
    </row>
    <row r="230" spans="1:30" ht="80.099999999999994" customHeight="1">
      <c r="A230" s="6">
        <v>218</v>
      </c>
      <c r="B230" s="12">
        <v>2016</v>
      </c>
      <c r="C230" s="14" t="s">
        <v>65</v>
      </c>
      <c r="D230" s="14" t="str">
        <f>'[1]V, inciso o) (OP)'!C98</f>
        <v>DOPI-MUN-RM-PAV-AD-218-2016</v>
      </c>
      <c r="E230" s="13">
        <f>'[1]V, inciso o) (OP)'!V98</f>
        <v>42664</v>
      </c>
      <c r="F230" s="14" t="str">
        <f>'[1]V, inciso o) (OP)'!AA98</f>
        <v>Construcción de pavimento de concreto hidráulico en la calle La Grana  y calle Rastro, en la colonia San Isidro, municipio de Zapopan, Jalisco.</v>
      </c>
      <c r="G230" s="14" t="s">
        <v>111</v>
      </c>
      <c r="H230" s="15">
        <f>'[1]V, inciso o) (OP)'!Y98</f>
        <v>1494567.16</v>
      </c>
      <c r="I230" s="14" t="s">
        <v>596</v>
      </c>
      <c r="J230" s="14" t="str">
        <f>'[1]V, inciso o) (OP)'!M98</f>
        <v>SALVADOR</v>
      </c>
      <c r="K230" s="12" t="str">
        <f>'[1]V, inciso o) (OP)'!N98</f>
        <v>CASTRO</v>
      </c>
      <c r="L230" s="12" t="str">
        <f>'[1]V, inciso o) (OP)'!O98</f>
        <v>GUZMAN</v>
      </c>
      <c r="M230" s="14" t="str">
        <f>'[1]V, inciso o) (OP)'!P98</f>
        <v>GRUPO CONSTRUCTOR GLEOSS, S.A. DE C.V.</v>
      </c>
      <c r="N230" s="12" t="str">
        <f>'[1]V, inciso o) (OP)'!Q98</f>
        <v>GCG041213LZ9</v>
      </c>
      <c r="O230" s="15">
        <f>'[1]V, inciso o) (OP)'!Y98</f>
        <v>1494567.16</v>
      </c>
      <c r="P230" s="15">
        <v>1394409.24</v>
      </c>
      <c r="Q230" s="12" t="s">
        <v>607</v>
      </c>
      <c r="R230" s="15">
        <f>O230/1010</f>
        <v>1479.7694653465346</v>
      </c>
      <c r="S230" s="12" t="s">
        <v>42</v>
      </c>
      <c r="T230" s="17">
        <v>655</v>
      </c>
      <c r="U230" s="14" t="s">
        <v>43</v>
      </c>
      <c r="V230" s="12" t="s">
        <v>44</v>
      </c>
      <c r="W230" s="13">
        <f>'[1]V, inciso o) (OP)'!AD98</f>
        <v>42667</v>
      </c>
      <c r="X230" s="13">
        <f>'[1]V, inciso o) (OP)'!AE98</f>
        <v>42726</v>
      </c>
      <c r="Y230" s="12" t="s">
        <v>510</v>
      </c>
      <c r="Z230" s="12" t="s">
        <v>598</v>
      </c>
      <c r="AA230" s="12" t="s">
        <v>512</v>
      </c>
      <c r="AB230" s="14" t="s">
        <v>1647</v>
      </c>
      <c r="AC230" s="18"/>
      <c r="AD230" s="14"/>
    </row>
    <row r="231" spans="1:30" ht="80.099999999999994" customHeight="1">
      <c r="A231" s="5">
        <v>219</v>
      </c>
      <c r="B231" s="12">
        <v>2016</v>
      </c>
      <c r="C231" s="14" t="s">
        <v>65</v>
      </c>
      <c r="D231" s="14" t="str">
        <f>'[1]V, inciso o) (OP)'!C99</f>
        <v>DOPI-MUN-RM-DP-AD-219-2016</v>
      </c>
      <c r="E231" s="13">
        <f>'[1]V, inciso o) (OP)'!V99</f>
        <v>42653</v>
      </c>
      <c r="F231" s="14" t="str">
        <f>'[1]V, inciso o) (OP)'!AA99</f>
        <v>Solución Pluvial en Tesistán (colector pluvial de 36" y bocas de tormenta) en la calle Jalisco, Hidalgo, Puebla, en la localidad de Tesistán, municipio de Zapopan, Jalisco. Frente 2.</v>
      </c>
      <c r="G231" s="14" t="s">
        <v>111</v>
      </c>
      <c r="H231" s="15">
        <f>'[1]V, inciso o) (OP)'!Y99</f>
        <v>1421736.05</v>
      </c>
      <c r="I231" s="14" t="s">
        <v>563</v>
      </c>
      <c r="J231" s="14" t="str">
        <f>'[1]V, inciso o) (OP)'!M99</f>
        <v xml:space="preserve">RODOLFO </v>
      </c>
      <c r="K231" s="12" t="str">
        <f>'[1]V, inciso o) (OP)'!N99</f>
        <v xml:space="preserve">VELAZQUEZ </v>
      </c>
      <c r="L231" s="12" t="str">
        <f>'[1]V, inciso o) (OP)'!O99</f>
        <v>ORDOÑEZ</v>
      </c>
      <c r="M231" s="14" t="str">
        <f>'[1]V, inciso o) (OP)'!P99</f>
        <v>VELAZQUEZ INGENIERIA ECOLOGICA, S.A. DE C.V.</v>
      </c>
      <c r="N231" s="12" t="str">
        <f>'[1]V, inciso o) (OP)'!Q99</f>
        <v>VIE110125RL4</v>
      </c>
      <c r="O231" s="15">
        <f>'[1]V, inciso o) (OP)'!Y99</f>
        <v>1421736.05</v>
      </c>
      <c r="P231" s="15">
        <v>1415826.74</v>
      </c>
      <c r="Q231" s="12" t="s">
        <v>608</v>
      </c>
      <c r="R231" s="15">
        <f>O231/5752</f>
        <v>247.1724704450626</v>
      </c>
      <c r="S231" s="12" t="s">
        <v>42</v>
      </c>
      <c r="T231" s="17">
        <v>2460</v>
      </c>
      <c r="U231" s="14" t="s">
        <v>43</v>
      </c>
      <c r="V231" s="12" t="s">
        <v>44</v>
      </c>
      <c r="W231" s="13">
        <f>'[1]V, inciso o) (OP)'!AD99</f>
        <v>42654</v>
      </c>
      <c r="X231" s="13">
        <f>'[1]V, inciso o) (OP)'!AE99</f>
        <v>42704</v>
      </c>
      <c r="Y231" s="12" t="s">
        <v>336</v>
      </c>
      <c r="Z231" s="12" t="s">
        <v>337</v>
      </c>
      <c r="AA231" s="12" t="s">
        <v>120</v>
      </c>
      <c r="AB231" s="8" t="s">
        <v>1734</v>
      </c>
      <c r="AC231" s="14" t="s">
        <v>48</v>
      </c>
      <c r="AD231" s="14"/>
    </row>
    <row r="232" spans="1:30" ht="80.099999999999994" customHeight="1">
      <c r="A232" s="5">
        <v>220</v>
      </c>
      <c r="B232" s="12">
        <v>2016</v>
      </c>
      <c r="C232" s="14" t="s">
        <v>65</v>
      </c>
      <c r="D232" s="14" t="str">
        <f>'[1]V, inciso o) (OP)'!C100</f>
        <v>DOPI-MUN-RM-IM-AD-220-2016</v>
      </c>
      <c r="E232" s="13">
        <f>'[1]V, inciso o) (OP)'!V100</f>
        <v>42647</v>
      </c>
      <c r="F232" s="14" t="str">
        <f>'[1]V, inciso o) (OP)'!AA100</f>
        <v>Suministro y colocación de estructuras de protección de rayos ultravioleta, pozos de filtración, cancelería y albañilería en el CRI ubicado en Av. Laureles, colonia Unidad Fovissste; Pintura y aplanados en el aula del CDI No. 3, ubicado en Av, Laureles, colonia Unidad Fovissste; Suministro y colocación de lona, colocación de ladrillo de azotea e impermeabilización en el área de consultorios y albañilería en el CEMAM, ubicado en la calle cerrada Santa Laura, colonia Santa Margarita Primera Sección, muncipio de Zapopan, Jalisco</v>
      </c>
      <c r="G232" s="14" t="s">
        <v>111</v>
      </c>
      <c r="H232" s="15">
        <f>'[1]V, inciso o) (OP)'!Y100</f>
        <v>1495360.54</v>
      </c>
      <c r="I232" s="14" t="s">
        <v>609</v>
      </c>
      <c r="J232" s="14" t="str">
        <f>'[1]V, inciso o) (OP)'!M100</f>
        <v>JOSE ANTONIO</v>
      </c>
      <c r="K232" s="12" t="str">
        <f>'[1]V, inciso o) (OP)'!N100</f>
        <v>ALVAREZ</v>
      </c>
      <c r="L232" s="12" t="str">
        <f>'[1]V, inciso o) (OP)'!O100</f>
        <v>ZULOAGA</v>
      </c>
      <c r="M232" s="14" t="str">
        <f>'[1]V, inciso o) (OP)'!P100</f>
        <v>GRUPO DESARROLLADOR ALZU, S.A. DE C.V.</v>
      </c>
      <c r="N232" s="12" t="str">
        <f>'[1]V, inciso o) (OP)'!Q100</f>
        <v>GDA150928286</v>
      </c>
      <c r="O232" s="15">
        <f>'[1]V, inciso o) (OP)'!Y100</f>
        <v>1495360.54</v>
      </c>
      <c r="P232" s="15">
        <v>1386488.53</v>
      </c>
      <c r="Q232" s="12" t="s">
        <v>610</v>
      </c>
      <c r="R232" s="15">
        <f>O232/1035</f>
        <v>1444.7927922705314</v>
      </c>
      <c r="S232" s="12" t="s">
        <v>42</v>
      </c>
      <c r="T232" s="17">
        <v>1560</v>
      </c>
      <c r="U232" s="14" t="s">
        <v>43</v>
      </c>
      <c r="V232" s="12" t="s">
        <v>44</v>
      </c>
      <c r="W232" s="13">
        <f>'[1]V, inciso o) (OP)'!AD100</f>
        <v>42648</v>
      </c>
      <c r="X232" s="13">
        <f>'[1]V, inciso o) (OP)'!AE100</f>
        <v>42704</v>
      </c>
      <c r="Y232" s="12" t="s">
        <v>611</v>
      </c>
      <c r="Z232" s="12" t="s">
        <v>63</v>
      </c>
      <c r="AA232" s="12" t="s">
        <v>612</v>
      </c>
      <c r="AB232" s="14" t="s">
        <v>1648</v>
      </c>
      <c r="AC232" s="18"/>
      <c r="AD232" s="14"/>
    </row>
    <row r="233" spans="1:30" ht="80.099999999999994" customHeight="1">
      <c r="A233" s="6">
        <v>221</v>
      </c>
      <c r="B233" s="12">
        <v>2016</v>
      </c>
      <c r="C233" s="14" t="s">
        <v>65</v>
      </c>
      <c r="D233" s="14" t="str">
        <f>'[1]V, inciso o) (OP)'!C101</f>
        <v>DOPI-MUN-RM-PAV-AD-221-2016</v>
      </c>
      <c r="E233" s="13">
        <f>'[1]V, inciso o) (OP)'!V101</f>
        <v>42685</v>
      </c>
      <c r="F233" s="14" t="str">
        <f>'[1]V, inciso o) (OP)'!AA101</f>
        <v>Pavimentación con concreto asfáltico en el paso inferior de Periférico Norte Manuel Gomez Morín en su cruce con la Av. Santa Margarita, municipio de Zapopan, Jalisco.</v>
      </c>
      <c r="G233" s="14" t="s">
        <v>111</v>
      </c>
      <c r="H233" s="15">
        <f>'[1]V, inciso o) (OP)'!Y101</f>
        <v>1358863.01</v>
      </c>
      <c r="I233" s="14" t="s">
        <v>613</v>
      </c>
      <c r="J233" s="14" t="str">
        <f>'[1]V, inciso o) (OP)'!M101</f>
        <v>JESUS DAVID</v>
      </c>
      <c r="K233" s="12" t="str">
        <f>'[1]V, inciso o) (OP)'!N101</f>
        <v xml:space="preserve">GARZA </v>
      </c>
      <c r="L233" s="12" t="str">
        <f>'[1]V, inciso o) (OP)'!O101</f>
        <v>GARCIA</v>
      </c>
      <c r="M233" s="14" t="str">
        <f>'[1]V, inciso o) (OP)'!P101</f>
        <v>CONSTRUCCIONES  ELECTRIFICACIONES Y ARRENDAMIENTO DE MAQUINARIA S.A. DE C.V.</v>
      </c>
      <c r="N233" s="12" t="str">
        <f>'[1]V, inciso o) (OP)'!Q101</f>
        <v>CEA010615GT0</v>
      </c>
      <c r="O233" s="15">
        <f>'[1]V, inciso o) (OP)'!Y101</f>
        <v>1358863.01</v>
      </c>
      <c r="P233" s="15">
        <v>1284582.6000000001</v>
      </c>
      <c r="Q233" s="12" t="s">
        <v>614</v>
      </c>
      <c r="R233" s="15">
        <f>O233/3033</f>
        <v>448.02605011539731</v>
      </c>
      <c r="S233" s="12" t="s">
        <v>42</v>
      </c>
      <c r="T233" s="17">
        <v>368954</v>
      </c>
      <c r="U233" s="14" t="s">
        <v>43</v>
      </c>
      <c r="V233" s="12" t="s">
        <v>44</v>
      </c>
      <c r="W233" s="13">
        <f>'[1]V, inciso o) (OP)'!AD101</f>
        <v>42688</v>
      </c>
      <c r="X233" s="13">
        <f>'[1]V, inciso o) (OP)'!AE101</f>
        <v>42726</v>
      </c>
      <c r="Y233" s="12" t="s">
        <v>615</v>
      </c>
      <c r="Z233" s="12" t="s">
        <v>616</v>
      </c>
      <c r="AA233" s="12" t="s">
        <v>617</v>
      </c>
      <c r="AB233" s="8" t="s">
        <v>1735</v>
      </c>
      <c r="AC233" s="14" t="s">
        <v>48</v>
      </c>
      <c r="AD233" s="14"/>
    </row>
    <row r="234" spans="1:30" ht="80.099999999999994" customHeight="1">
      <c r="A234" s="6">
        <v>222</v>
      </c>
      <c r="B234" s="12">
        <v>2016</v>
      </c>
      <c r="C234" s="14" t="s">
        <v>65</v>
      </c>
      <c r="D234" s="14" t="str">
        <f>'[1]V, inciso o) (OP)'!C102</f>
        <v>DOPI-MUN-RM-PAV-AD-222-2016</v>
      </c>
      <c r="E234" s="13">
        <f>'[1]V, inciso o) (OP)'!V102</f>
        <v>42650</v>
      </c>
      <c r="F234" s="14" t="str">
        <f>'[1]V, inciso o) (OP)'!AA102</f>
        <v>Construccion y rehabilitación de guarniciones, banquetas, obra complementaria en camellones en diferentes zonas del municipio de Zapopan, Jalisco, frente 1.</v>
      </c>
      <c r="G234" s="14" t="s">
        <v>66</v>
      </c>
      <c r="H234" s="15">
        <f>'[1]V, inciso o) (OP)'!Y102</f>
        <v>1447543.87</v>
      </c>
      <c r="I234" s="14" t="s">
        <v>1349</v>
      </c>
      <c r="J234" s="14" t="str">
        <f>'[1]V, inciso o) (OP)'!M102</f>
        <v>ESTEBAN</v>
      </c>
      <c r="K234" s="12" t="str">
        <f>'[1]V, inciso o) (OP)'!N102</f>
        <v>PEREZ</v>
      </c>
      <c r="L234" s="12" t="str">
        <f>'[1]V, inciso o) (OP)'!O102</f>
        <v>MUÑOZ</v>
      </c>
      <c r="M234" s="14" t="str">
        <f>'[1]V, inciso o) (OP)'!P102</f>
        <v>GRUPO PG CONSTRUCTORES Y SUPERVISORES, S.A. DE C.V.</v>
      </c>
      <c r="N234" s="12" t="str">
        <f>'[1]V, inciso o) (OP)'!Q102</f>
        <v>GPC110927671</v>
      </c>
      <c r="O234" s="15">
        <f>'[1]V, inciso o) (OP)'!Y102</f>
        <v>1447543.87</v>
      </c>
      <c r="P234" s="15">
        <v>1447542.26</v>
      </c>
      <c r="Q234" s="12" t="s">
        <v>453</v>
      </c>
      <c r="R234" s="15">
        <f>O234/2130</f>
        <v>679.59806103286394</v>
      </c>
      <c r="S234" s="12" t="s">
        <v>42</v>
      </c>
      <c r="T234" s="17">
        <v>153800</v>
      </c>
      <c r="U234" s="14" t="s">
        <v>43</v>
      </c>
      <c r="V234" s="12" t="s">
        <v>44</v>
      </c>
      <c r="W234" s="13">
        <f>'[1]V, inciso o) (OP)'!AD102</f>
        <v>42651</v>
      </c>
      <c r="X234" s="13">
        <f>'[1]V, inciso o) (OP)'!AE102</f>
        <v>42714</v>
      </c>
      <c r="Y234" s="12" t="s">
        <v>350</v>
      </c>
      <c r="Z234" s="12" t="s">
        <v>351</v>
      </c>
      <c r="AA234" s="12" t="s">
        <v>352</v>
      </c>
      <c r="AB234" s="8" t="s">
        <v>1908</v>
      </c>
      <c r="AC234" s="14" t="s">
        <v>48</v>
      </c>
      <c r="AD234" s="14"/>
    </row>
    <row r="235" spans="1:30" ht="80.099999999999994" customHeight="1">
      <c r="A235" s="5">
        <v>223</v>
      </c>
      <c r="B235" s="12">
        <v>2016</v>
      </c>
      <c r="C235" s="14" t="s">
        <v>65</v>
      </c>
      <c r="D235" s="14" t="str">
        <f>'[1]V, inciso o) (OP)'!C103</f>
        <v>DOPI-MUN-RM-BAN-AD-223-2016</v>
      </c>
      <c r="E235" s="13">
        <f>'[1]V, inciso o) (OP)'!V103</f>
        <v>42674</v>
      </c>
      <c r="F235" s="14" t="str">
        <f>'[1]V, inciso o) (OP)'!AA103</f>
        <v>Construcción de banquetas y guarniciones en la calle La Grana y calle Rastro, en la colonia San Isidro, municipio de Zapopan, Jalisco.</v>
      </c>
      <c r="G235" s="14" t="s">
        <v>111</v>
      </c>
      <c r="H235" s="15">
        <f>'[1]V, inciso o) (OP)'!Y103</f>
        <v>650250.36</v>
      </c>
      <c r="I235" s="14" t="s">
        <v>596</v>
      </c>
      <c r="J235" s="14" t="str">
        <f>'[1]V, inciso o) (OP)'!M103</f>
        <v>ANGELICA</v>
      </c>
      <c r="K235" s="12" t="str">
        <f>'[1]V, inciso o) (OP)'!N103</f>
        <v>VALDERRAMA</v>
      </c>
      <c r="L235" s="12" t="str">
        <f>'[1]V, inciso o) (OP)'!O103</f>
        <v>CASTRO</v>
      </c>
      <c r="M235" s="14" t="str">
        <f>'[1]V, inciso o) (OP)'!P103</f>
        <v>GRUPO V Y CG, S.A. DE C.V.</v>
      </c>
      <c r="N235" s="12" t="str">
        <f>'[1]V, inciso o) (OP)'!Q103</f>
        <v>GVC1101316W5</v>
      </c>
      <c r="O235" s="15">
        <f>'[1]V, inciso o) (OP)'!Y103</f>
        <v>650250.36</v>
      </c>
      <c r="P235" s="12" t="s">
        <v>48</v>
      </c>
      <c r="Q235" s="12" t="s">
        <v>618</v>
      </c>
      <c r="R235" s="15">
        <f>O235/822</f>
        <v>791.05883211678827</v>
      </c>
      <c r="S235" s="12" t="s">
        <v>42</v>
      </c>
      <c r="T235" s="17">
        <v>564</v>
      </c>
      <c r="U235" s="14" t="s">
        <v>43</v>
      </c>
      <c r="V235" s="12" t="s">
        <v>44</v>
      </c>
      <c r="W235" s="13">
        <f>'[1]V, inciso o) (OP)'!AD103</f>
        <v>42675</v>
      </c>
      <c r="X235" s="13">
        <f>'[1]V, inciso o) (OP)'!AE103</f>
        <v>42719</v>
      </c>
      <c r="Y235" s="12" t="s">
        <v>510</v>
      </c>
      <c r="Z235" s="12" t="s">
        <v>169</v>
      </c>
      <c r="AA235" s="12" t="s">
        <v>619</v>
      </c>
      <c r="AB235" s="14" t="s">
        <v>1649</v>
      </c>
      <c r="AC235" s="18"/>
      <c r="AD235" s="14"/>
    </row>
    <row r="236" spans="1:30" ht="80.099999999999994" customHeight="1">
      <c r="A236" s="5">
        <v>225</v>
      </c>
      <c r="B236" s="12">
        <v>2016</v>
      </c>
      <c r="C236" s="14" t="s">
        <v>143</v>
      </c>
      <c r="D236" s="14" t="str">
        <f>'[1]V, inciso p) (OP)'!D139</f>
        <v>DOPI-MUN-RM-IM-CI-225-2016</v>
      </c>
      <c r="E236" s="13">
        <f>'[1]V, inciso p) (OP)'!AD139</f>
        <v>42727</v>
      </c>
      <c r="F236" s="14" t="str">
        <f>'[1]V, inciso p) (OP)'!AL139</f>
        <v>Rehabilitación de la Unidad Administrativa Las Águilas (cubierta, pintura, instalaciones eléctricas, instalaciones hidráulicas, nave central, impermeabilización, accesibilidad, baños, puertas de acceso principal) Frente 2</v>
      </c>
      <c r="G236" s="14" t="s">
        <v>111</v>
      </c>
      <c r="H236" s="15">
        <f>'[1]V, inciso p) (OP)'!AG139</f>
        <v>2484449.75</v>
      </c>
      <c r="I236" s="14" t="s">
        <v>114</v>
      </c>
      <c r="J236" s="14" t="str">
        <f>'[1]V, inciso p) (OP)'!T139</f>
        <v>Edgardo</v>
      </c>
      <c r="K236" s="12" t="str">
        <f>'[1]V, inciso p) (OP)'!U139</f>
        <v>Zúñiga</v>
      </c>
      <c r="L236" s="12" t="str">
        <f>'[1]V, inciso p) (OP)'!V139</f>
        <v>Beristaín</v>
      </c>
      <c r="M236" s="14" t="str">
        <f>'[1]V, inciso p) (OP)'!W139</f>
        <v>Proyección Integral Zure, S.A. de C.V.</v>
      </c>
      <c r="N236" s="12" t="str">
        <f>'[1]V, inciso p) (OP)'!X139</f>
        <v>PIZ070717DX6</v>
      </c>
      <c r="O236" s="15">
        <f>'[1]V, inciso p) (OP)'!AG139</f>
        <v>2484449.75</v>
      </c>
      <c r="P236" s="15">
        <v>2484449.75</v>
      </c>
      <c r="Q236" s="12" t="s">
        <v>620</v>
      </c>
      <c r="R236" s="15">
        <f>O236/2982.85</f>
        <v>832.9113934659805</v>
      </c>
      <c r="S236" s="12" t="s">
        <v>42</v>
      </c>
      <c r="T236" s="17">
        <v>985622</v>
      </c>
      <c r="U236" s="14" t="s">
        <v>43</v>
      </c>
      <c r="V236" s="12" t="s">
        <v>44</v>
      </c>
      <c r="W236" s="13">
        <f>'[1]V, inciso p) (OP)'!AM139</f>
        <v>42730</v>
      </c>
      <c r="X236" s="13">
        <f>'[1]V, inciso p) (OP)'!AN139</f>
        <v>42820</v>
      </c>
      <c r="Y236" s="12" t="s">
        <v>510</v>
      </c>
      <c r="Z236" s="12" t="s">
        <v>169</v>
      </c>
      <c r="AA236" s="12" t="s">
        <v>619</v>
      </c>
      <c r="AB236" s="14" t="s">
        <v>1650</v>
      </c>
      <c r="AC236" s="18"/>
      <c r="AD236" s="14"/>
    </row>
    <row r="237" spans="1:30" ht="80.099999999999994" customHeight="1">
      <c r="A237" s="5">
        <v>226</v>
      </c>
      <c r="B237" s="12">
        <v>2016</v>
      </c>
      <c r="C237" s="14" t="s">
        <v>143</v>
      </c>
      <c r="D237" s="14" t="str">
        <f>'[1]V, inciso p) (OP)'!D140</f>
        <v>DOPI-MUN-RM-MOV-CI-226-2016</v>
      </c>
      <c r="E237" s="13">
        <f>'[1]V, inciso p) (OP)'!AD140</f>
        <v>42727</v>
      </c>
      <c r="F237" s="14" t="str">
        <f>'[1]V, inciso p) (OP)'!AL140</f>
        <v>Rehabilitación de ciclovía Santa Margarita e iluminación, municipio de Zapopan, Jalisco.</v>
      </c>
      <c r="G237" s="14" t="s">
        <v>111</v>
      </c>
      <c r="H237" s="15">
        <f>'[1]V, inciso p) (OP)'!AG140</f>
        <v>3949999.31</v>
      </c>
      <c r="I237" s="14" t="s">
        <v>621</v>
      </c>
      <c r="J237" s="14" t="str">
        <f>'[1]V, inciso p) (OP)'!T140</f>
        <v>Bernardo</v>
      </c>
      <c r="K237" s="12" t="str">
        <f>'[1]V, inciso p) (OP)'!U140</f>
        <v>Saenz</v>
      </c>
      <c r="L237" s="12" t="str">
        <f>'[1]V, inciso p) (OP)'!V140</f>
        <v>Barba</v>
      </c>
      <c r="M237" s="14" t="str">
        <f>'[1]V, inciso p) (OP)'!W140</f>
        <v>Grupo Edificador Mayab, S.A. de C.V.</v>
      </c>
      <c r="N237" s="12" t="str">
        <f>'[1]V, inciso p) (OP)'!X140</f>
        <v>GEM070112PX8</v>
      </c>
      <c r="O237" s="15">
        <f>'[1]V, inciso p) (OP)'!AG140</f>
        <v>3949999.31</v>
      </c>
      <c r="P237" s="15">
        <v>3782206.73</v>
      </c>
      <c r="Q237" s="12" t="s">
        <v>622</v>
      </c>
      <c r="R237" s="15">
        <f>O237/6380</f>
        <v>619.12214890282132</v>
      </c>
      <c r="S237" s="12" t="s">
        <v>42</v>
      </c>
      <c r="T237" s="17">
        <v>25633</v>
      </c>
      <c r="U237" s="14" t="s">
        <v>43</v>
      </c>
      <c r="V237" s="12" t="s">
        <v>44</v>
      </c>
      <c r="W237" s="13">
        <f>'[1]V, inciso p) (OP)'!AM140</f>
        <v>42730</v>
      </c>
      <c r="X237" s="13">
        <f>'[1]V, inciso p) (OP)'!AN140</f>
        <v>42820</v>
      </c>
      <c r="Y237" s="12" t="s">
        <v>365</v>
      </c>
      <c r="Z237" s="12" t="s">
        <v>366</v>
      </c>
      <c r="AA237" s="12" t="s">
        <v>367</v>
      </c>
      <c r="AB237" s="18" t="s">
        <v>1736</v>
      </c>
      <c r="AC237" s="14" t="s">
        <v>48</v>
      </c>
      <c r="AD237" s="14"/>
    </row>
    <row r="238" spans="1:30" ht="80.099999999999994" customHeight="1">
      <c r="A238" s="6">
        <v>227</v>
      </c>
      <c r="B238" s="12">
        <v>2016</v>
      </c>
      <c r="C238" s="14" t="s">
        <v>65</v>
      </c>
      <c r="D238" s="14" t="str">
        <f>'[1]V, inciso o) (OP)'!C104</f>
        <v>DOPI-MUN-RM-PROY-AD-227-2016</v>
      </c>
      <c r="E238" s="13">
        <f>'[1]V, inciso o) (OP)'!V104</f>
        <v>42706</v>
      </c>
      <c r="F238" s="14" t="str">
        <f>'[1]V, inciso o) (OP)'!AA104</f>
        <v>Estudios y proyecto ejecutivo para estructuras de regulación hidráulica; Diagnóstico, diseño y proyectos hidráulicos 2016, tercera etapa, de diferentes redes de agua potable y alcantarillado, municipio de Zapopan, Jalisco.</v>
      </c>
      <c r="G238" s="14" t="s">
        <v>111</v>
      </c>
      <c r="H238" s="15">
        <f>'[1]V, inciso o) (OP)'!Y104</f>
        <v>1199639.3999999999</v>
      </c>
      <c r="I238" s="14" t="s">
        <v>376</v>
      </c>
      <c r="J238" s="14" t="str">
        <f>'[1]V, inciso o) (OP)'!M104</f>
        <v>VICTOR MARTIN</v>
      </c>
      <c r="K238" s="12" t="str">
        <f>'[1]V, inciso o) (OP)'!N104</f>
        <v>LOPEZ</v>
      </c>
      <c r="L238" s="12" t="str">
        <f>'[1]V, inciso o) (OP)'!O104</f>
        <v>SANTOS</v>
      </c>
      <c r="M238" s="14" t="str">
        <f>'[1]V, inciso o) (OP)'!P104</f>
        <v>CONSTRUCCIONES CITUS, S.A. DE C.V.</v>
      </c>
      <c r="N238" s="12" t="str">
        <f>'[1]V, inciso o) (OP)'!Q104</f>
        <v>CCI020411HS5</v>
      </c>
      <c r="O238" s="15">
        <f>'[1]V, inciso o) (OP)'!Y104</f>
        <v>1199639.3999999999</v>
      </c>
      <c r="P238" s="15">
        <v>1199639.1000000001</v>
      </c>
      <c r="Q238" s="12" t="s">
        <v>623</v>
      </c>
      <c r="R238" s="15">
        <f>O238</f>
        <v>1199639.3999999999</v>
      </c>
      <c r="S238" s="12" t="s">
        <v>125</v>
      </c>
      <c r="T238" s="17" t="s">
        <v>125</v>
      </c>
      <c r="U238" s="14" t="s">
        <v>43</v>
      </c>
      <c r="V238" s="12" t="s">
        <v>378</v>
      </c>
      <c r="W238" s="13">
        <f>'[1]V, inciso o) (OP)'!AD104</f>
        <v>42709</v>
      </c>
      <c r="X238" s="13">
        <f>'[1]V, inciso o) (OP)'!AE104</f>
        <v>42859</v>
      </c>
      <c r="Y238" s="12" t="s">
        <v>624</v>
      </c>
      <c r="Z238" s="12" t="s">
        <v>130</v>
      </c>
      <c r="AA238" s="12" t="s">
        <v>131</v>
      </c>
      <c r="AB238" s="14" t="s">
        <v>48</v>
      </c>
      <c r="AC238" s="14" t="s">
        <v>48</v>
      </c>
      <c r="AD238" s="14"/>
    </row>
    <row r="239" spans="1:30" ht="80.099999999999994" customHeight="1">
      <c r="A239" s="5">
        <v>228</v>
      </c>
      <c r="B239" s="12">
        <v>2016</v>
      </c>
      <c r="C239" s="14" t="str">
        <f>'[1]V, inciso p) (OP)'!B141</f>
        <v>Licitación por Invitación Restringida</v>
      </c>
      <c r="D239" s="14" t="str">
        <f>'[1]V, inciso p) (OP)'!D141</f>
        <v>DOPI-MUN-R33-AP-CI-228-2016</v>
      </c>
      <c r="E239" s="13">
        <f>'[1]V, inciso p) (OP)'!AD141</f>
        <v>42727</v>
      </c>
      <c r="F239" s="14" t="str">
        <f>'[1]V, inciso p) (OP)'!AL141</f>
        <v xml:space="preserve">Perforación y equipamiento de pozo en la localidad de Los Patios, en el municipio de Zapopan, Jalisco. </v>
      </c>
      <c r="G239" s="14" t="s">
        <v>516</v>
      </c>
      <c r="H239" s="15">
        <f>'[1]V, inciso p) (OP)'!AG141</f>
        <v>6196741.5800000001</v>
      </c>
      <c r="I239" s="14" t="str">
        <f>'[1]V, inciso p) (OP)'!AS141</f>
        <v>Localidad Los Patios</v>
      </c>
      <c r="J239" s="14" t="str">
        <f>'[1]V, inciso p) (OP)'!T141</f>
        <v>Karla Mariana</v>
      </c>
      <c r="K239" s="12" t="str">
        <f>'[1]V, inciso p) (OP)'!U141</f>
        <v>Méndez</v>
      </c>
      <c r="L239" s="12" t="str">
        <f>'[1]V, inciso p) (OP)'!V141</f>
        <v>Rodríguez</v>
      </c>
      <c r="M239" s="14" t="str">
        <f>'[1]V, inciso p) (OP)'!W141</f>
        <v>Grupo la Fuente, S.A. de C.V.</v>
      </c>
      <c r="N239" s="12" t="str">
        <f>'[1]V, inciso p) (OP)'!X141</f>
        <v>GFU021009BC1</v>
      </c>
      <c r="O239" s="15">
        <f>'[1]V, inciso p) (OP)'!AG141</f>
        <v>6196741.5800000001</v>
      </c>
      <c r="P239" s="15">
        <v>5433398.6300000008</v>
      </c>
      <c r="Q239" s="12" t="s">
        <v>52</v>
      </c>
      <c r="R239" s="15">
        <f>O239</f>
        <v>6196741.5800000001</v>
      </c>
      <c r="S239" s="12" t="s">
        <v>42</v>
      </c>
      <c r="T239" s="17">
        <v>39</v>
      </c>
      <c r="U239" s="14" t="s">
        <v>43</v>
      </c>
      <c r="V239" s="12" t="s">
        <v>44</v>
      </c>
      <c r="W239" s="13">
        <f>'[1]V, inciso p) (OP)'!AM141</f>
        <v>42730</v>
      </c>
      <c r="X239" s="13">
        <f>'[1]V, inciso p) (OP)'!AN141</f>
        <v>42850</v>
      </c>
      <c r="Y239" s="12" t="s">
        <v>492</v>
      </c>
      <c r="Z239" s="12" t="s">
        <v>493</v>
      </c>
      <c r="AA239" s="12" t="s">
        <v>97</v>
      </c>
      <c r="AB239" s="18" t="s">
        <v>1737</v>
      </c>
      <c r="AC239" s="14" t="s">
        <v>48</v>
      </c>
      <c r="AD239" s="14"/>
    </row>
    <row r="240" spans="1:30" ht="80.099999999999994" customHeight="1">
      <c r="A240" s="5">
        <v>229</v>
      </c>
      <c r="B240" s="12">
        <v>2016</v>
      </c>
      <c r="C240" s="14" t="str">
        <f>'[1]V, inciso p) (OP)'!B142</f>
        <v>Licitación por Invitación Restringida</v>
      </c>
      <c r="D240" s="14" t="str">
        <f>'[1]V, inciso p) (OP)'!D142</f>
        <v>DOPI-MUN-R33-AP-CI-229-2016</v>
      </c>
      <c r="E240" s="13">
        <f>'[1]V, inciso p) (OP)'!AD142</f>
        <v>42727</v>
      </c>
      <c r="F240" s="14" t="str">
        <f>'[1]V, inciso p) (OP)'!AL142</f>
        <v>Construcción de línea de conducción de agua potable de 3" de tubería galvanizada, en la localidad San José, en el municipio de Zapopan, Jalisco.</v>
      </c>
      <c r="G240" s="14" t="s">
        <v>516</v>
      </c>
      <c r="H240" s="15">
        <f>'[1]V, inciso p) (OP)'!AG142</f>
        <v>3453426.13</v>
      </c>
      <c r="I240" s="14" t="str">
        <f>'[1]V, inciso p) (OP)'!AS142</f>
        <v>Localidad San José</v>
      </c>
      <c r="J240" s="14" t="str">
        <f>'[1]V, inciso p) (OP)'!T142</f>
        <v>José Antonio</v>
      </c>
      <c r="K240" s="12" t="str">
        <f>'[1]V, inciso p) (OP)'!U142</f>
        <v>Álvarez</v>
      </c>
      <c r="L240" s="12" t="str">
        <f>'[1]V, inciso p) (OP)'!V142</f>
        <v>García</v>
      </c>
      <c r="M240" s="14" t="str">
        <f>'[1]V, inciso p) (OP)'!W142</f>
        <v>Urcoma 1970, S.A. de C.V.</v>
      </c>
      <c r="N240" s="12" t="str">
        <f>'[1]V, inciso p) (OP)'!X142</f>
        <v>UMN160125869</v>
      </c>
      <c r="O240" s="15">
        <f>'[1]V, inciso p) (OP)'!AG142</f>
        <v>3453426.13</v>
      </c>
      <c r="P240" s="15">
        <v>3452187.0500000007</v>
      </c>
      <c r="Q240" s="12" t="s">
        <v>625</v>
      </c>
      <c r="R240" s="15">
        <f>O240/3200</f>
        <v>1079.1956656249999</v>
      </c>
      <c r="S240" s="12" t="s">
        <v>42</v>
      </c>
      <c r="T240" s="17">
        <v>71</v>
      </c>
      <c r="U240" s="14" t="s">
        <v>43</v>
      </c>
      <c r="V240" s="12" t="s">
        <v>44</v>
      </c>
      <c r="W240" s="13">
        <f>'[1]V, inciso p) (OP)'!AM142</f>
        <v>42730</v>
      </c>
      <c r="X240" s="13">
        <f>'[1]V, inciso p) (OP)'!AN142</f>
        <v>42850</v>
      </c>
      <c r="Y240" s="12" t="s">
        <v>492</v>
      </c>
      <c r="Z240" s="12" t="s">
        <v>493</v>
      </c>
      <c r="AA240" s="12" t="s">
        <v>97</v>
      </c>
      <c r="AB240" s="18" t="s">
        <v>1738</v>
      </c>
      <c r="AC240" s="14" t="s">
        <v>48</v>
      </c>
      <c r="AD240" s="14"/>
    </row>
    <row r="241" spans="1:30" ht="80.099999999999994" customHeight="1">
      <c r="A241" s="5">
        <v>230</v>
      </c>
      <c r="B241" s="12">
        <v>2016</v>
      </c>
      <c r="C241" s="14" t="str">
        <f>'[1]V, inciso p) (OP)'!B143</f>
        <v>Licitación por Invitación Restringida</v>
      </c>
      <c r="D241" s="14" t="str">
        <f>'[1]V, inciso p) (OP)'!D143</f>
        <v>DOPI-MUN-R33-AP-CI-230-2016</v>
      </c>
      <c r="E241" s="13">
        <f>'[1]V, inciso p) (OP)'!AD143</f>
        <v>42727</v>
      </c>
      <c r="F241" s="14" t="str">
        <f>'[1]V, inciso p) (OP)'!AL143</f>
        <v>Construcción de línea de agua potable en la Carretera a San Esteban de Carretera a Saltillo a calle Norte, en la localidad de San Isidro, en el municipio de Zapopan, Jalisco.</v>
      </c>
      <c r="G241" s="14" t="s">
        <v>516</v>
      </c>
      <c r="H241" s="15">
        <f>'[1]V, inciso p) (OP)'!AG143</f>
        <v>1996402.43</v>
      </c>
      <c r="I241" s="14" t="str">
        <f>'[1]V, inciso p) (OP)'!AS143</f>
        <v>Localidad San Isidro</v>
      </c>
      <c r="J241" s="14" t="str">
        <f>'[1]V, inciso p) (OP)'!T143</f>
        <v>Ernesto</v>
      </c>
      <c r="K241" s="12" t="str">
        <f>'[1]V, inciso p) (OP)'!U143</f>
        <v>Zamora</v>
      </c>
      <c r="L241" s="12" t="str">
        <f>'[1]V, inciso p) (OP)'!V143</f>
        <v>Corona</v>
      </c>
      <c r="M241" s="14" t="str">
        <f>'[1]V, inciso p) (OP)'!W143</f>
        <v>Keops Ingenieria y Construccion, S.A. de C.V.</v>
      </c>
      <c r="N241" s="12" t="str">
        <f>'[1]V, inciso p) (OP)'!X143</f>
        <v>KIC040617JIA</v>
      </c>
      <c r="O241" s="15">
        <f>'[1]V, inciso p) (OP)'!AG143</f>
        <v>1996402.43</v>
      </c>
      <c r="P241" s="15">
        <v>1915991.2200000002</v>
      </c>
      <c r="Q241" s="12" t="s">
        <v>626</v>
      </c>
      <c r="R241" s="15">
        <f>O241/733</f>
        <v>2723.604952251023</v>
      </c>
      <c r="S241" s="12" t="s">
        <v>42</v>
      </c>
      <c r="T241" s="17">
        <v>1446</v>
      </c>
      <c r="U241" s="14" t="s">
        <v>43</v>
      </c>
      <c r="V241" s="12" t="s">
        <v>44</v>
      </c>
      <c r="W241" s="13">
        <f>'[1]V, inciso p) (OP)'!AM143</f>
        <v>42730</v>
      </c>
      <c r="X241" s="13">
        <f>'[1]V, inciso p) (OP)'!AN143</f>
        <v>42820</v>
      </c>
      <c r="Y241" s="12" t="s">
        <v>468</v>
      </c>
      <c r="Z241" s="12" t="s">
        <v>307</v>
      </c>
      <c r="AA241" s="12" t="s">
        <v>308</v>
      </c>
      <c r="AB241" s="18" t="s">
        <v>1739</v>
      </c>
      <c r="AC241" s="14" t="s">
        <v>48</v>
      </c>
      <c r="AD241" s="14"/>
    </row>
    <row r="242" spans="1:30" ht="80.099999999999994" customHeight="1">
      <c r="A242" s="5">
        <v>231</v>
      </c>
      <c r="B242" s="12">
        <v>2016</v>
      </c>
      <c r="C242" s="14" t="str">
        <f>'[1]V, inciso p) (OP)'!B144</f>
        <v>Licitación por Invitación Restringida</v>
      </c>
      <c r="D242" s="14" t="str">
        <f>'[1]V, inciso p) (OP)'!D144</f>
        <v>DOPI-MUN-R33-AP-CI-231-2016</v>
      </c>
      <c r="E242" s="13">
        <f>'[1]V, inciso p) (OP)'!AD144</f>
        <v>42727</v>
      </c>
      <c r="F242" s="14" t="str">
        <f>'[1]V, inciso p) (OP)'!AL144</f>
        <v>Construcción de la primera etapa de línea de agua potable en la colonia Colinas del Rio, en el municipio de Zapopan, Jalisco.</v>
      </c>
      <c r="G242" s="14" t="s">
        <v>516</v>
      </c>
      <c r="H242" s="15">
        <f>'[1]V, inciso p) (OP)'!AG144</f>
        <v>3589467.88</v>
      </c>
      <c r="I242" s="14" t="str">
        <f>'[1]V, inciso p) (OP)'!AS144</f>
        <v>Colonia Colinas del Rio</v>
      </c>
      <c r="J242" s="14" t="str">
        <f>'[1]V, inciso p) (OP)'!T144</f>
        <v>Adalberto</v>
      </c>
      <c r="K242" s="12" t="str">
        <f>'[1]V, inciso p) (OP)'!U144</f>
        <v>Medina</v>
      </c>
      <c r="L242" s="12" t="str">
        <f>'[1]V, inciso p) (OP)'!V144</f>
        <v>Morales</v>
      </c>
      <c r="M242" s="14" t="str">
        <f>'[1]V, inciso p) (OP)'!W144</f>
        <v>Urdem, S.A. de C.V.</v>
      </c>
      <c r="N242" s="12" t="str">
        <f>'[1]V, inciso p) (OP)'!X144</f>
        <v>URD130830U21</v>
      </c>
      <c r="O242" s="15">
        <f>'[1]V, inciso p) (OP)'!AG144</f>
        <v>3589467.88</v>
      </c>
      <c r="P242" s="15">
        <v>3589467.88</v>
      </c>
      <c r="Q242" s="12" t="s">
        <v>627</v>
      </c>
      <c r="R242" s="15">
        <f>O242/2918</f>
        <v>1230.1123646333103</v>
      </c>
      <c r="S242" s="12" t="s">
        <v>42</v>
      </c>
      <c r="T242" s="17">
        <v>125</v>
      </c>
      <c r="U242" s="14" t="s">
        <v>43</v>
      </c>
      <c r="V242" s="12" t="s">
        <v>44</v>
      </c>
      <c r="W242" s="13">
        <f>'[1]V, inciso p) (OP)'!AM144</f>
        <v>42730</v>
      </c>
      <c r="X242" s="13">
        <f>'[1]V, inciso p) (OP)'!AN144</f>
        <v>42850</v>
      </c>
      <c r="Y242" s="12" t="s">
        <v>468</v>
      </c>
      <c r="Z242" s="12" t="s">
        <v>307</v>
      </c>
      <c r="AA242" s="12" t="s">
        <v>308</v>
      </c>
      <c r="AB242" s="18" t="s">
        <v>1740</v>
      </c>
      <c r="AC242" s="14" t="s">
        <v>48</v>
      </c>
      <c r="AD242" s="14"/>
    </row>
    <row r="243" spans="1:30" ht="80.099999999999994" customHeight="1">
      <c r="A243" s="5">
        <v>232</v>
      </c>
      <c r="B243" s="12">
        <v>2016</v>
      </c>
      <c r="C243" s="14" t="str">
        <f>'[1]V, inciso p) (OP)'!B145</f>
        <v>Licitación por Invitación Restringida</v>
      </c>
      <c r="D243" s="14" t="str">
        <f>'[1]V, inciso p) (OP)'!D145</f>
        <v>DOPI-MUN-R33-PAV-CI-232-2016</v>
      </c>
      <c r="E243" s="13">
        <f>'[1]V, inciso p) (OP)'!AD145</f>
        <v>42727</v>
      </c>
      <c r="F243" s="14" t="str">
        <f>'[1]V, inciso p) (OP)'!AL145</f>
        <v>Pavimentación con concreto hidráulico, línea de agua potable, drenaje sanitario y alumbrado público, en la calle Abel Salgado, de Carretera a Saltillo a calle Ojo de Agua, en la colonia Agua Fría, municipio de Zapopan Jalisco, frente 1.</v>
      </c>
      <c r="G243" s="14" t="s">
        <v>516</v>
      </c>
      <c r="H243" s="15">
        <f>'[1]V, inciso p) (OP)'!AG145</f>
        <v>3867999.72</v>
      </c>
      <c r="I243" s="14" t="str">
        <f>'[1]V, inciso p) (OP)'!AS145</f>
        <v>Colonia Agua Fria</v>
      </c>
      <c r="J243" s="14" t="str">
        <f>'[1]V, inciso p) (OP)'!T145</f>
        <v>Edwin</v>
      </c>
      <c r="K243" s="12" t="str">
        <f>'[1]V, inciso p) (OP)'!U145</f>
        <v>Aguiar</v>
      </c>
      <c r="L243" s="12" t="str">
        <f>'[1]V, inciso p) (OP)'!V145</f>
        <v>Escatel</v>
      </c>
      <c r="M243" s="14" t="str">
        <f>'[1]V, inciso p) (OP)'!W145</f>
        <v>Manjarrez Urbanizaciones, S.A. de C.V.</v>
      </c>
      <c r="N243" s="12" t="str">
        <f>'[1]V, inciso p) (OP)'!X145</f>
        <v>MUR090325P33</v>
      </c>
      <c r="O243" s="15">
        <f>'[1]V, inciso p) (OP)'!AG145</f>
        <v>3867999.72</v>
      </c>
      <c r="P243" s="15">
        <v>3867999.1899999995</v>
      </c>
      <c r="Q243" s="12" t="s">
        <v>628</v>
      </c>
      <c r="R243" s="15">
        <f>O243/1921.33</f>
        <v>2013.1886349559943</v>
      </c>
      <c r="S243" s="12" t="s">
        <v>42</v>
      </c>
      <c r="T243" s="17">
        <v>104</v>
      </c>
      <c r="U243" s="14" t="s">
        <v>43</v>
      </c>
      <c r="V243" s="12" t="s">
        <v>44</v>
      </c>
      <c r="W243" s="13">
        <f>'[1]V, inciso p) (OP)'!AM145</f>
        <v>42730</v>
      </c>
      <c r="X243" s="13">
        <f>'[1]V, inciso p) (OP)'!AN145</f>
        <v>42880</v>
      </c>
      <c r="Y243" s="12" t="s">
        <v>468</v>
      </c>
      <c r="Z243" s="12" t="s">
        <v>307</v>
      </c>
      <c r="AA243" s="12" t="s">
        <v>308</v>
      </c>
      <c r="AB243" s="18" t="s">
        <v>1741</v>
      </c>
      <c r="AC243" s="14" t="s">
        <v>48</v>
      </c>
      <c r="AD243" s="14"/>
    </row>
    <row r="244" spans="1:30" ht="80.099999999999994" customHeight="1">
      <c r="A244" s="5">
        <v>233</v>
      </c>
      <c r="B244" s="12">
        <v>2016</v>
      </c>
      <c r="C244" s="14" t="str">
        <f>'[1]V, inciso p) (OP)'!B146</f>
        <v>Licitación por Invitación Restringida</v>
      </c>
      <c r="D244" s="14" t="str">
        <f>'[1]V, inciso p) (OP)'!D146</f>
        <v>DOPI-MUN-R33-PAV-CI-233-2016</v>
      </c>
      <c r="E244" s="13">
        <f>'[1]V, inciso p) (OP)'!AD146</f>
        <v>42727</v>
      </c>
      <c r="F244" s="14" t="str">
        <f>'[1]V, inciso p) (OP)'!AL146</f>
        <v>Pavimentación con concreto hidráulico, línea de agua potable, drenaje sanitario y alumbrado público,  en la calle Abel Salgado, de Carretera a Saltillo a calle Ojo de Agua, en la colonia Agua Fría, municipio de Zapopan Jalisco, frente 2.</v>
      </c>
      <c r="G244" s="14" t="s">
        <v>516</v>
      </c>
      <c r="H244" s="15">
        <f>'[1]V, inciso p) (OP)'!AG146</f>
        <v>3638106.52</v>
      </c>
      <c r="I244" s="14" t="str">
        <f>'[1]V, inciso p) (OP)'!AS146</f>
        <v>Colonia Agua Fria</v>
      </c>
      <c r="J244" s="14" t="str">
        <f>'[1]V, inciso p) (OP)'!T146</f>
        <v>Clarissa Gabriela</v>
      </c>
      <c r="K244" s="12" t="str">
        <f>'[1]V, inciso p) (OP)'!U146</f>
        <v>Valdez</v>
      </c>
      <c r="L244" s="12" t="str">
        <f>'[1]V, inciso p) (OP)'!V146</f>
        <v>Manjarrez</v>
      </c>
      <c r="M244" s="14" t="str">
        <f>'[1]V, inciso p) (OP)'!W146</f>
        <v>Tekton Grupo Empresarial, S.A. de C.V.</v>
      </c>
      <c r="N244" s="12" t="str">
        <f>'[1]V, inciso p) (OP)'!X146</f>
        <v>TGE101215JI6</v>
      </c>
      <c r="O244" s="15">
        <f>'[1]V, inciso p) (OP)'!AG146</f>
        <v>3638106.52</v>
      </c>
      <c r="P244" s="15">
        <v>3456232.42</v>
      </c>
      <c r="Q244" s="12" t="s">
        <v>629</v>
      </c>
      <c r="R244" s="15">
        <f>O244/1754.05</f>
        <v>2074.1179099797614</v>
      </c>
      <c r="S244" s="12" t="s">
        <v>42</v>
      </c>
      <c r="T244" s="17">
        <v>104</v>
      </c>
      <c r="U244" s="14" t="s">
        <v>43</v>
      </c>
      <c r="V244" s="12" t="s">
        <v>44</v>
      </c>
      <c r="W244" s="13">
        <f>'[1]V, inciso p) (OP)'!AM146</f>
        <v>42730</v>
      </c>
      <c r="X244" s="13">
        <f>'[1]V, inciso p) (OP)'!AN146</f>
        <v>42880</v>
      </c>
      <c r="Y244" s="12" t="s">
        <v>468</v>
      </c>
      <c r="Z244" s="12" t="s">
        <v>307</v>
      </c>
      <c r="AA244" s="12" t="s">
        <v>308</v>
      </c>
      <c r="AB244" s="18" t="s">
        <v>1909</v>
      </c>
      <c r="AC244" s="14" t="s">
        <v>48</v>
      </c>
      <c r="AD244" s="14"/>
    </row>
    <row r="245" spans="1:30" ht="80.099999999999994" customHeight="1">
      <c r="A245" s="5">
        <v>234</v>
      </c>
      <c r="B245" s="12">
        <v>2016</v>
      </c>
      <c r="C245" s="14" t="s">
        <v>65</v>
      </c>
      <c r="D245" s="14" t="str">
        <f>'[1]V, inciso o) (OP)'!C105</f>
        <v>DOPI-MUN-RM-MOV-AD-234-2016</v>
      </c>
      <c r="E245" s="13">
        <f>'[1]V, inciso o) (OP)'!V105</f>
        <v>42674</v>
      </c>
      <c r="F245" s="14" t="str">
        <f>'[1]V, inciso o) (OP)'!AA105</f>
        <v>Señalización vertical y horizontal en diferentes obras del municipio de Zapopan, Jalisco, frente 2.</v>
      </c>
      <c r="G245" s="14" t="s">
        <v>111</v>
      </c>
      <c r="H245" s="15">
        <f>'[1]V, inciso o) (OP)'!Y105</f>
        <v>1342102.7</v>
      </c>
      <c r="I245" s="14" t="s">
        <v>1349</v>
      </c>
      <c r="J245" s="14" t="str">
        <f>'[1]V, inciso o) (OP)'!M105</f>
        <v xml:space="preserve">HUGO RAFAEL </v>
      </c>
      <c r="K245" s="12" t="str">
        <f>'[1]V, inciso o) (OP)'!N105</f>
        <v>CABRERA</v>
      </c>
      <c r="L245" s="12" t="str">
        <f>'[1]V, inciso o) (OP)'!O105</f>
        <v>ORTINEZ</v>
      </c>
      <c r="M245" s="14" t="str">
        <f>'[1]V, inciso o) (OP)'!P105</f>
        <v>HUGO RAFAEL CABRERA ORTINEZ</v>
      </c>
      <c r="N245" s="12" t="str">
        <f>'[1]V, inciso o) (OP)'!Q105</f>
        <v>CAOH671024T38</v>
      </c>
      <c r="O245" s="15">
        <f>'[1]V, inciso o) (OP)'!Y105</f>
        <v>1342102.7</v>
      </c>
      <c r="P245" s="15">
        <v>1342101.02</v>
      </c>
      <c r="Q245" s="12" t="s">
        <v>630</v>
      </c>
      <c r="R245" s="15">
        <f>O245</f>
        <v>1342102.7</v>
      </c>
      <c r="S245" s="12" t="s">
        <v>42</v>
      </c>
      <c r="T245" s="17">
        <v>265840</v>
      </c>
      <c r="U245" s="14" t="s">
        <v>43</v>
      </c>
      <c r="V245" s="12" t="s">
        <v>44</v>
      </c>
      <c r="W245" s="13">
        <f>'[1]V, inciso o) (OP)'!AD105</f>
        <v>42675</v>
      </c>
      <c r="X245" s="13">
        <f>'[1]V, inciso o) (OP)'!AE105</f>
        <v>42735</v>
      </c>
      <c r="Y245" s="12" t="s">
        <v>385</v>
      </c>
      <c r="Z245" s="12" t="s">
        <v>46</v>
      </c>
      <c r="AA245" s="12" t="s">
        <v>47</v>
      </c>
      <c r="AB245" s="8" t="s">
        <v>1910</v>
      </c>
      <c r="AC245" s="14" t="s">
        <v>48</v>
      </c>
      <c r="AD245" s="14"/>
    </row>
    <row r="246" spans="1:30" ht="80.099999999999994" customHeight="1">
      <c r="A246" s="5">
        <v>235</v>
      </c>
      <c r="B246" s="12">
        <v>2016</v>
      </c>
      <c r="C246" s="14" t="s">
        <v>65</v>
      </c>
      <c r="D246" s="14" t="str">
        <f>'[1]V, inciso o) (OP)'!C106</f>
        <v>DOPI-MUN-RM-IM-AD-235-2016</v>
      </c>
      <c r="E246" s="13">
        <f>'[1]V, inciso o) (OP)'!V106</f>
        <v>42664</v>
      </c>
      <c r="F246" s="14" t="str">
        <f>'[1]V, inciso o) (OP)'!AA106</f>
        <v>Construcción de caseta de vigilancia en el parque Metropolitano, municipio de Zapopan, Jalisco</v>
      </c>
      <c r="G246" s="14" t="s">
        <v>111</v>
      </c>
      <c r="H246" s="15">
        <f>'[1]V, inciso o) (OP)'!Y106</f>
        <v>915870.14</v>
      </c>
      <c r="I246" s="14" t="s">
        <v>631</v>
      </c>
      <c r="J246" s="14" t="str">
        <f>'[1]V, inciso o) (OP)'!M106</f>
        <v>HIRAM</v>
      </c>
      <c r="K246" s="12" t="str">
        <f>'[1]V, inciso o) (OP)'!N106</f>
        <v>SANCHEZ</v>
      </c>
      <c r="L246" s="12" t="str">
        <f>'[1]V, inciso o) (OP)'!O106</f>
        <v>LUGO</v>
      </c>
      <c r="M246" s="14" t="str">
        <f>'[1]V, inciso o) (OP)'!P106</f>
        <v>CONSTRUSANLU URBANIZADORA, S.A. DE C.V.</v>
      </c>
      <c r="N246" s="12" t="str">
        <f>'[1]V, inciso o) (OP)'!Q106</f>
        <v>CUR130430U59</v>
      </c>
      <c r="O246" s="15">
        <f>'[1]V, inciso o) (OP)'!Y106</f>
        <v>915870.14</v>
      </c>
      <c r="P246" s="15">
        <v>915772.69</v>
      </c>
      <c r="Q246" s="12" t="s">
        <v>632</v>
      </c>
      <c r="R246" s="15">
        <f>O246/96</f>
        <v>9540.3139583333341</v>
      </c>
      <c r="S246" s="12" t="s">
        <v>42</v>
      </c>
      <c r="T246" s="17">
        <v>25830</v>
      </c>
      <c r="U246" s="14" t="s">
        <v>43</v>
      </c>
      <c r="V246" s="12" t="s">
        <v>44</v>
      </c>
      <c r="W246" s="13">
        <f>'[1]V, inciso o) (OP)'!AD106</f>
        <v>42667</v>
      </c>
      <c r="X246" s="13">
        <f>'[1]V, inciso o) (OP)'!AE106</f>
        <v>42704</v>
      </c>
      <c r="Y246" s="12" t="s">
        <v>470</v>
      </c>
      <c r="Z246" s="12" t="s">
        <v>315</v>
      </c>
      <c r="AA246" s="12" t="s">
        <v>134</v>
      </c>
      <c r="AB246" s="8" t="s">
        <v>1911</v>
      </c>
      <c r="AC246" s="14" t="s">
        <v>48</v>
      </c>
      <c r="AD246" s="14"/>
    </row>
    <row r="247" spans="1:30" ht="80.099999999999994" customHeight="1">
      <c r="A247" s="6">
        <v>236</v>
      </c>
      <c r="B247" s="12">
        <v>2016</v>
      </c>
      <c r="C247" s="14" t="s">
        <v>65</v>
      </c>
      <c r="D247" s="14" t="str">
        <f>'[1]V, inciso o) (OP)'!C107</f>
        <v>DOPI-MUN-RM-PROY-AD-236-2016</v>
      </c>
      <c r="E247" s="13">
        <f>'[1]V, inciso o) (OP)'!V107</f>
        <v>42664</v>
      </c>
      <c r="F247" s="14" t="str">
        <f>'[1]V, inciso o) (OP)'!AA107</f>
        <v>Estudios de impacto ambiental, diagnostico de impacto vial y estudio de impacto urbano, frente 1, municipio de Zapopan, Jalisco</v>
      </c>
      <c r="G247" s="14" t="s">
        <v>111</v>
      </c>
      <c r="H247" s="15">
        <f>'[1]V, inciso o) (OP)'!Y107</f>
        <v>556069.19999999995</v>
      </c>
      <c r="I247" s="14" t="s">
        <v>1349</v>
      </c>
      <c r="J247" s="14" t="str">
        <f>'[1]V, inciso o) (OP)'!M107</f>
        <v>JUAN RAMON</v>
      </c>
      <c r="K247" s="12" t="str">
        <f>'[1]V, inciso o) (OP)'!N107</f>
        <v>RAMIREZ</v>
      </c>
      <c r="L247" s="12" t="str">
        <f>'[1]V, inciso o) (OP)'!O107</f>
        <v>ALATORRE</v>
      </c>
      <c r="M247" s="14" t="str">
        <f>'[1]V, inciso o) (OP)'!P107</f>
        <v>QUERCUS GEOSOLUCIONES, S.A. DE C.V.</v>
      </c>
      <c r="N247" s="12" t="str">
        <f>'[1]V, inciso o) (OP)'!Q107</f>
        <v>QGE080213988</v>
      </c>
      <c r="O247" s="15">
        <f>'[1]V, inciso o) (OP)'!Y107</f>
        <v>556069.19999999995</v>
      </c>
      <c r="P247" s="15">
        <v>556069.18999999994</v>
      </c>
      <c r="Q247" s="12" t="s">
        <v>623</v>
      </c>
      <c r="R247" s="15">
        <f>O247</f>
        <v>556069.19999999995</v>
      </c>
      <c r="S247" s="12" t="s">
        <v>125</v>
      </c>
      <c r="T247" s="17" t="s">
        <v>125</v>
      </c>
      <c r="U247" s="14" t="s">
        <v>124</v>
      </c>
      <c r="V247" s="12" t="s">
        <v>44</v>
      </c>
      <c r="W247" s="13">
        <f>'[1]V, inciso o) (OP)'!AD107</f>
        <v>42667</v>
      </c>
      <c r="X247" s="13">
        <f>'[1]V, inciso o) (OP)'!AE107</f>
        <v>42735</v>
      </c>
      <c r="Y247" s="12" t="s">
        <v>633</v>
      </c>
      <c r="Z247" s="12" t="s">
        <v>616</v>
      </c>
      <c r="AA247" s="12" t="s">
        <v>128</v>
      </c>
      <c r="AB247" s="8" t="s">
        <v>1742</v>
      </c>
      <c r="AC247" s="14" t="s">
        <v>48</v>
      </c>
      <c r="AD247" s="14"/>
    </row>
    <row r="248" spans="1:30" ht="80.099999999999994" customHeight="1">
      <c r="A248" s="6">
        <v>237</v>
      </c>
      <c r="B248" s="12">
        <v>2016</v>
      </c>
      <c r="C248" s="14" t="s">
        <v>65</v>
      </c>
      <c r="D248" s="14" t="str">
        <f>'[1]V, inciso o) (OP)'!C108</f>
        <v>DOPI-MUN-RM-PAV-AD-237-2016</v>
      </c>
      <c r="E248" s="13">
        <f>'[1]V, inciso o) (OP)'!V108</f>
        <v>42664</v>
      </c>
      <c r="F248" s="14" t="str">
        <f>'[1]V, inciso o) (OP)'!AA108</f>
        <v>Construcción de pavimento de concreto hidráulico, banquetas, adecuaciones de la red sanitaria e hidráulica en la Av. D, colonia El Tigre II, municipio de Zapopan, Jalisco, tramo 1.</v>
      </c>
      <c r="G248" s="14" t="s">
        <v>111</v>
      </c>
      <c r="H248" s="15">
        <f>'[1]V, inciso o) (OP)'!Y108</f>
        <v>1480216.87</v>
      </c>
      <c r="I248" s="14" t="s">
        <v>634</v>
      </c>
      <c r="J248" s="14" t="str">
        <f>'[1]V, inciso o) (OP)'!M108</f>
        <v>JOSE SERGIO</v>
      </c>
      <c r="K248" s="12" t="str">
        <f>'[1]V, inciso o) (OP)'!N108</f>
        <v>CARMONA</v>
      </c>
      <c r="L248" s="12" t="str">
        <f>'[1]V, inciso o) (OP)'!O108</f>
        <v>RUVALCABA</v>
      </c>
      <c r="M248" s="14" t="str">
        <f>'[1]V, inciso o) (OP)'!P108</f>
        <v>QUANTUM CONSTRUCTORES Y PROYECTOS, S.A. DE C.V.</v>
      </c>
      <c r="N248" s="12" t="str">
        <f>'[1]V, inciso o) (OP)'!Q108</f>
        <v>QCP1307172S6</v>
      </c>
      <c r="O248" s="15">
        <f>'[1]V, inciso o) (OP)'!Y108</f>
        <v>1480216.87</v>
      </c>
      <c r="P248" s="15">
        <v>1476419.88</v>
      </c>
      <c r="Q248" s="12" t="s">
        <v>635</v>
      </c>
      <c r="R248" s="15">
        <f>O248/796</f>
        <v>1859.5689321608043</v>
      </c>
      <c r="S248" s="12" t="s">
        <v>42</v>
      </c>
      <c r="T248" s="17">
        <v>365</v>
      </c>
      <c r="U248" s="14" t="s">
        <v>43</v>
      </c>
      <c r="V248" s="12" t="s">
        <v>44</v>
      </c>
      <c r="W248" s="13">
        <f>'[1]V, inciso o) (OP)'!AD108</f>
        <v>42667</v>
      </c>
      <c r="X248" s="13">
        <f>'[1]V, inciso o) (OP)'!AE108</f>
        <v>42719</v>
      </c>
      <c r="Y248" s="12" t="s">
        <v>385</v>
      </c>
      <c r="Z248" s="12" t="s">
        <v>46</v>
      </c>
      <c r="AA248" s="12" t="s">
        <v>47</v>
      </c>
      <c r="AB248" s="14" t="s">
        <v>1651</v>
      </c>
      <c r="AC248" s="18"/>
      <c r="AD248" s="14"/>
    </row>
    <row r="249" spans="1:30" ht="80.099999999999994" customHeight="1">
      <c r="A249" s="5">
        <v>238</v>
      </c>
      <c r="B249" s="12">
        <v>2016</v>
      </c>
      <c r="C249" s="14" t="str">
        <f>'[1]V, inciso p) (OP)'!B147</f>
        <v>Licitación por Invitación Restringida</v>
      </c>
      <c r="D249" s="14" t="str">
        <f>'[1]V, inciso p) (OP)'!D147</f>
        <v>DOPI-MUN-R33-PAV-CI-238-2016</v>
      </c>
      <c r="E249" s="13">
        <f>'[1]V, inciso p) (OP)'!AD147</f>
        <v>42727</v>
      </c>
      <c r="F249" s="14" t="str">
        <f>'[1]V, inciso p) (OP)'!AL147</f>
        <v>Pavimentación con empedrado zampeado en la calle Mármol, de calle Cantera al arroyo y calle Obsidiana, de calle Opalo a calle Coral, en la colonia Pedregal de Zapopan (Loma el Pedregal), en Zapopan, Jalisco</v>
      </c>
      <c r="G249" s="14" t="s">
        <v>516</v>
      </c>
      <c r="H249" s="15">
        <f>'[1]V, inciso p) (OP)'!AG147</f>
        <v>2216780.09</v>
      </c>
      <c r="I249" s="14" t="str">
        <f>'[1]V, inciso p) (OP)'!AS147</f>
        <v>Colonia Loma el Pedregal</v>
      </c>
      <c r="J249" s="14" t="str">
        <f>'[1]V, inciso p) (OP)'!T147</f>
        <v>Hugo Armando</v>
      </c>
      <c r="K249" s="12" t="str">
        <f>'[1]V, inciso p) (OP)'!U147</f>
        <v>Prieto</v>
      </c>
      <c r="L249" s="12" t="str">
        <f>'[1]V, inciso p) (OP)'!V147</f>
        <v>Jiménez</v>
      </c>
      <c r="M249" s="14" t="str">
        <f>'[1]V, inciso p) (OP)'!W147</f>
        <v>Constructora Rural del Pais, S.A. de C.V.</v>
      </c>
      <c r="N249" s="12" t="str">
        <f>'[1]V, inciso p) (OP)'!X147</f>
        <v>CRP870708I62</v>
      </c>
      <c r="O249" s="15">
        <f>'[1]V, inciso p) (OP)'!AG147</f>
        <v>2216780.09</v>
      </c>
      <c r="P249" s="15">
        <v>2216780.04</v>
      </c>
      <c r="Q249" s="12" t="s">
        <v>636</v>
      </c>
      <c r="R249" s="15">
        <f>O249/1502.75</f>
        <v>1475.148953585094</v>
      </c>
      <c r="S249" s="12" t="s">
        <v>42</v>
      </c>
      <c r="T249" s="17">
        <v>202</v>
      </c>
      <c r="U249" s="14" t="s">
        <v>43</v>
      </c>
      <c r="V249" s="12" t="s">
        <v>44</v>
      </c>
      <c r="W249" s="13">
        <f>'[1]V, inciso p) (OP)'!AM147</f>
        <v>42730</v>
      </c>
      <c r="X249" s="13">
        <f>'[1]V, inciso p) (OP)'!AN147</f>
        <v>42880</v>
      </c>
      <c r="Y249" s="12" t="s">
        <v>385</v>
      </c>
      <c r="Z249" s="12" t="s">
        <v>637</v>
      </c>
      <c r="AA249" s="12" t="s">
        <v>47</v>
      </c>
      <c r="AB249" s="18" t="s">
        <v>1912</v>
      </c>
      <c r="AC249" s="14" t="s">
        <v>48</v>
      </c>
      <c r="AD249" s="14"/>
    </row>
    <row r="250" spans="1:30" s="1" customFormat="1" ht="80.099999999999994" customHeight="1">
      <c r="A250" s="5">
        <v>239</v>
      </c>
      <c r="B250" s="12">
        <v>2016</v>
      </c>
      <c r="C250" s="14" t="s">
        <v>65</v>
      </c>
      <c r="D250" s="14" t="str">
        <f>'[1]V, inciso o) (OP)'!C109</f>
        <v>DOPI-MUN-RM-IE-AD-239-2016</v>
      </c>
      <c r="E250" s="13">
        <f>'[1]V, inciso o) (OP)'!V109</f>
        <v>42657</v>
      </c>
      <c r="F250" s="14" t="str">
        <f>'[1]V, inciso o) (OP)'!AA109</f>
        <v>Suministro y colocación de estructuras de protección de rayos ultravioleta en el Jardín de Niños Maria Trinidad Martínez Yañez, clave CT14DJN1601J, colonia Villas Perisur, municipio de Zapopan, Jalisco</v>
      </c>
      <c r="G250" s="14" t="s">
        <v>111</v>
      </c>
      <c r="H250" s="15">
        <f>'[1]V, inciso o) (OP)'!Y109</f>
        <v>315620.47999999998</v>
      </c>
      <c r="I250" s="14" t="s">
        <v>638</v>
      </c>
      <c r="J250" s="14" t="str">
        <f>'[1]V, inciso o) (OP)'!G109</f>
        <v xml:space="preserve">GUILLERMO ALBERTO </v>
      </c>
      <c r="K250" s="12" t="str">
        <f>'[1]V, inciso o) (OP)'!H109</f>
        <v>RODRIGUEZ</v>
      </c>
      <c r="L250" s="12" t="str">
        <f>'[1]V, inciso o) (OP)'!I109</f>
        <v>ALLENDE</v>
      </c>
      <c r="M250" s="14" t="str">
        <f>'[1]V, inciso o) (OP)'!J109</f>
        <v>GRUPO CONSTRUCTOR MR DE JALISCO S.A. DE C.V.</v>
      </c>
      <c r="N250" s="12" t="str">
        <f>'[1]V, inciso o) (OP)'!K109</f>
        <v>GCM121112J86</v>
      </c>
      <c r="O250" s="15">
        <f t="shared" ref="O250:O257" si="7">H250</f>
        <v>315620.47999999998</v>
      </c>
      <c r="P250" s="15">
        <v>271638.52</v>
      </c>
      <c r="Q250" s="12" t="s">
        <v>639</v>
      </c>
      <c r="R250" s="15">
        <f>O250/263</f>
        <v>1200.0778707224333</v>
      </c>
      <c r="S250" s="12" t="s">
        <v>42</v>
      </c>
      <c r="T250" s="17">
        <v>386</v>
      </c>
      <c r="U250" s="14" t="s">
        <v>43</v>
      </c>
      <c r="V250" s="12" t="s">
        <v>44</v>
      </c>
      <c r="W250" s="13">
        <f>'[1]V, inciso o) (OP)'!AD109</f>
        <v>42660</v>
      </c>
      <c r="X250" s="13">
        <f>'[1]V, inciso o) (OP)'!AE109</f>
        <v>42704</v>
      </c>
      <c r="Y250" s="12" t="s">
        <v>439</v>
      </c>
      <c r="Z250" s="12" t="s">
        <v>91</v>
      </c>
      <c r="AA250" s="12" t="s">
        <v>640</v>
      </c>
      <c r="AB250" s="8" t="s">
        <v>1743</v>
      </c>
      <c r="AC250" s="14" t="s">
        <v>48</v>
      </c>
      <c r="AD250" s="14"/>
    </row>
    <row r="251" spans="1:30" s="1" customFormat="1" ht="80.099999999999994" customHeight="1">
      <c r="A251" s="5">
        <v>240</v>
      </c>
      <c r="B251" s="12">
        <v>2016</v>
      </c>
      <c r="C251" s="14" t="s">
        <v>65</v>
      </c>
      <c r="D251" s="14" t="str">
        <f>'[1]V, inciso o) (OP)'!C110</f>
        <v>DOPI-MUN-RM-IU-AD-240-2016</v>
      </c>
      <c r="E251" s="13">
        <f>'[1]V, inciso o) (OP)'!V110</f>
        <v>42692</v>
      </c>
      <c r="F251" s="14" t="str">
        <f>'[1]V, inciso o) (OP)'!AA110</f>
        <v>Primera etapa de la renovación de imagen urbana en la localidad de Tesistan, municipio de Zapopan, Jalisco</v>
      </c>
      <c r="G251" s="14" t="s">
        <v>66</v>
      </c>
      <c r="H251" s="15">
        <f>'[1]V, inciso o) (OP)'!Y110</f>
        <v>1495635.47</v>
      </c>
      <c r="I251" s="14" t="s">
        <v>563</v>
      </c>
      <c r="J251" s="14" t="str">
        <f>'[1]V, inciso o) (OP)'!G110</f>
        <v xml:space="preserve">ALEJANDRO LUIS </v>
      </c>
      <c r="K251" s="12" t="str">
        <f>'[1]V, inciso o) (OP)'!H110</f>
        <v xml:space="preserve">VAIDOVITS </v>
      </c>
      <c r="L251" s="12" t="str">
        <f>'[1]V, inciso o) (OP)'!I110</f>
        <v xml:space="preserve"> SCHNURER</v>
      </c>
      <c r="M251" s="14" t="str">
        <f>'[1]V, inciso o) (OP)'!J110</f>
        <v>PROMACO DE MEXICO, S.A. DE C.V.</v>
      </c>
      <c r="N251" s="12" t="str">
        <f>'[1]V, inciso o) (OP)'!K110</f>
        <v>PME930817EV7</v>
      </c>
      <c r="O251" s="15">
        <f t="shared" si="7"/>
        <v>1495635.47</v>
      </c>
      <c r="P251" s="15">
        <v>681688.62000000011</v>
      </c>
      <c r="Q251" s="12" t="s">
        <v>641</v>
      </c>
      <c r="R251" s="15">
        <f>O251/3000</f>
        <v>498.54515666666668</v>
      </c>
      <c r="S251" s="12" t="s">
        <v>42</v>
      </c>
      <c r="T251" s="17">
        <v>62891</v>
      </c>
      <c r="U251" s="14" t="s">
        <v>43</v>
      </c>
      <c r="V251" s="12" t="s">
        <v>44</v>
      </c>
      <c r="W251" s="13">
        <f>'[1]V, inciso o) (OP)'!AD110</f>
        <v>42696</v>
      </c>
      <c r="X251" s="13">
        <f>'[1]V, inciso o) (OP)'!AE110</f>
        <v>42766</v>
      </c>
      <c r="Y251" s="12" t="s">
        <v>336</v>
      </c>
      <c r="Z251" s="12" t="s">
        <v>337</v>
      </c>
      <c r="AA251" s="12" t="s">
        <v>120</v>
      </c>
      <c r="AB251" s="8" t="s">
        <v>1744</v>
      </c>
      <c r="AC251" s="14" t="s">
        <v>48</v>
      </c>
      <c r="AD251" s="14"/>
    </row>
    <row r="252" spans="1:30" s="1" customFormat="1" ht="80.099999999999994" customHeight="1">
      <c r="A252" s="5">
        <v>241</v>
      </c>
      <c r="B252" s="12">
        <v>2016</v>
      </c>
      <c r="C252" s="14" t="s">
        <v>65</v>
      </c>
      <c r="D252" s="14" t="str">
        <f>'[1]V, inciso o) (OP)'!C111</f>
        <v>DOPI-MUN-RM-IM-AD-241-2016</v>
      </c>
      <c r="E252" s="13">
        <f>'[1]V, inciso o) (OP)'!V111</f>
        <v>42671</v>
      </c>
      <c r="F252" s="14" t="str">
        <f>'[1]V, inciso o) (OP)'!AA111</f>
        <v>Rehabiitación de instalación eléctrica e hidrosanitaria, estructura de protección de rayos ultravioleta y albañilería en el Centro de Desarrollo Infantil del Dif No. 1 Carmen Arce Zuno, ubicado en la colonia Constitución, municipio de Zapopan, Jalisco.</v>
      </c>
      <c r="G252" s="14" t="s">
        <v>111</v>
      </c>
      <c r="H252" s="15">
        <f>'[1]V, inciso o) (OP)'!Y111</f>
        <v>1276850.24</v>
      </c>
      <c r="I252" s="14" t="s">
        <v>642</v>
      </c>
      <c r="J252" s="14" t="str">
        <f>'[1]V, inciso o) (OP)'!G111</f>
        <v>OSCAR LUIS</v>
      </c>
      <c r="K252" s="12" t="str">
        <f>'[1]V, inciso o) (OP)'!H111</f>
        <v>CHAVEZ</v>
      </c>
      <c r="L252" s="12" t="str">
        <f>'[1]V, inciso o) (OP)'!I111</f>
        <v>GONZALEZ</v>
      </c>
      <c r="M252" s="14" t="str">
        <f>'[1]V, inciso o) (OP)'!J111</f>
        <v>EURO TRADE, S.A. DE C.V.</v>
      </c>
      <c r="N252" s="12" t="str">
        <f>'[1]V, inciso o) (OP)'!K111</f>
        <v>ETR070417NS8</v>
      </c>
      <c r="O252" s="15">
        <f t="shared" si="7"/>
        <v>1276850.24</v>
      </c>
      <c r="P252" s="15">
        <v>933415.83</v>
      </c>
      <c r="Q252" s="12" t="s">
        <v>643</v>
      </c>
      <c r="R252" s="15">
        <f>O252/343</f>
        <v>3722.5954518950439</v>
      </c>
      <c r="S252" s="12" t="s">
        <v>42</v>
      </c>
      <c r="T252" s="17">
        <v>338</v>
      </c>
      <c r="U252" s="14" t="s">
        <v>43</v>
      </c>
      <c r="V252" s="12" t="s">
        <v>44</v>
      </c>
      <c r="W252" s="13">
        <f>'[1]V, inciso o) (OP)'!AD111</f>
        <v>42674</v>
      </c>
      <c r="X252" s="13">
        <f>'[1]V, inciso o) (OP)'!AE111</f>
        <v>42735</v>
      </c>
      <c r="Y252" s="12" t="s">
        <v>611</v>
      </c>
      <c r="Z252" s="12" t="s">
        <v>312</v>
      </c>
      <c r="AA252" s="12" t="s">
        <v>64</v>
      </c>
      <c r="AB252" s="8" t="s">
        <v>1745</v>
      </c>
      <c r="AC252" s="14" t="s">
        <v>48</v>
      </c>
      <c r="AD252" s="14"/>
    </row>
    <row r="253" spans="1:30" s="1" customFormat="1" ht="80.099999999999994" customHeight="1">
      <c r="A253" s="5">
        <v>242</v>
      </c>
      <c r="B253" s="12">
        <v>2016</v>
      </c>
      <c r="C253" s="14" t="s">
        <v>65</v>
      </c>
      <c r="D253" s="14" t="str">
        <f>'[1]V, inciso o) (OP)'!C112</f>
        <v>DOPI-MUN-RM-IM-AD-242-2016</v>
      </c>
      <c r="E253" s="13">
        <f>'[1]V, inciso o) (OP)'!V112</f>
        <v>42671</v>
      </c>
      <c r="F253" s="14" t="str">
        <f>'[1]V, inciso o) (OP)'!AA112</f>
        <v>Rehabilitación de carpintería, instalación eléctrica, hidráulica, sanitaria, estructuras de protección de rayos ultravioleta, pisos, juegos infantiles, herrería y albañilería en el Centro de Desarrollo Infantil del Dif No. 2 Pablo Casals, ubicado en la colonia Valle de Atemajac; Rehabilitación de instalación eléctrica, hidráulica y sanitaria, herrería, albañilería, pisos en el Centro de Desarrollo Infantil del Dif No. 9 Villa de Guadalupe, ubicado en la colonia Villa de Guadalupe, municipio de Zapopan, Jalisco.</v>
      </c>
      <c r="G253" s="14" t="s">
        <v>111</v>
      </c>
      <c r="H253" s="15">
        <f>'[1]V, inciso o) (OP)'!Y112</f>
        <v>1510250.48</v>
      </c>
      <c r="I253" s="14" t="s">
        <v>644</v>
      </c>
      <c r="J253" s="14" t="str">
        <f>'[1]V, inciso o) (OP)'!G112</f>
        <v>ORLANDO</v>
      </c>
      <c r="K253" s="12" t="str">
        <f>'[1]V, inciso o) (OP)'!H112</f>
        <v>HIJAR</v>
      </c>
      <c r="L253" s="12" t="str">
        <f>'[1]V, inciso o) (OP)'!I112</f>
        <v>CASILLAS</v>
      </c>
      <c r="M253" s="14" t="str">
        <f>'[1]V, inciso o) (OP)'!J112</f>
        <v>CONSTRUCTORA Y URBANIZADORA CEDA, S.A. DE C.V.</v>
      </c>
      <c r="N253" s="12" t="str">
        <f>'[1]V, inciso o) (OP)'!K112</f>
        <v>CUC121107NV2</v>
      </c>
      <c r="O253" s="15">
        <f t="shared" si="7"/>
        <v>1510250.48</v>
      </c>
      <c r="P253" s="15">
        <v>1420747.7899999998</v>
      </c>
      <c r="Q253" s="12" t="s">
        <v>645</v>
      </c>
      <c r="R253" s="15">
        <f>O253/4053</f>
        <v>372.62533432025657</v>
      </c>
      <c r="S253" s="12" t="s">
        <v>42</v>
      </c>
      <c r="T253" s="17">
        <v>676</v>
      </c>
      <c r="U253" s="14" t="s">
        <v>43</v>
      </c>
      <c r="V253" s="12" t="s">
        <v>44</v>
      </c>
      <c r="W253" s="13">
        <f>'[1]V, inciso o) (OP)'!AD112</f>
        <v>42674</v>
      </c>
      <c r="X253" s="13">
        <f>'[1]V, inciso o) (OP)'!AE112</f>
        <v>42735</v>
      </c>
      <c r="Y253" s="12" t="s">
        <v>611</v>
      </c>
      <c r="Z253" s="12" t="s">
        <v>312</v>
      </c>
      <c r="AA253" s="12" t="s">
        <v>64</v>
      </c>
      <c r="AB253" s="8" t="s">
        <v>1913</v>
      </c>
      <c r="AC253" s="14" t="s">
        <v>48</v>
      </c>
      <c r="AD253" s="14"/>
    </row>
    <row r="254" spans="1:30" s="1" customFormat="1" ht="80.099999999999994" customHeight="1">
      <c r="A254" s="5">
        <v>243</v>
      </c>
      <c r="B254" s="12">
        <v>2016</v>
      </c>
      <c r="C254" s="14" t="s">
        <v>65</v>
      </c>
      <c r="D254" s="14" t="str">
        <f>'[1]V, inciso o) (OP)'!C113</f>
        <v>DOPI-MUN-RM-IM-AD-243-2016</v>
      </c>
      <c r="E254" s="13">
        <f>'[1]V, inciso o) (OP)'!V113</f>
        <v>42671</v>
      </c>
      <c r="F254" s="14" t="str">
        <f>'[1]V, inciso o) (OP)'!AA113</f>
        <v>Rehabilitación de carpintería, instalación eléctrica, hidráulica, sanitaria, estructuras de protección de rayos ultravioleta, pisos, construcción de aulas y albañilería en el Centro de Desarrollo Infantil del Dif No. 5 El Colli, ubicado en la colonia El Colli y en el Centro de Desarrollo Infantil del Dif No. 6 Tabachines, ubicado en la colonia Tabachines, municipio de Zapopan, Jalisco</v>
      </c>
      <c r="G254" s="14" t="s">
        <v>111</v>
      </c>
      <c r="H254" s="15">
        <f>'[1]V, inciso o) (OP)'!Y113</f>
        <v>1368256.1</v>
      </c>
      <c r="I254" s="14" t="s">
        <v>646</v>
      </c>
      <c r="J254" s="14" t="str">
        <f>'[1]V, inciso o) (OP)'!G113</f>
        <v xml:space="preserve">EDUARDO </v>
      </c>
      <c r="K254" s="12" t="str">
        <f>'[1]V, inciso o) (OP)'!H113</f>
        <v>PLASCENCIA</v>
      </c>
      <c r="L254" s="12" t="str">
        <f>'[1]V, inciso o) (OP)'!I113</f>
        <v>MACIAS</v>
      </c>
      <c r="M254" s="14" t="str">
        <f>'[1]V, inciso o) (OP)'!J113</f>
        <v>CONSTRUCTORA Y EDIFICADORA PLASMA, S.A. DE C.V.</v>
      </c>
      <c r="N254" s="12" t="str">
        <f>'[1]V, inciso o) (OP)'!K113</f>
        <v>CEP080129EK6</v>
      </c>
      <c r="O254" s="15">
        <f t="shared" si="7"/>
        <v>1368256.1</v>
      </c>
      <c r="P254" s="15">
        <v>1365596.04</v>
      </c>
      <c r="Q254" s="12" t="s">
        <v>647</v>
      </c>
      <c r="R254" s="15">
        <f>O254/1519</f>
        <v>900.76109282422658</v>
      </c>
      <c r="S254" s="12" t="s">
        <v>42</v>
      </c>
      <c r="T254" s="17">
        <v>687</v>
      </c>
      <c r="U254" s="14" t="s">
        <v>43</v>
      </c>
      <c r="V254" s="12" t="s">
        <v>44</v>
      </c>
      <c r="W254" s="13">
        <f>'[1]V, inciso o) (OP)'!AD113</f>
        <v>42674</v>
      </c>
      <c r="X254" s="13">
        <f>'[1]V, inciso o) (OP)'!AE113</f>
        <v>42735</v>
      </c>
      <c r="Y254" s="12" t="s">
        <v>611</v>
      </c>
      <c r="Z254" s="12" t="s">
        <v>312</v>
      </c>
      <c r="AA254" s="12" t="s">
        <v>64</v>
      </c>
      <c r="AB254" s="14" t="s">
        <v>1652</v>
      </c>
      <c r="AC254" s="18"/>
      <c r="AD254" s="14"/>
    </row>
    <row r="255" spans="1:30" s="1" customFormat="1" ht="80.099999999999994" customHeight="1">
      <c r="A255" s="5">
        <v>244</v>
      </c>
      <c r="B255" s="12">
        <v>2016</v>
      </c>
      <c r="C255" s="14" t="s">
        <v>65</v>
      </c>
      <c r="D255" s="14" t="str">
        <f>'[1]V, inciso o) (OP)'!C114</f>
        <v>DOPI-MUN-RM-IM-AD-244-2016</v>
      </c>
      <c r="E255" s="13">
        <f>'[1]V, inciso o) (OP)'!V114</f>
        <v>42671</v>
      </c>
      <c r="F255" s="14" t="str">
        <f>'[1]V, inciso o) (OP)'!AA114</f>
        <v>Construcción de muro perimetral y herrería en el Centro de Atención Infantil Comunitario del Dif No. 2 Santa Ana Tepetitlán, ubicado en la colonia Santa Ana Tepetitlán y en el Centro de Atención Infantil Comunitario del Dif No 1 La Higuera, ubicado en la colonia La Higuera, municipio de Zapopan, Jalisco.</v>
      </c>
      <c r="G255" s="14" t="s">
        <v>111</v>
      </c>
      <c r="H255" s="15">
        <f>'[1]V, inciso o) (OP)'!Y114</f>
        <v>1495678.36</v>
      </c>
      <c r="I255" s="14" t="s">
        <v>648</v>
      </c>
      <c r="J255" s="14" t="str">
        <f>'[1]V, inciso o) (OP)'!G114</f>
        <v xml:space="preserve">EDUARDO </v>
      </c>
      <c r="K255" s="12" t="str">
        <f>'[1]V, inciso o) (OP)'!H114</f>
        <v>MORA</v>
      </c>
      <c r="L255" s="12" t="str">
        <f>'[1]V, inciso o) (OP)'!I114</f>
        <v>BLACKALLER</v>
      </c>
      <c r="M255" s="14" t="str">
        <f>'[1]V, inciso o) (OP)'!J114</f>
        <v>GRUPO CONSTRUCTOR INNOBLACK, S.A. DE C.V.</v>
      </c>
      <c r="N255" s="12" t="str">
        <f>'[1]V, inciso o) (OP)'!K114</f>
        <v>GCI070523CW4</v>
      </c>
      <c r="O255" s="15">
        <f t="shared" si="7"/>
        <v>1495678.36</v>
      </c>
      <c r="P255" s="15">
        <v>1449274.96</v>
      </c>
      <c r="Q255" s="12" t="s">
        <v>649</v>
      </c>
      <c r="R255" s="15">
        <f>O255/148</f>
        <v>10105.934864864865</v>
      </c>
      <c r="S255" s="12" t="s">
        <v>42</v>
      </c>
      <c r="T255" s="17">
        <v>714</v>
      </c>
      <c r="U255" s="14" t="s">
        <v>43</v>
      </c>
      <c r="V255" s="12" t="s">
        <v>44</v>
      </c>
      <c r="W255" s="13">
        <f>'[1]V, inciso o) (OP)'!AD114</f>
        <v>42674</v>
      </c>
      <c r="X255" s="13">
        <f>'[1]V, inciso o) (OP)'!AE114</f>
        <v>42735</v>
      </c>
      <c r="Y255" s="12" t="s">
        <v>611</v>
      </c>
      <c r="Z255" s="12" t="s">
        <v>312</v>
      </c>
      <c r="AA255" s="12" t="s">
        <v>64</v>
      </c>
      <c r="AB255" s="8" t="s">
        <v>1746</v>
      </c>
      <c r="AC255" s="14" t="s">
        <v>48</v>
      </c>
      <c r="AD255" s="14"/>
    </row>
    <row r="256" spans="1:30" s="1" customFormat="1" ht="80.099999999999994" customHeight="1">
      <c r="A256" s="6">
        <v>245</v>
      </c>
      <c r="B256" s="12">
        <v>2016</v>
      </c>
      <c r="C256" s="14" t="s">
        <v>65</v>
      </c>
      <c r="D256" s="14" t="str">
        <f>'[1]V, inciso o) (OP)'!C115</f>
        <v>DOPI-MUN-RM-PAV-AD-245-2016</v>
      </c>
      <c r="E256" s="13">
        <f>'[1]V, inciso o) (OP)'!V115</f>
        <v>42692</v>
      </c>
      <c r="F256" s="14" t="str">
        <f>'[1]V, inciso o) (OP)'!AA115</f>
        <v>Reencarpetamiento de la vialidad, desbastado de la carpeta existente, nivelación de pozos de visita, cajas de válvulas, rejillas pluviales, bocas de tormenta y elementos estructurales que sobresalen de la rasante de la vialidad, calafateos, señaletica horizontal de la calle Jacarandas de Pablo Neruda a Paseo Loma Larga, en la colonia Colinas de San Javier, municipio de Zapopan, Jalisco.</v>
      </c>
      <c r="G256" s="14" t="s">
        <v>111</v>
      </c>
      <c r="H256" s="15">
        <f>'[1]V, inciso o) (OP)'!Y115</f>
        <v>1538300.1</v>
      </c>
      <c r="I256" s="14" t="s">
        <v>650</v>
      </c>
      <c r="J256" s="14" t="str">
        <f>'[1]V, inciso o) (OP)'!G115</f>
        <v>JOEL</v>
      </c>
      <c r="K256" s="12" t="str">
        <f>'[1]V, inciso o) (OP)'!H115</f>
        <v>ZULOAGA</v>
      </c>
      <c r="L256" s="12" t="str">
        <f>'[1]V, inciso o) (OP)'!I115</f>
        <v>ACEVES</v>
      </c>
      <c r="M256" s="14" t="str">
        <f>'[1]V, inciso o) (OP)'!J115</f>
        <v>TASUM SOLUCIONES EN CONSTRUCCION, S.A. DE C.V.</v>
      </c>
      <c r="N256" s="12" t="str">
        <f>'[1]V, inciso o) (OP)'!K115</f>
        <v>TSC100210E48</v>
      </c>
      <c r="O256" s="15">
        <f t="shared" si="7"/>
        <v>1538300.1</v>
      </c>
      <c r="P256" s="15">
        <v>1254966.6300000001</v>
      </c>
      <c r="Q256" s="12" t="s">
        <v>651</v>
      </c>
      <c r="R256" s="15">
        <f>O256/3244</f>
        <v>474.19855117139338</v>
      </c>
      <c r="S256" s="12" t="s">
        <v>42</v>
      </c>
      <c r="T256" s="17">
        <v>6453</v>
      </c>
      <c r="U256" s="14" t="s">
        <v>43</v>
      </c>
      <c r="V256" s="12" t="s">
        <v>44</v>
      </c>
      <c r="W256" s="13">
        <f>'[1]V, inciso o) (OP)'!AD115</f>
        <v>42695</v>
      </c>
      <c r="X256" s="13">
        <f>'[1]V, inciso o) (OP)'!AE115</f>
        <v>42729</v>
      </c>
      <c r="Y256" s="12" t="s">
        <v>322</v>
      </c>
      <c r="Z256" s="12" t="s">
        <v>196</v>
      </c>
      <c r="AA256" s="12" t="s">
        <v>197</v>
      </c>
      <c r="AB256" s="14" t="s">
        <v>1653</v>
      </c>
      <c r="AC256" s="18"/>
      <c r="AD256" s="14"/>
    </row>
    <row r="257" spans="1:30" s="1" customFormat="1" ht="80.099999999999994" customHeight="1">
      <c r="A257" s="5">
        <v>246</v>
      </c>
      <c r="B257" s="12">
        <v>2016</v>
      </c>
      <c r="C257" s="14" t="s">
        <v>65</v>
      </c>
      <c r="D257" s="14" t="str">
        <f>'[1]V, inciso o) (OP)'!C116</f>
        <v>DOPI-MUN-RM-EM-AD-246-2016</v>
      </c>
      <c r="E257" s="13">
        <f>'[1]V, inciso o) (OP)'!V116</f>
        <v>42674</v>
      </c>
      <c r="F257" s="14" t="str">
        <f>'[1]V, inciso o) (OP)'!AA116</f>
        <v>Reconstrucción de habitación, baño y cubierta en vivienda ubicada en la calle López Mateos #61, en la colonia Santa Lucia, municipio de Zapopan, Jalisco</v>
      </c>
      <c r="G257" s="14" t="s">
        <v>66</v>
      </c>
      <c r="H257" s="15">
        <f>'[1]V, inciso o) (OP)'!Y116</f>
        <v>275935.40000000002</v>
      </c>
      <c r="I257" s="14" t="s">
        <v>652</v>
      </c>
      <c r="J257" s="14" t="str">
        <f>'[1]V, inciso o) (OP)'!G116</f>
        <v>CLAUDIA PATRICIA</v>
      </c>
      <c r="K257" s="12" t="str">
        <f>'[1]V, inciso o) (OP)'!H116</f>
        <v xml:space="preserve">SANCHEZ </v>
      </c>
      <c r="L257" s="12" t="str">
        <f>'[1]V, inciso o) (OP)'!I116</f>
        <v>VALLES</v>
      </c>
      <c r="M257" s="14" t="str">
        <f>'[1]V, inciso o) (OP)'!J116</f>
        <v>CONSTRUCTORA JMA, S.A. DE C.V.</v>
      </c>
      <c r="N257" s="12" t="str">
        <f>'[1]V, inciso o) (OP)'!K116</f>
        <v>CJM121221Q73</v>
      </c>
      <c r="O257" s="15">
        <f t="shared" si="7"/>
        <v>275935.40000000002</v>
      </c>
      <c r="P257" s="15">
        <v>273039.63</v>
      </c>
      <c r="Q257" s="12" t="s">
        <v>653</v>
      </c>
      <c r="R257" s="15">
        <f>O257/50</f>
        <v>5518.7080000000005</v>
      </c>
      <c r="S257" s="12" t="s">
        <v>42</v>
      </c>
      <c r="T257" s="17">
        <v>5</v>
      </c>
      <c r="U257" s="14" t="s">
        <v>43</v>
      </c>
      <c r="V257" s="12" t="s">
        <v>44</v>
      </c>
      <c r="W257" s="13">
        <f>'[1]V, inciso o) (OP)'!AD116</f>
        <v>42675</v>
      </c>
      <c r="X257" s="13">
        <f>'[1]V, inciso o) (OP)'!AE116</f>
        <v>42719</v>
      </c>
      <c r="Y257" s="12" t="s">
        <v>336</v>
      </c>
      <c r="Z257" s="12" t="s">
        <v>337</v>
      </c>
      <c r="AA257" s="12" t="s">
        <v>120</v>
      </c>
      <c r="AB257" s="8" t="s">
        <v>1914</v>
      </c>
      <c r="AC257" s="14" t="s">
        <v>48</v>
      </c>
      <c r="AD257" s="14"/>
    </row>
    <row r="258" spans="1:30" ht="80.099999999999994" customHeight="1">
      <c r="A258" s="5">
        <v>248</v>
      </c>
      <c r="B258" s="12">
        <v>2016</v>
      </c>
      <c r="C258" s="14" t="s">
        <v>65</v>
      </c>
      <c r="D258" s="14" t="str">
        <f>'[1]V, inciso o) (OP)'!C117</f>
        <v>DOPI-MUN-RM-ELE-AD-248-2016</v>
      </c>
      <c r="E258" s="13">
        <f>'[1]V, inciso o) (OP)'!V117</f>
        <v>42706</v>
      </c>
      <c r="F258" s="14" t="str">
        <f>'[1]V, inciso o) (OP)'!AA117</f>
        <v>Eléctrificación de pozo en el Ejido Copalita y pozo en la localidad de Cerca Morada, municipio de Zapopan, Jalisco</v>
      </c>
      <c r="G258" s="14" t="s">
        <v>111</v>
      </c>
      <c r="H258" s="15">
        <f>'[1]V, inciso o) (OP)'!Y117</f>
        <v>969037.98</v>
      </c>
      <c r="I258" s="14" t="s">
        <v>654</v>
      </c>
      <c r="J258" s="14" t="str">
        <f>'[1]V, inciso o) (OP)'!M117</f>
        <v>PIA LORENA</v>
      </c>
      <c r="K258" s="12" t="str">
        <f>'[1]V, inciso o) (OP)'!N117</f>
        <v>BUENROSTRO</v>
      </c>
      <c r="L258" s="12" t="str">
        <f>'[1]V, inciso o) (OP)'!O117</f>
        <v>AHUED</v>
      </c>
      <c r="M258" s="14" t="str">
        <f>'[1]V, inciso o) (OP)'!P117</f>
        <v>BIRMEK CONSTRUCCIONES, S.A. DE C.V.</v>
      </c>
      <c r="N258" s="12" t="str">
        <f>'[1]V, inciso o) (OP)'!Q117</f>
        <v>BCO070129512</v>
      </c>
      <c r="O258" s="15">
        <f>'[1]V, inciso o) (OP)'!Y117</f>
        <v>969037.98</v>
      </c>
      <c r="P258" s="15">
        <v>569878.23</v>
      </c>
      <c r="Q258" s="12" t="s">
        <v>52</v>
      </c>
      <c r="R258" s="15">
        <f>O258</f>
        <v>969037.98</v>
      </c>
      <c r="S258" s="12" t="s">
        <v>42</v>
      </c>
      <c r="T258" s="17">
        <v>339</v>
      </c>
      <c r="U258" s="14" t="s">
        <v>43</v>
      </c>
      <c r="V258" s="12" t="s">
        <v>378</v>
      </c>
      <c r="W258" s="13">
        <f>'[1]V, inciso o) (OP)'!AD117</f>
        <v>42709</v>
      </c>
      <c r="X258" s="13">
        <f>'[1]V, inciso o) (OP)'!AE117</f>
        <v>42799</v>
      </c>
      <c r="Y258" s="12" t="s">
        <v>336</v>
      </c>
      <c r="Z258" s="12" t="s">
        <v>337</v>
      </c>
      <c r="AA258" s="12" t="s">
        <v>120</v>
      </c>
      <c r="AB258" s="14" t="s">
        <v>1654</v>
      </c>
      <c r="AC258" s="18"/>
      <c r="AD258" s="14"/>
    </row>
    <row r="259" spans="1:30" ht="80.099999999999994" customHeight="1">
      <c r="A259" s="5">
        <v>249</v>
      </c>
      <c r="B259" s="12">
        <v>2016</v>
      </c>
      <c r="C259" s="14" t="s">
        <v>65</v>
      </c>
      <c r="D259" s="14" t="str">
        <f>'[1]V, inciso o) (OP)'!C118</f>
        <v>DOPI-MUN-R33-IS-AD-249-2016</v>
      </c>
      <c r="E259" s="13">
        <f>'[1]V, inciso o) (OP)'!V118</f>
        <v>42699</v>
      </c>
      <c r="F259" s="14" t="str">
        <f>'[1]V, inciso o) (OP)'!AA118</f>
        <v>Construcción de línea de drenaje sanitario de 16" en calle Central, de calle del Bosque al Arroyo, en la colonia el Tizate, en el municipio de Zapopan, Jalisco.</v>
      </c>
      <c r="G259" s="14" t="s">
        <v>516</v>
      </c>
      <c r="H259" s="15">
        <f>'[1]V, inciso o) (OP)'!Y118</f>
        <v>1405850.23</v>
      </c>
      <c r="I259" s="14" t="s">
        <v>655</v>
      </c>
      <c r="J259" s="14" t="str">
        <f>'[1]V, inciso o) (OP)'!M118</f>
        <v>JOSE DE JESUS</v>
      </c>
      <c r="K259" s="12" t="str">
        <f>'[1]V, inciso o) (OP)'!N118</f>
        <v>PALAFOX</v>
      </c>
      <c r="L259" s="12" t="str">
        <f>'[1]V, inciso o) (OP)'!O118</f>
        <v>VILLEGAS</v>
      </c>
      <c r="M259" s="14" t="str">
        <f>'[1]V, inciso o) (OP)'!P118</f>
        <v>MEGAENLACE CONSTRUCCIONES S.A. DE C.V.</v>
      </c>
      <c r="N259" s="12" t="str">
        <f>'[1]V, inciso o) (OP)'!Q118</f>
        <v>MCO1510113H8</v>
      </c>
      <c r="O259" s="15">
        <f>'[1]V, inciso o) (OP)'!Y118</f>
        <v>1405850.23</v>
      </c>
      <c r="P259" s="15">
        <v>1405849.51</v>
      </c>
      <c r="Q259" s="12" t="s">
        <v>656</v>
      </c>
      <c r="R259" s="15">
        <f>O259/515.8</f>
        <v>2725.5723730127957</v>
      </c>
      <c r="S259" s="12" t="s">
        <v>42</v>
      </c>
      <c r="T259" s="17">
        <v>122</v>
      </c>
      <c r="U259" s="14" t="s">
        <v>43</v>
      </c>
      <c r="V259" s="12" t="s">
        <v>44</v>
      </c>
      <c r="W259" s="13">
        <f>'[1]V, inciso o) (OP)'!AD118</f>
        <v>42702</v>
      </c>
      <c r="X259" s="13">
        <f>'[1]V, inciso o) (OP)'!AE118</f>
        <v>42762</v>
      </c>
      <c r="Y259" s="12" t="s">
        <v>328</v>
      </c>
      <c r="Z259" s="12" t="s">
        <v>236</v>
      </c>
      <c r="AA259" s="12" t="s">
        <v>147</v>
      </c>
      <c r="AB259" s="8" t="s">
        <v>1747</v>
      </c>
      <c r="AC259" s="14" t="s">
        <v>48</v>
      </c>
      <c r="AD259" s="14"/>
    </row>
    <row r="260" spans="1:30" ht="80.099999999999994" customHeight="1">
      <c r="A260" s="6">
        <v>250</v>
      </c>
      <c r="B260" s="12">
        <v>2016</v>
      </c>
      <c r="C260" s="14" t="s">
        <v>65</v>
      </c>
      <c r="D260" s="14" t="str">
        <f>'[1]V, inciso o) (OP)'!C119</f>
        <v>DOPI-MUN-RM-PROY-AD-250-2016</v>
      </c>
      <c r="E260" s="13">
        <f>'[1]V, inciso o) (OP)'!V119</f>
        <v>42699</v>
      </c>
      <c r="F260" s="14" t="str">
        <f>'[1]V, inciso o) (OP)'!AA119</f>
        <v>Estudios básicos topográficos para diferentes obras 2016, tercera etapa, del municipio de Zapopan, Jalisco.</v>
      </c>
      <c r="G260" s="14" t="s">
        <v>111</v>
      </c>
      <c r="H260" s="15">
        <f>'[1]V, inciso o) (OP)'!Y119</f>
        <v>1365001</v>
      </c>
      <c r="I260" s="14" t="s">
        <v>376</v>
      </c>
      <c r="J260" s="14" t="str">
        <f>'[1]V, inciso o) (OP)'!M119</f>
        <v>GABRIEL</v>
      </c>
      <c r="K260" s="12" t="str">
        <f>'[1]V, inciso o) (OP)'!N119</f>
        <v xml:space="preserve">FRANCO </v>
      </c>
      <c r="L260" s="12" t="str">
        <f>'[1]V, inciso o) (OP)'!O119</f>
        <v>ALATORRE</v>
      </c>
      <c r="M260" s="14" t="str">
        <f>'[1]V, inciso o) (OP)'!P119</f>
        <v>CONSTRUCTORA DE OCCIDENTE MS, S.A. DE C.V.</v>
      </c>
      <c r="N260" s="12" t="str">
        <f>'[1]V, inciso o) (OP)'!Q119</f>
        <v>COM141015F48</v>
      </c>
      <c r="O260" s="15">
        <f>'[1]V, inciso o) (OP)'!Y119</f>
        <v>1365001</v>
      </c>
      <c r="P260" s="15">
        <v>1365000.99</v>
      </c>
      <c r="Q260" s="12" t="s">
        <v>623</v>
      </c>
      <c r="R260" s="15">
        <f>O260</f>
        <v>1365001</v>
      </c>
      <c r="S260" s="12" t="s">
        <v>125</v>
      </c>
      <c r="T260" s="17" t="s">
        <v>125</v>
      </c>
      <c r="U260" s="14" t="s">
        <v>43</v>
      </c>
      <c r="V260" s="12" t="s">
        <v>44</v>
      </c>
      <c r="W260" s="13">
        <f>'[1]V, inciso o) (OP)'!AD119</f>
        <v>42702</v>
      </c>
      <c r="X260" s="13">
        <f>'[1]V, inciso o) (OP)'!AE119</f>
        <v>42855</v>
      </c>
      <c r="Y260" s="12" t="s">
        <v>363</v>
      </c>
      <c r="Z260" s="12" t="s">
        <v>604</v>
      </c>
      <c r="AA260" s="12" t="s">
        <v>139</v>
      </c>
      <c r="AB260" s="8" t="s">
        <v>1915</v>
      </c>
      <c r="AC260" s="14" t="s">
        <v>48</v>
      </c>
      <c r="AD260" s="14"/>
    </row>
    <row r="261" spans="1:30" ht="80.099999999999994" customHeight="1">
      <c r="A261" s="5">
        <v>251</v>
      </c>
      <c r="B261" s="12">
        <v>2016</v>
      </c>
      <c r="C261" s="14" t="s">
        <v>65</v>
      </c>
      <c r="D261" s="14" t="str">
        <f>'[1]V, inciso o) (OP)'!C120</f>
        <v>DOPI-MUN-R33-IH-AD-251-2016</v>
      </c>
      <c r="E261" s="13">
        <f>'[1]V, inciso o) (OP)'!V120</f>
        <v>42699</v>
      </c>
      <c r="F261" s="14" t="str">
        <f>'[1]V, inciso o) (OP)'!AA120</f>
        <v>Construcción de línea de conducción de agua potable, en la localidad Los Patios, de pozo Los Patios A Conexión Existente, en el municipio de Zapopan, Jalisco.</v>
      </c>
      <c r="G261" s="14" t="s">
        <v>516</v>
      </c>
      <c r="H261" s="15">
        <f>'[1]V, inciso o) (OP)'!Y120</f>
        <v>1475636.47</v>
      </c>
      <c r="I261" s="14" t="s">
        <v>657</v>
      </c>
      <c r="J261" s="14" t="str">
        <f>'[1]V, inciso o) (OP)'!M120</f>
        <v>JOSE SERGIO</v>
      </c>
      <c r="K261" s="12" t="str">
        <f>'[1]V, inciso o) (OP)'!N120</f>
        <v>CARMONA</v>
      </c>
      <c r="L261" s="12" t="str">
        <f>'[1]V, inciso o) (OP)'!O120</f>
        <v>RUVALCABA</v>
      </c>
      <c r="M261" s="14" t="str">
        <f>'[1]V, inciso o) (OP)'!P120</f>
        <v>QUANTUM CONSTRUCTORES Y PROYECTOS, S.A. DE C.V.</v>
      </c>
      <c r="N261" s="12" t="str">
        <f>'[1]V, inciso o) (OP)'!Q120</f>
        <v>QCP1307172S6</v>
      </c>
      <c r="O261" s="15">
        <f>'[1]V, inciso o) (OP)'!Y120</f>
        <v>1475636.47</v>
      </c>
      <c r="P261" s="15">
        <v>1475635.0899999999</v>
      </c>
      <c r="Q261" s="12" t="s">
        <v>658</v>
      </c>
      <c r="R261" s="15">
        <f>O261/3240</f>
        <v>455.44335493827157</v>
      </c>
      <c r="S261" s="12" t="s">
        <v>42</v>
      </c>
      <c r="T261" s="17">
        <v>39</v>
      </c>
      <c r="U261" s="14" t="s">
        <v>43</v>
      </c>
      <c r="V261" s="12" t="s">
        <v>44</v>
      </c>
      <c r="W261" s="13">
        <f>'[1]V, inciso o) (OP)'!AD120</f>
        <v>42702</v>
      </c>
      <c r="X261" s="13">
        <f>'[1]V, inciso o) (OP)'!AE120</f>
        <v>42852</v>
      </c>
      <c r="Y261" s="12" t="s">
        <v>492</v>
      </c>
      <c r="Z261" s="12" t="s">
        <v>493</v>
      </c>
      <c r="AA261" s="12" t="s">
        <v>97</v>
      </c>
      <c r="AB261" s="8" t="s">
        <v>1748</v>
      </c>
      <c r="AC261" s="14" t="s">
        <v>48</v>
      </c>
      <c r="AD261" s="14"/>
    </row>
    <row r="262" spans="1:30" ht="80.099999999999994" customHeight="1">
      <c r="A262" s="5">
        <v>252</v>
      </c>
      <c r="B262" s="12">
        <v>2016</v>
      </c>
      <c r="C262" s="14" t="s">
        <v>65</v>
      </c>
      <c r="D262" s="14" t="str">
        <f>'[1]V, inciso o) (OP)'!C121</f>
        <v>DOPI-MUN-R33-IH-AD-252-2016</v>
      </c>
      <c r="E262" s="13">
        <f>'[1]V, inciso o) (OP)'!V121</f>
        <v>42699</v>
      </c>
      <c r="F262" s="14" t="str">
        <f>'[1]V, inciso o) (OP)'!AA121</f>
        <v>Construcción de línea de agua potable y drenaje sanitario en la calle Panorama, tramo 1, municipio de Zapopan, Jalisco.</v>
      </c>
      <c r="G262" s="14" t="s">
        <v>516</v>
      </c>
      <c r="H262" s="15">
        <f>'[1]V, inciso o) (OP)'!Y121</f>
        <v>1298415.18</v>
      </c>
      <c r="I262" s="14" t="s">
        <v>659</v>
      </c>
      <c r="J262" s="14" t="str">
        <f>'[1]V, inciso o) (OP)'!M121</f>
        <v>JUAN PABLO</v>
      </c>
      <c r="K262" s="12" t="str">
        <f>'[1]V, inciso o) (OP)'!N121</f>
        <v>VERA</v>
      </c>
      <c r="L262" s="12" t="str">
        <f>'[1]V, inciso o) (OP)'!O121</f>
        <v>TAVARES</v>
      </c>
      <c r="M262" s="14" t="str">
        <f>'[1]V, inciso o) (OP)'!P121</f>
        <v>LIZETTE CONSTRUCCIONES, S.A. DE C.V.</v>
      </c>
      <c r="N262" s="12" t="str">
        <f>'[1]V, inciso o) (OP)'!Q121</f>
        <v>LCO080228DN2</v>
      </c>
      <c r="O262" s="15">
        <f>'[1]V, inciso o) (OP)'!Y121</f>
        <v>1298415.18</v>
      </c>
      <c r="P262" s="15">
        <v>861081.85000000009</v>
      </c>
      <c r="Q262" s="12" t="s">
        <v>660</v>
      </c>
      <c r="R262" s="15">
        <f>O262/362.52</f>
        <v>3581.6373717312149</v>
      </c>
      <c r="S262" s="12" t="s">
        <v>42</v>
      </c>
      <c r="T262" s="17">
        <v>98</v>
      </c>
      <c r="U262" s="14" t="s">
        <v>43</v>
      </c>
      <c r="V262" s="12" t="s">
        <v>44</v>
      </c>
      <c r="W262" s="13">
        <f>'[1]V, inciso o) (OP)'!AD121</f>
        <v>42702</v>
      </c>
      <c r="X262" s="13">
        <f>'[1]V, inciso o) (OP)'!AE121</f>
        <v>42792</v>
      </c>
      <c r="Y262" s="12" t="s">
        <v>439</v>
      </c>
      <c r="Z262" s="12" t="s">
        <v>186</v>
      </c>
      <c r="AA262" s="12" t="s">
        <v>92</v>
      </c>
      <c r="AB262" s="8" t="s">
        <v>1749</v>
      </c>
      <c r="AC262" s="14" t="s">
        <v>48</v>
      </c>
      <c r="AD262" s="14"/>
    </row>
    <row r="263" spans="1:30" ht="80.099999999999994" customHeight="1">
      <c r="A263" s="5">
        <v>253</v>
      </c>
      <c r="B263" s="12">
        <v>2016</v>
      </c>
      <c r="C263" s="14" t="s">
        <v>65</v>
      </c>
      <c r="D263" s="14" t="str">
        <f>'[1]V, inciso o) (OP)'!C122</f>
        <v>DOPI-MUN-R33-IH-AD-253-2016</v>
      </c>
      <c r="E263" s="13">
        <f>'[1]V, inciso o) (OP)'!V122</f>
        <v>42699</v>
      </c>
      <c r="F263" s="14" t="str">
        <f>'[1]V, inciso o) (OP)'!AA122</f>
        <v>Construcción de línea de agua potable en la calle 22 de Junio, Privada 12 de Octubre, Prolongación Vicente Guerrero, Privada Niño Artillero 1, Privada Niño Artillero 2; Rehabilitación de drenaje sanitario en la calle Niño Artillero, en la colonia Indígena de Mezquitán I Sección, municipio de Zapopan, Jalisco.</v>
      </c>
      <c r="G263" s="14" t="s">
        <v>516</v>
      </c>
      <c r="H263" s="15">
        <f>'[1]V, inciso o) (OP)'!Y122</f>
        <v>1140318.97</v>
      </c>
      <c r="I263" s="14" t="s">
        <v>661</v>
      </c>
      <c r="J263" s="14" t="str">
        <f>'[1]V, inciso o) (OP)'!M122</f>
        <v xml:space="preserve">RICARDO </v>
      </c>
      <c r="K263" s="12" t="str">
        <f>'[1]V, inciso o) (OP)'!N122</f>
        <v>RIZO</v>
      </c>
      <c r="L263" s="12" t="str">
        <f>'[1]V, inciso o) (OP)'!O122</f>
        <v>SOSA</v>
      </c>
      <c r="M263" s="14" t="str">
        <f>'[1]V, inciso o) (OP)'!P122</f>
        <v>NEOINGENIERIA, S.A. DE C.V.</v>
      </c>
      <c r="N263" s="12" t="str">
        <f>'[1]V, inciso o) (OP)'!Q122</f>
        <v>NEO080722M53</v>
      </c>
      <c r="O263" s="15">
        <f>'[1]V, inciso o) (OP)'!Y122</f>
        <v>1140318.97</v>
      </c>
      <c r="P263" s="15">
        <v>1140318.97</v>
      </c>
      <c r="Q263" s="12" t="s">
        <v>662</v>
      </c>
      <c r="R263" s="15">
        <f>O263/318.38</f>
        <v>3581.6287769332243</v>
      </c>
      <c r="S263" s="12" t="s">
        <v>42</v>
      </c>
      <c r="T263" s="17">
        <v>215</v>
      </c>
      <c r="U263" s="14" t="s">
        <v>43</v>
      </c>
      <c r="V263" s="12" t="s">
        <v>44</v>
      </c>
      <c r="W263" s="13">
        <f>'[1]V, inciso o) (OP)'!AD122</f>
        <v>42702</v>
      </c>
      <c r="X263" s="13">
        <f>'[1]V, inciso o) (OP)'!AE122</f>
        <v>42822</v>
      </c>
      <c r="Y263" s="12" t="s">
        <v>350</v>
      </c>
      <c r="Z263" s="12" t="s">
        <v>351</v>
      </c>
      <c r="AA263" s="12" t="s">
        <v>352</v>
      </c>
      <c r="AB263" s="8" t="s">
        <v>1750</v>
      </c>
      <c r="AC263" s="14" t="s">
        <v>48</v>
      </c>
      <c r="AD263" s="14"/>
    </row>
    <row r="264" spans="1:30" ht="80.099999999999994" customHeight="1">
      <c r="A264" s="5">
        <v>254</v>
      </c>
      <c r="B264" s="12">
        <v>2016</v>
      </c>
      <c r="C264" s="14" t="s">
        <v>65</v>
      </c>
      <c r="D264" s="14" t="str">
        <f>'[1]V, inciso o) (OP)'!C123</f>
        <v>DOPI-MUN-R33-IH-AD-254-2016</v>
      </c>
      <c r="E264" s="13">
        <f>'[1]V, inciso o) (OP)'!V123</f>
        <v>42699</v>
      </c>
      <c r="F264" s="14" t="str">
        <f>'[1]V, inciso o) (OP)'!AA123</f>
        <v>Construcción de línea agua potable en la calle Miguel Hidalgo, de calle Josefa Ortíz De Domínguez a Cerrada, en la colonia Indígena De Mezquitan I Sección, en el municipio de Zapopan, Jalisco.</v>
      </c>
      <c r="G264" s="14" t="s">
        <v>516</v>
      </c>
      <c r="H264" s="15">
        <f>'[1]V, inciso o) (OP)'!Y123</f>
        <v>1010226.87</v>
      </c>
      <c r="I264" s="14" t="s">
        <v>661</v>
      </c>
      <c r="J264" s="14" t="str">
        <f>'[1]V, inciso o) (OP)'!M123</f>
        <v>GABINO</v>
      </c>
      <c r="K264" s="12" t="str">
        <f>'[1]V, inciso o) (OP)'!N123</f>
        <v>MONTUFAR</v>
      </c>
      <c r="L264" s="12" t="str">
        <f>'[1]V, inciso o) (OP)'!O123</f>
        <v>NUÑEZ</v>
      </c>
      <c r="M264" s="14" t="str">
        <f>'[1]V, inciso o) (OP)'!P123</f>
        <v>DI.COB, S.A. DE C.V.</v>
      </c>
      <c r="N264" s="12" t="str">
        <f>'[1]V, inciso o) (OP)'!Q123</f>
        <v>DCO021029737</v>
      </c>
      <c r="O264" s="15">
        <f>'[1]V, inciso o) (OP)'!Y123</f>
        <v>1010226.87</v>
      </c>
      <c r="P264" s="15">
        <v>494464.36</v>
      </c>
      <c r="Q264" s="12" t="s">
        <v>663</v>
      </c>
      <c r="R264" s="15">
        <f>O264/841.71</f>
        <v>1200.2077556403035</v>
      </c>
      <c r="S264" s="12" t="s">
        <v>42</v>
      </c>
      <c r="T264" s="17">
        <v>176</v>
      </c>
      <c r="U264" s="14" t="s">
        <v>43</v>
      </c>
      <c r="V264" s="12" t="s">
        <v>44</v>
      </c>
      <c r="W264" s="13">
        <f>'[1]V, inciso o) (OP)'!AD123</f>
        <v>42702</v>
      </c>
      <c r="X264" s="13">
        <f>'[1]V, inciso o) (OP)'!AE123</f>
        <v>42822</v>
      </c>
      <c r="Y264" s="12" t="s">
        <v>350</v>
      </c>
      <c r="Z264" s="12" t="s">
        <v>351</v>
      </c>
      <c r="AA264" s="12" t="s">
        <v>352</v>
      </c>
      <c r="AB264" s="8" t="s">
        <v>1751</v>
      </c>
      <c r="AC264" s="14" t="s">
        <v>48</v>
      </c>
      <c r="AD264" s="14"/>
    </row>
    <row r="265" spans="1:30" ht="80.099999999999994" customHeight="1">
      <c r="A265" s="5">
        <v>255</v>
      </c>
      <c r="B265" s="12">
        <v>2016</v>
      </c>
      <c r="C265" s="14" t="s">
        <v>65</v>
      </c>
      <c r="D265" s="14" t="str">
        <f>'[1]V, inciso o) (OP)'!C124</f>
        <v>DOPI-MUN-R33-PAV-AD-255-2016</v>
      </c>
      <c r="E265" s="13">
        <f>'[1]V, inciso o) (OP)'!V124</f>
        <v>42699</v>
      </c>
      <c r="F265" s="14" t="str">
        <f>'[1]V, inciso o) (OP)'!AA124</f>
        <v>Construcción de pavimento zamepado en la calle Laureles, de calle Paseo de los Manzanos a calle Palmeras, en la colonia Lomas de Tabachines  I sección, en el municipio de Zapopan, Jalisco. Frente 1</v>
      </c>
      <c r="G265" s="14" t="s">
        <v>516</v>
      </c>
      <c r="H265" s="15">
        <f>'[1]V, inciso o) (OP)'!Y124</f>
        <v>1494784.36</v>
      </c>
      <c r="I265" s="14" t="s">
        <v>93</v>
      </c>
      <c r="J265" s="14" t="str">
        <f>'[1]V, inciso o) (OP)'!M124</f>
        <v>JOSE GILBERTO</v>
      </c>
      <c r="K265" s="12" t="str">
        <f>'[1]V, inciso o) (OP)'!N124</f>
        <v>LUJAN</v>
      </c>
      <c r="L265" s="12" t="str">
        <f>'[1]V, inciso o) (OP)'!O124</f>
        <v>BARAJAS</v>
      </c>
      <c r="M265" s="14" t="str">
        <f>'[1]V, inciso o) (OP)'!P124</f>
        <v>GILCO INGENIERIA, S.A. DE C.V.</v>
      </c>
      <c r="N265" s="12" t="str">
        <f>'[1]V, inciso o) (OP)'!Q124</f>
        <v>GIN1202272F9</v>
      </c>
      <c r="O265" s="15">
        <f>'[1]V, inciso o) (OP)'!Y124</f>
        <v>1494784.36</v>
      </c>
      <c r="P265" s="15">
        <v>1486997.91</v>
      </c>
      <c r="Q265" s="12" t="s">
        <v>664</v>
      </c>
      <c r="R265" s="15">
        <f>O265/1013.31</f>
        <v>1475.1501120091582</v>
      </c>
      <c r="S265" s="12" t="s">
        <v>42</v>
      </c>
      <c r="T265" s="17">
        <v>356</v>
      </c>
      <c r="U265" s="14" t="s">
        <v>43</v>
      </c>
      <c r="V265" s="12" t="s">
        <v>44</v>
      </c>
      <c r="W265" s="13">
        <f>'[1]V, inciso o) (OP)'!AD124</f>
        <v>42702</v>
      </c>
      <c r="X265" s="13">
        <f>'[1]V, inciso o) (OP)'!AE124</f>
        <v>42822</v>
      </c>
      <c r="Y265" s="12" t="s">
        <v>449</v>
      </c>
      <c r="Z265" s="12" t="s">
        <v>450</v>
      </c>
      <c r="AA265" s="12" t="s">
        <v>451</v>
      </c>
      <c r="AB265" s="8" t="s">
        <v>1752</v>
      </c>
      <c r="AC265" s="14" t="s">
        <v>48</v>
      </c>
      <c r="AD265" s="14"/>
    </row>
    <row r="266" spans="1:30" ht="80.099999999999994" customHeight="1">
      <c r="A266" s="5">
        <v>256</v>
      </c>
      <c r="B266" s="12">
        <v>2016</v>
      </c>
      <c r="C266" s="14" t="s">
        <v>65</v>
      </c>
      <c r="D266" s="14" t="str">
        <f>'[1]V, inciso o) (OP)'!C125</f>
        <v>DOPI-MUN-R33-PAV-AD-256-2016</v>
      </c>
      <c r="E266" s="13">
        <f>'[1]V, inciso o) (OP)'!V125</f>
        <v>42699</v>
      </c>
      <c r="F266" s="14" t="str">
        <f>'[1]V, inciso o) (OP)'!AA125</f>
        <v>Pavimentación empedrado zampeado, línea de agua potable y drenaje sanitario,  en la calle Laurel, de calle Abelardo Rodríguez a calle Palmeras y calle Palmeras, de calle Laurel a Cerrada, en la colonia Emiliano Zapata, municipio de Zapopan Jalisco.</v>
      </c>
      <c r="G266" s="14" t="s">
        <v>516</v>
      </c>
      <c r="H266" s="15">
        <f>'[1]V, inciso o) (OP)'!Y125</f>
        <v>1208435.74</v>
      </c>
      <c r="I266" s="14" t="s">
        <v>146</v>
      </c>
      <c r="J266" s="14" t="str">
        <f>'[1]V, inciso o) (OP)'!M125</f>
        <v>AMALIA</v>
      </c>
      <c r="K266" s="12" t="str">
        <f>'[1]V, inciso o) (OP)'!N125</f>
        <v>MORENO</v>
      </c>
      <c r="L266" s="12" t="str">
        <f>'[1]V, inciso o) (OP)'!O125</f>
        <v>MALDONADO</v>
      </c>
      <c r="M266" s="14" t="str">
        <f>'[1]V, inciso o) (OP)'!P125</f>
        <v>GRUPO CONSTRUCTOR LOS MUROS, S.A. DE C.V.</v>
      </c>
      <c r="N266" s="12" t="str">
        <f>'[1]V, inciso o) (OP)'!Q125</f>
        <v>GCM020226F28</v>
      </c>
      <c r="O266" s="15">
        <f>'[1]V, inciso o) (OP)'!Y125</f>
        <v>1208435.74</v>
      </c>
      <c r="P266" s="15">
        <v>1208435.74</v>
      </c>
      <c r="Q266" s="12" t="s">
        <v>665</v>
      </c>
      <c r="R266" s="15">
        <f>O266/819.2</f>
        <v>1475.1412841796873</v>
      </c>
      <c r="S266" s="12" t="s">
        <v>42</v>
      </c>
      <c r="T266" s="17">
        <v>341</v>
      </c>
      <c r="U266" s="14" t="s">
        <v>43</v>
      </c>
      <c r="V266" s="12" t="s">
        <v>44</v>
      </c>
      <c r="W266" s="13">
        <f>'[1]V, inciso o) (OP)'!AD125</f>
        <v>42702</v>
      </c>
      <c r="X266" s="13">
        <f>'[1]V, inciso o) (OP)'!AE125</f>
        <v>42822</v>
      </c>
      <c r="Y266" s="12" t="s">
        <v>449</v>
      </c>
      <c r="Z266" s="12" t="s">
        <v>450</v>
      </c>
      <c r="AA266" s="12" t="s">
        <v>451</v>
      </c>
      <c r="AB266" s="8" t="s">
        <v>1753</v>
      </c>
      <c r="AC266" s="14" t="s">
        <v>48</v>
      </c>
      <c r="AD266" s="14"/>
    </row>
    <row r="267" spans="1:30" ht="80.099999999999994" customHeight="1">
      <c r="A267" s="5">
        <v>257</v>
      </c>
      <c r="B267" s="12">
        <v>2016</v>
      </c>
      <c r="C267" s="14" t="s">
        <v>65</v>
      </c>
      <c r="D267" s="14" t="str">
        <f>'[1]V, inciso o) (OP)'!C126</f>
        <v>DOPI-MUN-R33-PAV-AD-257-2016</v>
      </c>
      <c r="E267" s="13">
        <f>'[1]V, inciso o) (OP)'!V126</f>
        <v>42699</v>
      </c>
      <c r="F267" s="14" t="str">
        <f>'[1]V, inciso o) (OP)'!AA126</f>
        <v>Construcción de pavimento zamepado en la calle Laureles, de calle Paseo de los Manzanos a calle Palmeras, en la colonia Lomas de Tabachines  I sección, en el municipio de Zapopan, Jalisco. Frente 2</v>
      </c>
      <c r="G267" s="14" t="s">
        <v>516</v>
      </c>
      <c r="H267" s="15">
        <f>'[1]V, inciso o) (OP)'!Y126</f>
        <v>1524750.48</v>
      </c>
      <c r="I267" s="14" t="s">
        <v>93</v>
      </c>
      <c r="J267" s="14" t="str">
        <f>'[1]V, inciso o) (OP)'!M126</f>
        <v>JOAQUIN</v>
      </c>
      <c r="K267" s="12" t="str">
        <f>'[1]V, inciso o) (OP)'!N126</f>
        <v>RAMIREZ</v>
      </c>
      <c r="L267" s="12" t="str">
        <f>'[1]V, inciso o) (OP)'!O126</f>
        <v>GALLARDO</v>
      </c>
      <c r="M267" s="14" t="str">
        <f>'[1]V, inciso o) (OP)'!P126</f>
        <v>A. &amp; G. URBANIZADORA, S.A. DE C.V.</v>
      </c>
      <c r="N267" s="12" t="str">
        <f>'[1]V, inciso o) (OP)'!Q126</f>
        <v>AUR100826KX0</v>
      </c>
      <c r="O267" s="15">
        <f>'[1]V, inciso o) (OP)'!Y126</f>
        <v>1524750.48</v>
      </c>
      <c r="P267" s="15">
        <v>1524560.5899999999</v>
      </c>
      <c r="Q267" s="12" t="s">
        <v>666</v>
      </c>
      <c r="R267" s="15">
        <f>O267/1033.62</f>
        <v>1475.1557438904047</v>
      </c>
      <c r="S267" s="12" t="s">
        <v>42</v>
      </c>
      <c r="T267" s="17">
        <v>336</v>
      </c>
      <c r="U267" s="14" t="s">
        <v>43</v>
      </c>
      <c r="V267" s="12" t="s">
        <v>44</v>
      </c>
      <c r="W267" s="13">
        <f>'[1]V, inciso o) (OP)'!AD126</f>
        <v>42702</v>
      </c>
      <c r="X267" s="13">
        <f>'[1]V, inciso o) (OP)'!AE126</f>
        <v>42822</v>
      </c>
      <c r="Y267" s="12" t="s">
        <v>449</v>
      </c>
      <c r="Z267" s="12" t="s">
        <v>450</v>
      </c>
      <c r="AA267" s="12" t="s">
        <v>451</v>
      </c>
      <c r="AB267" s="8" t="s">
        <v>1754</v>
      </c>
      <c r="AC267" s="14" t="s">
        <v>48</v>
      </c>
      <c r="AD267" s="14"/>
    </row>
    <row r="268" spans="1:30" ht="80.099999999999994" customHeight="1">
      <c r="A268" s="5">
        <v>258</v>
      </c>
      <c r="B268" s="12">
        <v>2016</v>
      </c>
      <c r="C268" s="14" t="s">
        <v>65</v>
      </c>
      <c r="D268" s="14" t="str">
        <f>'[1]V, inciso o) (OP)'!C127</f>
        <v>DOPI-MUN-R33-ELE-AD-258-2016</v>
      </c>
      <c r="E268" s="13">
        <f>'[1]V, inciso o) (OP)'!V127</f>
        <v>42699</v>
      </c>
      <c r="F268" s="14" t="str">
        <f>'[1]V, inciso o) (OP)'!AA127</f>
        <v>Alumbrado público en la calle Santa María, de calle Santa María a calle Dolores Rodríguez, calle Dolores Rodríguez de calle Santa María a calle Jalisco, Privada Lagos De Moreno de calle Jalisco al Arroyo, calle Tequila de calle Jalisco al Arroyo, calle Agua Prieta de calle Jalisco al Arroyo, en la colonia Lomas Del Refugio, en el municipio de Zapopan, Jalisco.</v>
      </c>
      <c r="G268" s="14" t="s">
        <v>516</v>
      </c>
      <c r="H268" s="15">
        <f>'[1]V, inciso o) (OP)'!Y127</f>
        <v>1393254.78</v>
      </c>
      <c r="I268" s="14" t="s">
        <v>305</v>
      </c>
      <c r="J268" s="14" t="str">
        <f>'[1]V, inciso o) (OP)'!M127</f>
        <v>JOSE DE JESUS</v>
      </c>
      <c r="K268" s="12" t="str">
        <f>'[1]V, inciso o) (OP)'!N127</f>
        <v>MARQUEZ</v>
      </c>
      <c r="L268" s="12" t="str">
        <f>'[1]V, inciso o) (OP)'!O127</f>
        <v>AVILA</v>
      </c>
      <c r="M268" s="14" t="str">
        <f>'[1]V, inciso o) (OP)'!P127</f>
        <v>FUTUROBRAS, S.A. DE C.V.</v>
      </c>
      <c r="N268" s="12" t="str">
        <f>'[1]V, inciso o) (OP)'!Q127</f>
        <v>FUT1110275V9</v>
      </c>
      <c r="O268" s="15">
        <f>'[1]V, inciso o) (OP)'!Y127</f>
        <v>1393254.78</v>
      </c>
      <c r="P268" s="15">
        <v>745754.16999999993</v>
      </c>
      <c r="Q268" s="12" t="s">
        <v>667</v>
      </c>
      <c r="R268" s="15">
        <f>O268/1210</f>
        <v>1151.4502314049587</v>
      </c>
      <c r="S268" s="12" t="s">
        <v>42</v>
      </c>
      <c r="T268" s="17">
        <v>298</v>
      </c>
      <c r="U268" s="14" t="s">
        <v>43</v>
      </c>
      <c r="V268" s="12" t="s">
        <v>44</v>
      </c>
      <c r="W268" s="13">
        <f>'[1]V, inciso o) (OP)'!AD127</f>
        <v>42702</v>
      </c>
      <c r="X268" s="13">
        <f>'[1]V, inciso o) (OP)'!AE127</f>
        <v>42852</v>
      </c>
      <c r="Y268" s="12" t="s">
        <v>408</v>
      </c>
      <c r="Z268" s="12" t="s">
        <v>301</v>
      </c>
      <c r="AA268" s="12" t="s">
        <v>518</v>
      </c>
      <c r="AB268" s="8" t="s">
        <v>1755</v>
      </c>
      <c r="AC268" s="14" t="s">
        <v>48</v>
      </c>
      <c r="AD268" s="14"/>
    </row>
    <row r="269" spans="1:30" ht="80.099999999999994" customHeight="1">
      <c r="A269" s="5">
        <v>259</v>
      </c>
      <c r="B269" s="12">
        <v>2016</v>
      </c>
      <c r="C269" s="14" t="s">
        <v>65</v>
      </c>
      <c r="D269" s="14" t="str">
        <f>'[1]V, inciso o) (OP)'!C128</f>
        <v>DOPI-MUN-R33-ELE-AD-259-2016</v>
      </c>
      <c r="E269" s="13">
        <f>'[1]V, inciso o) (OP)'!V128</f>
        <v>42710</v>
      </c>
      <c r="F269" s="14" t="str">
        <f>'[1]V, inciso o) (OP)'!AA128</f>
        <v>Electrificación y alumbrado público en calle Latón, de calle Platino a calle Centenario, calle Limonita, de calle Níquel al Arroyo y calle Uranio, de calle Río Bajo al arroyo, en la colonia Arenales Tapatíos II, en el municipio de Zapopan, Jalisco.</v>
      </c>
      <c r="G269" s="14" t="s">
        <v>516</v>
      </c>
      <c r="H269" s="15">
        <f>'[1]V, inciso o) (OP)'!Y128</f>
        <v>992115.87</v>
      </c>
      <c r="I269" s="14" t="s">
        <v>668</v>
      </c>
      <c r="J269" s="14" t="str">
        <f>'[1]V, inciso o) (OP)'!M128</f>
        <v>RODRIGO</v>
      </c>
      <c r="K269" s="12" t="str">
        <f>'[1]V, inciso o) (OP)'!N128</f>
        <v>SOLIS</v>
      </c>
      <c r="L269" s="12" t="str">
        <f>'[1]V, inciso o) (OP)'!O128</f>
        <v>RUIZ</v>
      </c>
      <c r="M269" s="14" t="str">
        <f>'[1]V, inciso o) (OP)'!P128</f>
        <v>EQUIPO MANTENIMIENTO Y PLANEACION ELECTRICA, S.A. DE C.V.</v>
      </c>
      <c r="N269" s="12" t="str">
        <f>'[1]V, inciso o) (OP)'!Q128</f>
        <v>EMP080630FL0</v>
      </c>
      <c r="O269" s="15">
        <f>'[1]V, inciso o) (OP)'!Y128</f>
        <v>992115.87</v>
      </c>
      <c r="P269" s="15">
        <v>275939.83</v>
      </c>
      <c r="Q269" s="12" t="s">
        <v>669</v>
      </c>
      <c r="R269" s="15">
        <f>O269/870</f>
        <v>1140.3630689655172</v>
      </c>
      <c r="S269" s="12" t="s">
        <v>42</v>
      </c>
      <c r="T269" s="17">
        <v>586</v>
      </c>
      <c r="U269" s="14" t="s">
        <v>43</v>
      </c>
      <c r="V269" s="12" t="s">
        <v>44</v>
      </c>
      <c r="W269" s="13">
        <f>'[1]V, inciso o) (OP)'!AD128</f>
        <v>42711</v>
      </c>
      <c r="X269" s="13">
        <f>'[1]V, inciso o) (OP)'!AE128</f>
        <v>42794</v>
      </c>
      <c r="Y269" s="12" t="s">
        <v>408</v>
      </c>
      <c r="Z269" s="12" t="s">
        <v>301</v>
      </c>
      <c r="AA269" s="12" t="s">
        <v>518</v>
      </c>
      <c r="AB269" s="8" t="s">
        <v>1756</v>
      </c>
      <c r="AC269" s="14" t="s">
        <v>48</v>
      </c>
      <c r="AD269" s="14"/>
    </row>
    <row r="270" spans="1:30" ht="80.099999999999994" customHeight="1">
      <c r="A270" s="5">
        <v>260</v>
      </c>
      <c r="B270" s="12">
        <v>2016</v>
      </c>
      <c r="C270" s="14" t="s">
        <v>65</v>
      </c>
      <c r="D270" s="14" t="str">
        <f>'[1]V, inciso o) (OP)'!C129</f>
        <v>DOPI-MUN-R33-ELE-AD-260-2016</v>
      </c>
      <c r="E270" s="13">
        <f>'[1]V, inciso o) (OP)'!V129</f>
        <v>42710</v>
      </c>
      <c r="F270" s="14" t="str">
        <f>'[1]V, inciso o) (OP)'!AA129</f>
        <v xml:space="preserve">Electrificación de pozo, en la localidad Los Patios, en el municipio de Zapopan, Jalisco. </v>
      </c>
      <c r="G270" s="14" t="s">
        <v>516</v>
      </c>
      <c r="H270" s="15">
        <f>'[1]V, inciso o) (OP)'!Y129</f>
        <v>1502368.1</v>
      </c>
      <c r="I270" s="14" t="s">
        <v>657</v>
      </c>
      <c r="J270" s="14" t="str">
        <f>'[1]V, inciso o) (OP)'!M129</f>
        <v>FAUSTO</v>
      </c>
      <c r="K270" s="12" t="str">
        <f>'[1]V, inciso o) (OP)'!N129</f>
        <v>GARNICA</v>
      </c>
      <c r="L270" s="12" t="str">
        <f>'[1]V, inciso o) (OP)'!O129</f>
        <v>PADILLA</v>
      </c>
      <c r="M270" s="14" t="str">
        <f>'[1]V, inciso o) (OP)'!P129</f>
        <v>FAUSTO GARNICA PADILLA</v>
      </c>
      <c r="N270" s="12" t="str">
        <f>'[1]V, inciso o) (OP)'!Q129</f>
        <v>GAPF5912193V9</v>
      </c>
      <c r="O270" s="15">
        <f>'[1]V, inciso o) (OP)'!Y129</f>
        <v>1502368.1</v>
      </c>
      <c r="P270" s="15">
        <v>1467937.01</v>
      </c>
      <c r="Q270" s="12" t="s">
        <v>52</v>
      </c>
      <c r="R270" s="15">
        <f>O270</f>
        <v>1502368.1</v>
      </c>
      <c r="S270" s="12" t="s">
        <v>42</v>
      </c>
      <c r="T270" s="17">
        <v>39</v>
      </c>
      <c r="U270" s="14" t="s">
        <v>43</v>
      </c>
      <c r="V270" s="12" t="s">
        <v>44</v>
      </c>
      <c r="W270" s="13">
        <f>'[1]V, inciso o) (OP)'!AD129</f>
        <v>42711</v>
      </c>
      <c r="X270" s="13">
        <f>'[1]V, inciso o) (OP)'!AE129</f>
        <v>42861</v>
      </c>
      <c r="Y270" s="12" t="s">
        <v>408</v>
      </c>
      <c r="Z270" s="12" t="s">
        <v>301</v>
      </c>
      <c r="AA270" s="12" t="s">
        <v>518</v>
      </c>
      <c r="AB270" s="8" t="s">
        <v>1757</v>
      </c>
      <c r="AC270" s="14" t="s">
        <v>48</v>
      </c>
      <c r="AD270" s="14"/>
    </row>
    <row r="271" spans="1:30" ht="80.099999999999994" customHeight="1">
      <c r="A271" s="5">
        <v>261</v>
      </c>
      <c r="B271" s="12">
        <v>2016</v>
      </c>
      <c r="C271" s="14" t="s">
        <v>65</v>
      </c>
      <c r="D271" s="14" t="str">
        <f>'[1]V, inciso o) (OP)'!C130</f>
        <v>DOPI-MUN-R33-IH-AD-261-2016</v>
      </c>
      <c r="E271" s="13">
        <f>'[1]V, inciso o) (OP)'!V130</f>
        <v>42710</v>
      </c>
      <c r="F271" s="14" t="str">
        <f>'[1]V, inciso o) (OP)'!AA130</f>
        <v>Construcción de línea de drenaje sanitario en la calle Rosal, de calle Colorines a calle Jazmín, en la colonia Floresta Del Collí; Obra complementaria de la línea de agua potable, en la colonia Misión San Genaro (Nuevo México), en el municipio de Zapopan Jalisco.</v>
      </c>
      <c r="G271" s="14" t="s">
        <v>516</v>
      </c>
      <c r="H271" s="15">
        <f>'[1]V, inciso o) (OP)'!Y130</f>
        <v>560225.48</v>
      </c>
      <c r="I271" s="14" t="s">
        <v>670</v>
      </c>
      <c r="J271" s="14" t="str">
        <f>'[1]V, inciso o) (OP)'!M130</f>
        <v>MADELEINE</v>
      </c>
      <c r="K271" s="12" t="str">
        <f>'[1]V, inciso o) (OP)'!N130</f>
        <v xml:space="preserve">GARZA </v>
      </c>
      <c r="L271" s="12" t="str">
        <f>'[1]V, inciso o) (OP)'!O130</f>
        <v>ESTRADA</v>
      </c>
      <c r="M271" s="14" t="str">
        <f>'[1]V, inciso o) (OP)'!P130</f>
        <v>SINERGIA URBANA, S.A. DE C.V.</v>
      </c>
      <c r="N271" s="12" t="str">
        <f>'[1]V, inciso o) (OP)'!Q130</f>
        <v>SUR091203ERA</v>
      </c>
      <c r="O271" s="15">
        <f>'[1]V, inciso o) (OP)'!Y130</f>
        <v>560225.48</v>
      </c>
      <c r="P271" s="15">
        <v>448578.52</v>
      </c>
      <c r="Q271" s="12" t="s">
        <v>671</v>
      </c>
      <c r="R271" s="15">
        <f>O271/112</f>
        <v>5002.0132142857137</v>
      </c>
      <c r="S271" s="12" t="s">
        <v>42</v>
      </c>
      <c r="T271" s="17">
        <v>125</v>
      </c>
      <c r="U271" s="14" t="s">
        <v>43</v>
      </c>
      <c r="V271" s="12" t="s">
        <v>44</v>
      </c>
      <c r="W271" s="13">
        <f>'[1]V, inciso o) (OP)'!AD130</f>
        <v>42711</v>
      </c>
      <c r="X271" s="13">
        <f>'[1]V, inciso o) (OP)'!AE130</f>
        <v>42771</v>
      </c>
      <c r="Y271" s="12" t="s">
        <v>328</v>
      </c>
      <c r="Z271" s="12" t="s">
        <v>236</v>
      </c>
      <c r="AA271" s="12" t="s">
        <v>147</v>
      </c>
      <c r="AB271" s="8" t="s">
        <v>1758</v>
      </c>
      <c r="AC271" s="14" t="s">
        <v>48</v>
      </c>
      <c r="AD271" s="14"/>
    </row>
    <row r="272" spans="1:30" ht="80.099999999999994" customHeight="1">
      <c r="A272" s="5">
        <v>262</v>
      </c>
      <c r="B272" s="12">
        <v>2016</v>
      </c>
      <c r="C272" s="14" t="s">
        <v>65</v>
      </c>
      <c r="D272" s="14" t="str">
        <f>'[1]V, inciso o) (OP)'!C131</f>
        <v>DOPI-MUN-R33-IH-AD-262-2016</v>
      </c>
      <c r="E272" s="13">
        <f>'[1]V, inciso o) (OP)'!V131</f>
        <v>42713</v>
      </c>
      <c r="F272" s="14" t="str">
        <f>'[1]V, inciso o) (OP)'!AA131</f>
        <v>Construcción de línea de agua potable en la calle Tuna, de calle Carlos Herrera Jasso a calle Vista Hermosa, calle vista al poniente, de calle Carlos Herrera Jasso a calle Vista Hermosa, calle Vista Sur, de calle Vista Bonita a calle Vista Alta  y calle Vista Rivera, de calle Vista Bonita a calle Vista Alta, en la colonia Vista Hermosa, en el municipio de Zapopan Jalisco</v>
      </c>
      <c r="G272" s="14" t="s">
        <v>516</v>
      </c>
      <c r="H272" s="15">
        <f>'[1]V, inciso o) (OP)'!Y131</f>
        <v>1337560.18</v>
      </c>
      <c r="I272" s="14" t="s">
        <v>88</v>
      </c>
      <c r="J272" s="14" t="str">
        <f>'[1]V, inciso o) (OP)'!M131</f>
        <v>JUAN</v>
      </c>
      <c r="K272" s="12" t="str">
        <f>'[1]V, inciso o) (OP)'!N131</f>
        <v>PADILLA</v>
      </c>
      <c r="L272" s="12" t="str">
        <f>'[1]V, inciso o) (OP)'!O131</f>
        <v>AILHAUD</v>
      </c>
      <c r="M272" s="14" t="str">
        <f>'[1]V, inciso o) (OP)'!P131</f>
        <v>TRAMA CONSTRUCTORA Y MAQUINARIA, S.A. DE C.V.</v>
      </c>
      <c r="N272" s="12" t="str">
        <f>'[1]V, inciso o) (OP)'!Q131</f>
        <v>TCM0111148H5</v>
      </c>
      <c r="O272" s="15">
        <f>'[1]V, inciso o) (OP)'!Y131</f>
        <v>1337560.18</v>
      </c>
      <c r="P272" s="15">
        <v>1015784.47</v>
      </c>
      <c r="Q272" s="12" t="s">
        <v>672</v>
      </c>
      <c r="R272" s="15">
        <f>O272/1114.44</f>
        <v>1200.2083378198915</v>
      </c>
      <c r="S272" s="12" t="s">
        <v>42</v>
      </c>
      <c r="T272" s="17">
        <v>221</v>
      </c>
      <c r="U272" s="14" t="s">
        <v>43</v>
      </c>
      <c r="V272" s="12" t="s">
        <v>44</v>
      </c>
      <c r="W272" s="13">
        <f>'[1]V, inciso o) (OP)'!AD131</f>
        <v>42716</v>
      </c>
      <c r="X272" s="13">
        <f>'[1]V, inciso o) (OP)'!AE131</f>
        <v>42806</v>
      </c>
      <c r="Y272" s="12" t="s">
        <v>439</v>
      </c>
      <c r="Z272" s="12" t="s">
        <v>186</v>
      </c>
      <c r="AA272" s="12" t="s">
        <v>92</v>
      </c>
      <c r="AB272" s="8" t="s">
        <v>1759</v>
      </c>
      <c r="AC272" s="14" t="s">
        <v>48</v>
      </c>
      <c r="AD272" s="14"/>
    </row>
    <row r="273" spans="1:30" ht="80.099999999999994" customHeight="1">
      <c r="A273" s="5">
        <v>263</v>
      </c>
      <c r="B273" s="12">
        <v>2016</v>
      </c>
      <c r="C273" s="14" t="s">
        <v>65</v>
      </c>
      <c r="D273" s="14" t="str">
        <f>'[1]V, inciso o) (OP)'!C132</f>
        <v>DOPI-MUN-R33-PAV-AD-263-2016</v>
      </c>
      <c r="E273" s="13">
        <f>'[1]V, inciso o) (OP)'!V132</f>
        <v>42713</v>
      </c>
      <c r="F273" s="14" t="str">
        <f>'[1]V, inciso o) (OP)'!AA132</f>
        <v>Pavimentación con empedrado zampeado de la calle El Salto, de calle Fernando Montes De Oca a calle Valentín Gómez Farías; Construcción de Andador en la calle El Salto de la calle Valentín Gómez Farías al Arroyo, municipio de Zapopan, Jalisco</v>
      </c>
      <c r="G273" s="14" t="s">
        <v>516</v>
      </c>
      <c r="H273" s="15">
        <f>'[1]V, inciso o) (OP)'!Y132</f>
        <v>1510487.16</v>
      </c>
      <c r="I273" s="14" t="s">
        <v>661</v>
      </c>
      <c r="J273" s="14" t="str">
        <f>'[1]V, inciso o) (OP)'!M132</f>
        <v>ROBERTO</v>
      </c>
      <c r="K273" s="12" t="str">
        <f>'[1]V, inciso o) (OP)'!N132</f>
        <v>FLORES</v>
      </c>
      <c r="L273" s="12" t="str">
        <f>'[1]V, inciso o) (OP)'!O132</f>
        <v>ARREOLA</v>
      </c>
      <c r="M273" s="14" t="str">
        <f>'[1]V, inciso o) (OP)'!P132</f>
        <v>ESTUDIOS SISTEMAS Y CONSTRUCCIONES, S.A. DE C.V.</v>
      </c>
      <c r="N273" s="12" t="str">
        <f>'[1]V, inciso o) (OP)'!Q132</f>
        <v>ESC930617KW9</v>
      </c>
      <c r="O273" s="15">
        <f>'[1]V, inciso o) (OP)'!Y132</f>
        <v>1510487.16</v>
      </c>
      <c r="P273" s="15">
        <v>1510487.16</v>
      </c>
      <c r="Q273" s="12" t="s">
        <v>673</v>
      </c>
      <c r="R273" s="15">
        <f>O273/727.89</f>
        <v>2075.1585541771419</v>
      </c>
      <c r="S273" s="12" t="s">
        <v>42</v>
      </c>
      <c r="T273" s="17">
        <v>352</v>
      </c>
      <c r="U273" s="14" t="s">
        <v>43</v>
      </c>
      <c r="V273" s="12" t="s">
        <v>44</v>
      </c>
      <c r="W273" s="13">
        <f>'[1]V, inciso o) (OP)'!AD132</f>
        <v>42716</v>
      </c>
      <c r="X273" s="13">
        <f>'[1]V, inciso o) (OP)'!AE132</f>
        <v>42836</v>
      </c>
      <c r="Y273" s="12" t="s">
        <v>449</v>
      </c>
      <c r="Z273" s="12" t="s">
        <v>450</v>
      </c>
      <c r="AA273" s="12" t="s">
        <v>451</v>
      </c>
      <c r="AB273" s="8" t="s">
        <v>1760</v>
      </c>
      <c r="AC273" s="14" t="s">
        <v>48</v>
      </c>
      <c r="AD273" s="14"/>
    </row>
    <row r="274" spans="1:30" ht="80.099999999999994" customHeight="1">
      <c r="A274" s="5">
        <v>264</v>
      </c>
      <c r="B274" s="12">
        <v>2016</v>
      </c>
      <c r="C274" s="14" t="s">
        <v>65</v>
      </c>
      <c r="D274" s="14" t="str">
        <f>'[1]V, inciso o) (OP)'!C133</f>
        <v>DOPI-MUN-R33 BAN-AD-264-2016</v>
      </c>
      <c r="E274" s="13">
        <f>'[1]V, inciso o) (OP)'!V133</f>
        <v>42713</v>
      </c>
      <c r="F274" s="14" t="str">
        <f>'[1]V, inciso o) (OP)'!AA133</f>
        <v>Construcción de puente peatonal en el cruce de la calle Albañiles y calle Mirador, en la colonia Cabañitas, municipio de Zapopan, Jalisco.</v>
      </c>
      <c r="G274" s="14" t="s">
        <v>516</v>
      </c>
      <c r="H274" s="15">
        <f>'[1]V, inciso o) (OP)'!Y133</f>
        <v>1495874.33</v>
      </c>
      <c r="I274" s="14" t="s">
        <v>674</v>
      </c>
      <c r="J274" s="14" t="str">
        <f>'[1]V, inciso o) (OP)'!M133</f>
        <v>BRUNO</v>
      </c>
      <c r="K274" s="12" t="str">
        <f>'[1]V, inciso o) (OP)'!N133</f>
        <v>RUIZ</v>
      </c>
      <c r="L274" s="12" t="str">
        <f>'[1]V, inciso o) (OP)'!O133</f>
        <v>CASTAÑEDA</v>
      </c>
      <c r="M274" s="14" t="str">
        <f>'[1]V, inciso o) (OP)'!P133</f>
        <v>SERVICIOS DE INGENIERIA APLICADA, S.A. DE C.V.</v>
      </c>
      <c r="N274" s="12" t="str">
        <f>'[1]V, inciso o) (OP)'!Q133</f>
        <v>SIA011224UN1</v>
      </c>
      <c r="O274" s="15">
        <f>'[1]V, inciso o) (OP)'!Y133</f>
        <v>1495874.33</v>
      </c>
      <c r="P274" s="15">
        <v>1488439.4000000001</v>
      </c>
      <c r="Q274" s="12" t="s">
        <v>675</v>
      </c>
      <c r="R274" s="15">
        <f>O274/20</f>
        <v>74793.71650000001</v>
      </c>
      <c r="S274" s="12" t="s">
        <v>42</v>
      </c>
      <c r="T274" s="17">
        <v>600</v>
      </c>
      <c r="U274" s="14" t="s">
        <v>43</v>
      </c>
      <c r="V274" s="12" t="s">
        <v>44</v>
      </c>
      <c r="W274" s="13">
        <f>'[1]V, inciso o) (OP)'!AD133</f>
        <v>42716</v>
      </c>
      <c r="X274" s="13">
        <f>'[1]V, inciso o) (OP)'!AE133</f>
        <v>42836</v>
      </c>
      <c r="Y274" s="12" t="s">
        <v>449</v>
      </c>
      <c r="Z274" s="12" t="s">
        <v>450</v>
      </c>
      <c r="AA274" s="12" t="s">
        <v>451</v>
      </c>
      <c r="AB274" s="8" t="s">
        <v>1761</v>
      </c>
      <c r="AC274" s="14" t="s">
        <v>48</v>
      </c>
      <c r="AD274" s="14"/>
    </row>
    <row r="275" spans="1:30" ht="80.099999999999994" customHeight="1">
      <c r="A275" s="5">
        <v>265</v>
      </c>
      <c r="B275" s="12">
        <v>2016</v>
      </c>
      <c r="C275" s="14" t="s">
        <v>65</v>
      </c>
      <c r="D275" s="14" t="str">
        <f>'[1]V, inciso o) (OP)'!C134</f>
        <v>DOPI-MUN-R33-ELE-AD-265-2016</v>
      </c>
      <c r="E275" s="13">
        <f>'[1]V, inciso o) (OP)'!V134</f>
        <v>42713</v>
      </c>
      <c r="F275" s="14" t="str">
        <f>'[1]V, inciso o) (OP)'!AA134</f>
        <v>Electrificación en la calle La Sidra, de calle Naranjo a 700 m,  en la localidad San Esteban,  en el municipio de Zapopan, Jalisco.</v>
      </c>
      <c r="G275" s="14" t="s">
        <v>516</v>
      </c>
      <c r="H275" s="15">
        <f>'[1]V, inciso o) (OP)'!Y134</f>
        <v>1475654.13</v>
      </c>
      <c r="I275" s="14" t="s">
        <v>676</v>
      </c>
      <c r="J275" s="14" t="str">
        <f>'[1]V, inciso o) (OP)'!M134</f>
        <v xml:space="preserve">HÉCTOR ALEJANDRO </v>
      </c>
      <c r="K275" s="12" t="str">
        <f>'[1]V, inciso o) (OP)'!N134</f>
        <v xml:space="preserve">ORTEGA </v>
      </c>
      <c r="L275" s="12" t="str">
        <f>'[1]V, inciso o) (OP)'!O134</f>
        <v>ROSALES</v>
      </c>
      <c r="M275" s="14" t="str">
        <f>'[1]V, inciso o) (OP)'!P134</f>
        <v>IME SERVICIOS Y SUMINISTROS, S.A. DE C.V.</v>
      </c>
      <c r="N275" s="12" t="str">
        <f>'[1]V, inciso o) (OP)'!Q134</f>
        <v>ISS920330811</v>
      </c>
      <c r="O275" s="15">
        <f>'[1]V, inciso o) (OP)'!Y134</f>
        <v>1475654.13</v>
      </c>
      <c r="P275" s="15">
        <v>1473400.84</v>
      </c>
      <c r="Q275" s="12" t="s">
        <v>677</v>
      </c>
      <c r="R275" s="15">
        <f>O275/1285</f>
        <v>1148.3689727626459</v>
      </c>
      <c r="S275" s="12" t="s">
        <v>42</v>
      </c>
      <c r="T275" s="17">
        <v>3726</v>
      </c>
      <c r="U275" s="14" t="s">
        <v>43</v>
      </c>
      <c r="V275" s="12" t="s">
        <v>44</v>
      </c>
      <c r="W275" s="13">
        <f>'[1]V, inciso o) (OP)'!AD134</f>
        <v>42716</v>
      </c>
      <c r="X275" s="13">
        <f>'[1]V, inciso o) (OP)'!AE134</f>
        <v>42866</v>
      </c>
      <c r="Y275" s="12" t="s">
        <v>408</v>
      </c>
      <c r="Z275" s="12" t="s">
        <v>301</v>
      </c>
      <c r="AA275" s="12" t="s">
        <v>518</v>
      </c>
      <c r="AB275" s="8" t="s">
        <v>1762</v>
      </c>
      <c r="AC275" s="14" t="s">
        <v>48</v>
      </c>
      <c r="AD275" s="14"/>
    </row>
    <row r="276" spans="1:30" ht="80.099999999999994" customHeight="1">
      <c r="A276" s="5">
        <v>266</v>
      </c>
      <c r="B276" s="12">
        <v>2016</v>
      </c>
      <c r="C276" s="14" t="s">
        <v>65</v>
      </c>
      <c r="D276" s="14" t="str">
        <f>'[1]V, inciso o) (OP)'!C135</f>
        <v>DOPI-MUN-R33-ELE-AD-266-2016</v>
      </c>
      <c r="E276" s="13">
        <f>'[1]V, inciso o) (OP)'!V135</f>
        <v>42713</v>
      </c>
      <c r="F276" s="14" t="str">
        <f>'[1]V, inciso o) (OP)'!AA135</f>
        <v xml:space="preserve">Línea de electrificación de pozo, en la localidad Milpillas Mesa De San Juan, en el municipio de Zapopan, Jalisco. </v>
      </c>
      <c r="G276" s="14" t="s">
        <v>516</v>
      </c>
      <c r="H276" s="15">
        <f>'[1]V, inciso o) (OP)'!Y135</f>
        <v>1497365.47</v>
      </c>
      <c r="I276" s="14" t="s">
        <v>678</v>
      </c>
      <c r="J276" s="14" t="str">
        <f>'[1]V, inciso o) (OP)'!M135</f>
        <v>JOSUE FERNANDO RAFAEL</v>
      </c>
      <c r="K276" s="12" t="str">
        <f>'[1]V, inciso o) (OP)'!N135</f>
        <v>ESCANES</v>
      </c>
      <c r="L276" s="12" t="str">
        <f>'[1]V, inciso o) (OP)'!O135</f>
        <v>TAMES</v>
      </c>
      <c r="M276" s="14" t="str">
        <f>'[1]V, inciso o) (OP)'!P135</f>
        <v>JALCO ILUMINACION, S.A. DE C.V.</v>
      </c>
      <c r="N276" s="12" t="str">
        <f>'[1]V, inciso o) (OP)'!Q135</f>
        <v>JIL9410139F9</v>
      </c>
      <c r="O276" s="15">
        <f>'[1]V, inciso o) (OP)'!Y135</f>
        <v>1497365.47</v>
      </c>
      <c r="P276" s="15">
        <v>1497365.46</v>
      </c>
      <c r="Q276" s="12" t="s">
        <v>52</v>
      </c>
      <c r="R276" s="15">
        <f>O276</f>
        <v>1497365.47</v>
      </c>
      <c r="S276" s="12" t="s">
        <v>42</v>
      </c>
      <c r="T276" s="17">
        <v>86</v>
      </c>
      <c r="U276" s="14" t="s">
        <v>43</v>
      </c>
      <c r="V276" s="12" t="s">
        <v>44</v>
      </c>
      <c r="W276" s="13">
        <f>'[1]V, inciso o) (OP)'!AD135</f>
        <v>42716</v>
      </c>
      <c r="X276" s="13">
        <f>'[1]V, inciso o) (OP)'!AE135</f>
        <v>42866</v>
      </c>
      <c r="Y276" s="12" t="s">
        <v>408</v>
      </c>
      <c r="Z276" s="12" t="s">
        <v>301</v>
      </c>
      <c r="AA276" s="12" t="s">
        <v>518</v>
      </c>
      <c r="AB276" s="8" t="s">
        <v>1763</v>
      </c>
      <c r="AC276" s="14" t="s">
        <v>48</v>
      </c>
      <c r="AD276" s="14"/>
    </row>
    <row r="277" spans="1:30" ht="80.099999999999994" customHeight="1">
      <c r="A277" s="5">
        <v>267</v>
      </c>
      <c r="B277" s="12">
        <v>2016</v>
      </c>
      <c r="C277" s="14" t="s">
        <v>65</v>
      </c>
      <c r="D277" s="14" t="str">
        <f>'[1]V, inciso o) (OP)'!C136</f>
        <v>DOPI-MUN-RM-IM-AD-267-2016</v>
      </c>
      <c r="E277" s="13">
        <f>'[1]V, inciso o) (OP)'!V136</f>
        <v>42713</v>
      </c>
      <c r="F277" s="14" t="str">
        <f>'[1]V, inciso o) (OP)'!AA136</f>
        <v>Rehabilitación de carpintería, instalación eléctrica, hidráulica, sanitaria, estructuras de protección de rayos ultravioleta, pisos, y albañilería en el Centro de Desarrollo Infantil del DIF No. 3 Irene Robledo García, ubicado en la colonia Fovissste, municipio de Zapopa</v>
      </c>
      <c r="G277" s="14" t="s">
        <v>111</v>
      </c>
      <c r="H277" s="15">
        <f>'[1]V, inciso o) (OP)'!Y136</f>
        <v>1390897.36</v>
      </c>
      <c r="I277" s="14" t="s">
        <v>679</v>
      </c>
      <c r="J277" s="14" t="str">
        <f>'[1]V, inciso o) (OP)'!M136</f>
        <v xml:space="preserve">RAFAEL </v>
      </c>
      <c r="K277" s="12" t="str">
        <f>'[1]V, inciso o) (OP)'!N136</f>
        <v>ARREGUIN</v>
      </c>
      <c r="L277" s="12" t="str">
        <f>'[1]V, inciso o) (OP)'!O136</f>
        <v>RENTERIA</v>
      </c>
      <c r="M277" s="14" t="str">
        <f>'[1]V, inciso o) (OP)'!P136</f>
        <v xml:space="preserve">ARH DESARROLLOS INMOBILIARIOS, S.A. DE C.V. </v>
      </c>
      <c r="N277" s="12" t="str">
        <f>'[1]V, inciso o) (OP)'!Q136</f>
        <v>ADI130522MB7</v>
      </c>
      <c r="O277" s="15">
        <f>'[1]V, inciso o) (OP)'!Y136</f>
        <v>1390897.36</v>
      </c>
      <c r="P277" s="15">
        <v>1390897.3599999999</v>
      </c>
      <c r="Q277" s="12" t="s">
        <v>680</v>
      </c>
      <c r="R277" s="15">
        <f>O277/1380</f>
        <v>1007.8966376811595</v>
      </c>
      <c r="S277" s="12" t="s">
        <v>42</v>
      </c>
      <c r="T277" s="17">
        <v>1263</v>
      </c>
      <c r="U277" s="14" t="s">
        <v>43</v>
      </c>
      <c r="V277" s="12" t="s">
        <v>44</v>
      </c>
      <c r="W277" s="13">
        <f>'[1]V, inciso o) (OP)'!AD136</f>
        <v>42716</v>
      </c>
      <c r="X277" s="13">
        <f>'[1]V, inciso o) (OP)'!AE136</f>
        <v>42746</v>
      </c>
      <c r="Y277" s="12" t="s">
        <v>611</v>
      </c>
      <c r="Z277" s="12" t="s">
        <v>312</v>
      </c>
      <c r="AA277" s="12" t="s">
        <v>64</v>
      </c>
      <c r="AB277" s="8" t="s">
        <v>1764</v>
      </c>
      <c r="AC277" s="14" t="s">
        <v>48</v>
      </c>
      <c r="AD277" s="14"/>
    </row>
    <row r="278" spans="1:30" ht="80.099999999999994" customHeight="1">
      <c r="A278" s="5">
        <v>268</v>
      </c>
      <c r="B278" s="12">
        <v>2016</v>
      </c>
      <c r="C278" s="14" t="s">
        <v>65</v>
      </c>
      <c r="D278" s="14" t="str">
        <f>'[1]V, inciso o) (OP)'!C137</f>
        <v>DOPI-MUN-RM-IM-AD-268-2016</v>
      </c>
      <c r="E278" s="13">
        <f>'[1]V, inciso o) (OP)'!V137</f>
        <v>42713</v>
      </c>
      <c r="F278" s="14" t="str">
        <f>'[1]V, inciso o) (OP)'!AA137</f>
        <v>Rehabilitación de carpintería, instalación eléctrica, hidráulica, sanitaria, estructuras de protección de rayos ultravioleta, pisos, juegos infantiles y albañilería en el Centro de Desarrollo Infantil del DIF No. 4 Melvin Jones, ubicado en la colonia Jardines del Sol, municipio de Zapopan, Jalisco</v>
      </c>
      <c r="G278" s="14" t="s">
        <v>111</v>
      </c>
      <c r="H278" s="15">
        <f>'[1]V, inciso o) (OP)'!Y137</f>
        <v>1472678.88</v>
      </c>
      <c r="I278" s="14" t="s">
        <v>681</v>
      </c>
      <c r="J278" s="14" t="str">
        <f>'[1]V, inciso o) (OP)'!M137</f>
        <v xml:space="preserve">GUILLERMO </v>
      </c>
      <c r="K278" s="12" t="str">
        <f>'[1]V, inciso o) (OP)'!N137</f>
        <v>RODRIGUEZ</v>
      </c>
      <c r="L278" s="12" t="str">
        <f>'[1]V, inciso o) (OP)'!O137</f>
        <v>MEZA</v>
      </c>
      <c r="M278" s="14" t="str">
        <f>'[1]V, inciso o) (OP)'!P137</f>
        <v>CORPORATIVO ALMIRA DE JALISCO, S.A. DE C.V.</v>
      </c>
      <c r="N278" s="12" t="str">
        <f>'[1]V, inciso o) (OP)'!Q137</f>
        <v>CAJ1208151M8</v>
      </c>
      <c r="O278" s="15">
        <f>'[1]V, inciso o) (OP)'!Y137</f>
        <v>1472678.88</v>
      </c>
      <c r="P278" s="15">
        <v>1400178.75</v>
      </c>
      <c r="Q278" s="12" t="s">
        <v>682</v>
      </c>
      <c r="R278" s="15">
        <f>O278/1461.14</f>
        <v>1007.8971761775051</v>
      </c>
      <c r="S278" s="12" t="s">
        <v>42</v>
      </c>
      <c r="T278" s="17">
        <v>1158</v>
      </c>
      <c r="U278" s="14" t="s">
        <v>43</v>
      </c>
      <c r="V278" s="12" t="s">
        <v>44</v>
      </c>
      <c r="W278" s="13">
        <f>'[1]V, inciso o) (OP)'!AD137</f>
        <v>42716</v>
      </c>
      <c r="X278" s="13">
        <f>'[1]V, inciso o) (OP)'!AE137</f>
        <v>42776</v>
      </c>
      <c r="Y278" s="12" t="s">
        <v>611</v>
      </c>
      <c r="Z278" s="12" t="s">
        <v>312</v>
      </c>
      <c r="AA278" s="12" t="s">
        <v>64</v>
      </c>
      <c r="AB278" s="8" t="s">
        <v>1765</v>
      </c>
      <c r="AC278" s="14" t="s">
        <v>48</v>
      </c>
      <c r="AD278" s="14"/>
    </row>
    <row r="279" spans="1:30" ht="80.099999999999994" customHeight="1">
      <c r="A279" s="6">
        <v>269</v>
      </c>
      <c r="B279" s="12">
        <v>2016</v>
      </c>
      <c r="C279" s="14" t="s">
        <v>65</v>
      </c>
      <c r="D279" s="14" t="str">
        <f>'[1]V, inciso o) (OP)'!C138</f>
        <v>DOPI-MUN-RM-PROY-AD-269-2016</v>
      </c>
      <c r="E279" s="13">
        <f>'[1]V, inciso o) (OP)'!V138</f>
        <v>42713</v>
      </c>
      <c r="F279" s="14" t="str">
        <f>'[1]V, inciso o) (OP)'!AA138</f>
        <v>Diagnóstico, diseño y proyectos hidráulicos 2016, segunda etapa, de diferentes redes de agua potable y alcantarillado, municipio de Zapopan Jalisco.</v>
      </c>
      <c r="G279" s="14" t="s">
        <v>111</v>
      </c>
      <c r="H279" s="15">
        <f>'[1]V, inciso o) (OP)'!Y138</f>
        <v>1095388.1499999999</v>
      </c>
      <c r="I279" s="14" t="s">
        <v>376</v>
      </c>
      <c r="J279" s="14" t="str">
        <f>'[1]V, inciso o) (OP)'!M138</f>
        <v xml:space="preserve">RODOLFO </v>
      </c>
      <c r="K279" s="12" t="str">
        <f>'[1]V, inciso o) (OP)'!N138</f>
        <v xml:space="preserve">VELAZQUEZ </v>
      </c>
      <c r="L279" s="12" t="str">
        <f>'[1]V, inciso o) (OP)'!O138</f>
        <v>ORDOÑEZ</v>
      </c>
      <c r="M279" s="14" t="str">
        <f>'[1]V, inciso o) (OP)'!P138</f>
        <v>VELAZQUEZ INGENIERIA ECOLOGICA, S.A. DE C.V.</v>
      </c>
      <c r="N279" s="12" t="str">
        <f>'[1]V, inciso o) (OP)'!Q138</f>
        <v>VIE110125RL4</v>
      </c>
      <c r="O279" s="15">
        <f>'[1]V, inciso o) (OP)'!Y138</f>
        <v>1095388.1499999999</v>
      </c>
      <c r="P279" s="15">
        <v>1095355.8899999999</v>
      </c>
      <c r="Q279" s="12" t="s">
        <v>623</v>
      </c>
      <c r="R279" s="15">
        <f>O279</f>
        <v>1095388.1499999999</v>
      </c>
      <c r="S279" s="12" t="s">
        <v>125</v>
      </c>
      <c r="T279" s="17" t="s">
        <v>125</v>
      </c>
      <c r="U279" s="14" t="s">
        <v>43</v>
      </c>
      <c r="V279" s="12" t="s">
        <v>44</v>
      </c>
      <c r="W279" s="13">
        <f>'[1]V, inciso o) (OP)'!AD138</f>
        <v>42716</v>
      </c>
      <c r="X279" s="13">
        <f>'[1]V, inciso o) (OP)'!AE138</f>
        <v>42866</v>
      </c>
      <c r="Y279" s="12" t="s">
        <v>683</v>
      </c>
      <c r="Z279" s="12" t="s">
        <v>684</v>
      </c>
      <c r="AA279" s="12" t="s">
        <v>131</v>
      </c>
      <c r="AB279" s="8" t="s">
        <v>1916</v>
      </c>
      <c r="AC279" s="14" t="s">
        <v>48</v>
      </c>
      <c r="AD279" s="14"/>
    </row>
    <row r="280" spans="1:30" ht="80.099999999999994" customHeight="1">
      <c r="A280" s="5">
        <v>270</v>
      </c>
      <c r="B280" s="12">
        <v>2016</v>
      </c>
      <c r="C280" s="14" t="s">
        <v>65</v>
      </c>
      <c r="D280" s="14" t="str">
        <f>'[1]V, inciso o) (OP)'!C139</f>
        <v>DOPI-MUN-RM-IM-AD-270-2016</v>
      </c>
      <c r="E280" s="13">
        <f>'[1]V, inciso o) (OP)'!V139</f>
        <v>42713</v>
      </c>
      <c r="F280" s="14" t="str">
        <f>'[1]V, inciso o) (OP)'!AA139</f>
        <v>Rehabilitación de baños públicos en el Centro Acuatico Zapopan, Unidad Deportiva Francisco Villa y en la Unidad Deportiva Base Aérea, Municipio de Zapopan, Jalisco.</v>
      </c>
      <c r="G280" s="14" t="s">
        <v>111</v>
      </c>
      <c r="H280" s="15">
        <f>'[1]V, inciso o) (OP)'!Y139</f>
        <v>1485215.47</v>
      </c>
      <c r="I280" s="14" t="s">
        <v>376</v>
      </c>
      <c r="J280" s="14" t="str">
        <f>'[1]V, inciso o) (OP)'!M139</f>
        <v xml:space="preserve">JUAN RAUL </v>
      </c>
      <c r="K280" s="12" t="str">
        <f>'[1]V, inciso o) (OP)'!N139</f>
        <v>RODRIGUEZ</v>
      </c>
      <c r="L280" s="12" t="str">
        <f>'[1]V, inciso o) (OP)'!O139</f>
        <v>GUERRERO</v>
      </c>
      <c r="M280" s="14" t="str">
        <f>'[1]V, inciso o) (OP)'!P139</f>
        <v xml:space="preserve">SUMA TERRA OBRAS Y PROYECTOS, S.A. DE C.V. </v>
      </c>
      <c r="N280" s="12" t="str">
        <f>'[1]V, inciso o) (OP)'!Q139</f>
        <v>STO0707062J9</v>
      </c>
      <c r="O280" s="15">
        <f>'[1]V, inciso o) (OP)'!Y139</f>
        <v>1485215.47</v>
      </c>
      <c r="P280" s="15">
        <f>O280</f>
        <v>1485215.47</v>
      </c>
      <c r="Q280" s="12">
        <v>115.21</v>
      </c>
      <c r="R280" s="15">
        <f>O280/115.21</f>
        <v>12891.376356219078</v>
      </c>
      <c r="S280" s="12" t="s">
        <v>42</v>
      </c>
      <c r="T280" s="17">
        <v>1865</v>
      </c>
      <c r="U280" s="14" t="s">
        <v>43</v>
      </c>
      <c r="V280" s="12" t="s">
        <v>378</v>
      </c>
      <c r="W280" s="13">
        <f>'[1]V, inciso o) (OP)'!AD139</f>
        <v>42716</v>
      </c>
      <c r="X280" s="13">
        <f>'[1]V, inciso o) (OP)'!AE139</f>
        <v>42806</v>
      </c>
      <c r="Y280" s="12" t="s">
        <v>454</v>
      </c>
      <c r="Z280" s="12" t="s">
        <v>455</v>
      </c>
      <c r="AA280" s="12" t="s">
        <v>456</v>
      </c>
      <c r="AB280" s="14" t="s">
        <v>48</v>
      </c>
      <c r="AC280" s="14" t="s">
        <v>48</v>
      </c>
      <c r="AD280" s="14" t="s">
        <v>1571</v>
      </c>
    </row>
    <row r="281" spans="1:30" ht="80.099999999999994" customHeight="1">
      <c r="A281" s="5">
        <v>272</v>
      </c>
      <c r="B281" s="12">
        <v>2016</v>
      </c>
      <c r="C281" s="14" t="s">
        <v>65</v>
      </c>
      <c r="D281" s="14" t="str">
        <f>'[1]V, inciso o) (OP)'!C140</f>
        <v>DOPI-MUN-RM-IM-AD-272-2016</v>
      </c>
      <c r="E281" s="13">
        <f>'[1]V, inciso o) (OP)'!V140</f>
        <v>42713</v>
      </c>
      <c r="F281" s="14" t="str">
        <f>'[1]V, inciso o) (OP)'!AA140</f>
        <v>Rehabilitación de baños públicos en la Unidad Deportiva El Vergel, Unidad Deportiva Santa Margarita "Las Margaritas" y en la Unidad Deportiva Santa Ana Tepetitlán, municipio de Zapopan, Jalisco</v>
      </c>
      <c r="G281" s="14" t="s">
        <v>111</v>
      </c>
      <c r="H281" s="15">
        <f>'[1]V, inciso o) (OP)'!Y140</f>
        <v>1450236.87</v>
      </c>
      <c r="I281" s="14" t="s">
        <v>685</v>
      </c>
      <c r="J281" s="14" t="str">
        <f>'[1]V, inciso o) (OP)'!M140</f>
        <v xml:space="preserve">ARTURO </v>
      </c>
      <c r="K281" s="12" t="str">
        <f>'[1]V, inciso o) (OP)'!N140</f>
        <v>DISTANCIA</v>
      </c>
      <c r="L281" s="12" t="str">
        <f>'[1]V, inciso o) (OP)'!O140</f>
        <v>SANCHEZ</v>
      </c>
      <c r="M281" s="14" t="str">
        <f>'[1]V, inciso o) (OP)'!P140</f>
        <v>JAVAX CONSULTORES, S.A. DE C.V.</v>
      </c>
      <c r="N281" s="12" t="str">
        <f>'[1]V, inciso o) (OP)'!Q140</f>
        <v>JCO160413SK4</v>
      </c>
      <c r="O281" s="15">
        <f>'[1]V, inciso o) (OP)'!Y140</f>
        <v>1450236.87</v>
      </c>
      <c r="P281" s="15">
        <v>1448316.69</v>
      </c>
      <c r="Q281" s="12">
        <v>89.68</v>
      </c>
      <c r="R281" s="15">
        <f>O281/89.68</f>
        <v>16171.240744870651</v>
      </c>
      <c r="S281" s="12" t="s">
        <v>42</v>
      </c>
      <c r="T281" s="17">
        <v>6522</v>
      </c>
      <c r="U281" s="14" t="s">
        <v>43</v>
      </c>
      <c r="V281" s="12" t="s">
        <v>44</v>
      </c>
      <c r="W281" s="13">
        <f>'[1]V, inciso o) (OP)'!AD140</f>
        <v>42716</v>
      </c>
      <c r="X281" s="13">
        <f>'[1]V, inciso o) (OP)'!AE140</f>
        <v>42806</v>
      </c>
      <c r="Y281" s="12" t="s">
        <v>454</v>
      </c>
      <c r="Z281" s="12" t="s">
        <v>455</v>
      </c>
      <c r="AA281" s="12" t="s">
        <v>456</v>
      </c>
      <c r="AB281" s="8" t="s">
        <v>1766</v>
      </c>
      <c r="AC281" s="14" t="s">
        <v>48</v>
      </c>
      <c r="AD281" s="14"/>
    </row>
    <row r="282" spans="1:30" ht="80.099999999999994" customHeight="1">
      <c r="A282" s="5">
        <v>274</v>
      </c>
      <c r="B282" s="12">
        <v>2016</v>
      </c>
      <c r="C282" s="14" t="s">
        <v>65</v>
      </c>
      <c r="D282" s="14" t="str">
        <f>'[1]V, inciso o) (OP)'!C141</f>
        <v>DOPI-MUN-RM-ELE-AD-274-2016</v>
      </c>
      <c r="E282" s="13">
        <f>'[1]V, inciso o) (OP)'!V141</f>
        <v>42713</v>
      </c>
      <c r="F282" s="14" t="str">
        <f>'[1]V, inciso o) (OP)'!AA141</f>
        <v>Suministro e instalación de sistema de pararrayos en el Centro Cultural Constitución, municipio de Zapopan, Jalisco</v>
      </c>
      <c r="G282" s="14" t="s">
        <v>111</v>
      </c>
      <c r="H282" s="15">
        <f>'[1]V, inciso o) (OP)'!Y141</f>
        <v>569255.19400000002</v>
      </c>
      <c r="I282" s="14" t="s">
        <v>476</v>
      </c>
      <c r="J282" s="14" t="str">
        <f>'[1]V, inciso o) (OP)'!M141</f>
        <v>PIA LORENA</v>
      </c>
      <c r="K282" s="12" t="str">
        <f>'[1]V, inciso o) (OP)'!N141</f>
        <v>BUENROSTRO</v>
      </c>
      <c r="L282" s="12" t="str">
        <f>'[1]V, inciso o) (OP)'!O141</f>
        <v>AHUED</v>
      </c>
      <c r="M282" s="14" t="str">
        <f>'[1]V, inciso o) (OP)'!P141</f>
        <v>BIRMEK CONSTRUCCIONES, S.A. DE C.V.</v>
      </c>
      <c r="N282" s="12" t="str">
        <f>'[1]V, inciso o) (OP)'!Q141</f>
        <v>BCO070129512</v>
      </c>
      <c r="O282" s="15">
        <f>'[1]V, inciso o) (OP)'!Y141</f>
        <v>569255.19400000002</v>
      </c>
      <c r="P282" s="15">
        <v>569255.18999999994</v>
      </c>
      <c r="Q282" s="12" t="s">
        <v>52</v>
      </c>
      <c r="R282" s="15">
        <f>O282</f>
        <v>569255.19400000002</v>
      </c>
      <c r="S282" s="12" t="s">
        <v>42</v>
      </c>
      <c r="T282" s="17">
        <v>25652</v>
      </c>
      <c r="U282" s="14" t="s">
        <v>43</v>
      </c>
      <c r="V282" s="12" t="s">
        <v>44</v>
      </c>
      <c r="W282" s="13">
        <f>'[1]V, inciso o) (OP)'!AD141</f>
        <v>42716</v>
      </c>
      <c r="X282" s="13">
        <f>'[1]V, inciso o) (OP)'!AE141</f>
        <v>42766</v>
      </c>
      <c r="Y282" s="12" t="s">
        <v>418</v>
      </c>
      <c r="Z282" s="12" t="s">
        <v>419</v>
      </c>
      <c r="AA282" s="12" t="s">
        <v>420</v>
      </c>
      <c r="AB282" s="14" t="s">
        <v>1655</v>
      </c>
      <c r="AC282" s="18"/>
      <c r="AD282" s="14"/>
    </row>
    <row r="283" spans="1:30" ht="80.099999999999994" customHeight="1">
      <c r="A283" s="6">
        <v>275</v>
      </c>
      <c r="B283" s="12">
        <v>2016</v>
      </c>
      <c r="C283" s="14" t="s">
        <v>65</v>
      </c>
      <c r="D283" s="14" t="str">
        <f>'[1]V, inciso o) (OP)'!C142</f>
        <v>DOPI-MUN-RM-PAV-AD-275-2016</v>
      </c>
      <c r="E283" s="13">
        <f>'[1]V, inciso o) (OP)'!V142</f>
        <v>42713</v>
      </c>
      <c r="F283" s="14" t="str">
        <f>'[1]V, inciso o) (OP)'!AA142</f>
        <v>Pavimentación con concreto asfáltico en el retorno Periférico Sur hacía Av, Santa Esther y en el retorno Periférico Norte hacía Av. Juan Pablo II, municipio de Zapopan, Jalisco</v>
      </c>
      <c r="G283" s="14" t="s">
        <v>111</v>
      </c>
      <c r="H283" s="15">
        <f>'[1]V, inciso o) (OP)'!Y142</f>
        <v>876527.94</v>
      </c>
      <c r="I283" s="14" t="s">
        <v>613</v>
      </c>
      <c r="J283" s="14" t="str">
        <f>'[1]V, inciso o) (OP)'!M142</f>
        <v>JESUS DAVID</v>
      </c>
      <c r="K283" s="12" t="str">
        <f>'[1]V, inciso o) (OP)'!N142</f>
        <v xml:space="preserve">GARZA </v>
      </c>
      <c r="L283" s="12" t="str">
        <f>'[1]V, inciso o) (OP)'!O142</f>
        <v>GARCIA</v>
      </c>
      <c r="M283" s="14" t="str">
        <f>'[1]V, inciso o) (OP)'!P142</f>
        <v>CONSTRUCCION GG, S.A. DE C.V.</v>
      </c>
      <c r="N283" s="12" t="str">
        <f>'[1]V, inciso o) (OP)'!Q142</f>
        <v>CGG040518F81</v>
      </c>
      <c r="O283" s="15">
        <f>'[1]V, inciso o) (OP)'!Y142</f>
        <v>876527.94</v>
      </c>
      <c r="P283" s="15">
        <v>829712.8899999999</v>
      </c>
      <c r="Q283" s="12" t="s">
        <v>686</v>
      </c>
      <c r="R283" s="15">
        <f>O283/1270</f>
        <v>690.17948031496064</v>
      </c>
      <c r="S283" s="12" t="s">
        <v>42</v>
      </c>
      <c r="T283" s="17">
        <v>258974</v>
      </c>
      <c r="U283" s="14" t="s">
        <v>43</v>
      </c>
      <c r="V283" s="12" t="s">
        <v>44</v>
      </c>
      <c r="W283" s="13">
        <f>'[1]V, inciso o) (OP)'!AD142</f>
        <v>42716</v>
      </c>
      <c r="X283" s="13">
        <f>'[1]V, inciso o) (OP)'!AE142</f>
        <v>42766</v>
      </c>
      <c r="Y283" s="12" t="s">
        <v>615</v>
      </c>
      <c r="Z283" s="12" t="s">
        <v>616</v>
      </c>
      <c r="AA283" s="12" t="s">
        <v>617</v>
      </c>
      <c r="AB283" s="8" t="s">
        <v>1767</v>
      </c>
      <c r="AC283" s="14" t="s">
        <v>48</v>
      </c>
      <c r="AD283" s="14"/>
    </row>
    <row r="284" spans="1:30" ht="80.099999999999994" customHeight="1">
      <c r="A284" s="5">
        <v>277</v>
      </c>
      <c r="B284" s="12">
        <v>2016</v>
      </c>
      <c r="C284" s="14" t="s">
        <v>65</v>
      </c>
      <c r="D284" s="14" t="str">
        <f>'[1]V, inciso o) (OP)'!C143</f>
        <v>DOPI-MUN-RM-IH-AD-277-2016</v>
      </c>
      <c r="E284" s="13">
        <f>'[1]V, inciso o) (OP)'!V143</f>
        <v>42699</v>
      </c>
      <c r="F284" s="14" t="str">
        <f>'[1]V, inciso o) (OP)'!AA143</f>
        <v xml:space="preserve">Construcción de red de drenaje sanitario en la calle Malinalli, de la calle Cholollan a la calle Delli, colonia Mesa Colorada, municipio de Zapopan, Jalisco </v>
      </c>
      <c r="G284" s="14" t="s">
        <v>111</v>
      </c>
      <c r="H284" s="15">
        <f>'[1]V, inciso o) (OP)'!Y143</f>
        <v>924106.84</v>
      </c>
      <c r="I284" s="14" t="s">
        <v>687</v>
      </c>
      <c r="J284" s="14" t="str">
        <f>'[1]V, inciso o) (OP)'!M143</f>
        <v>JOSE ANTONIO</v>
      </c>
      <c r="K284" s="12" t="str">
        <f>'[1]V, inciso o) (OP)'!N143</f>
        <v>ALVAREZ</v>
      </c>
      <c r="L284" s="12" t="str">
        <f>'[1]V, inciso o) (OP)'!O143</f>
        <v>ZULOAGA</v>
      </c>
      <c r="M284" s="14" t="str">
        <f>'[1]V, inciso o) (OP)'!P143</f>
        <v>GRUPO DESARROLLADOR ALZU, S.A. DE C.V.</v>
      </c>
      <c r="N284" s="12" t="str">
        <f>'[1]V, inciso o) (OP)'!Q143</f>
        <v>GDA150928286</v>
      </c>
      <c r="O284" s="15">
        <f>'[1]V, inciso o) (OP)'!Y143</f>
        <v>924106.84</v>
      </c>
      <c r="P284" s="15">
        <v>906230.63</v>
      </c>
      <c r="Q284" s="12" t="s">
        <v>688</v>
      </c>
      <c r="R284" s="15">
        <f>O284/660</f>
        <v>1400.1618787878788</v>
      </c>
      <c r="S284" s="12" t="s">
        <v>42</v>
      </c>
      <c r="T284" s="17">
        <v>342</v>
      </c>
      <c r="U284" s="14" t="s">
        <v>43</v>
      </c>
      <c r="V284" s="12" t="s">
        <v>44</v>
      </c>
      <c r="W284" s="13">
        <f>'[1]V, inciso o) (OP)'!AD143</f>
        <v>42702</v>
      </c>
      <c r="X284" s="13">
        <f>'[1]V, inciso o) (OP)'!AE143</f>
        <v>42750</v>
      </c>
      <c r="Y284" s="12" t="s">
        <v>350</v>
      </c>
      <c r="Z284" s="12" t="s">
        <v>351</v>
      </c>
      <c r="AA284" s="12" t="s">
        <v>352</v>
      </c>
      <c r="AB284" s="8" t="s">
        <v>1768</v>
      </c>
      <c r="AC284" s="14" t="s">
        <v>48</v>
      </c>
      <c r="AD284" s="14"/>
    </row>
    <row r="285" spans="1:30" ht="80.099999999999994" customHeight="1">
      <c r="A285" s="5">
        <v>278</v>
      </c>
      <c r="B285" s="12">
        <v>2016</v>
      </c>
      <c r="C285" s="14" t="s">
        <v>65</v>
      </c>
      <c r="D285" s="14" t="str">
        <f>'[1]V, inciso o) (OP)'!C144</f>
        <v>DOPI-MUN-RM-IH-AD-278-2016</v>
      </c>
      <c r="E285" s="13">
        <f>'[1]V, inciso o) (OP)'!V144</f>
        <v>42706</v>
      </c>
      <c r="F285" s="14" t="str">
        <f>'[1]V, inciso o) (OP)'!AA144</f>
        <v>Instalación de tomas domiciliarias en la colonia Marcelino García Barragán, municipio de Zapopan, Jalisco</v>
      </c>
      <c r="G285" s="14" t="s">
        <v>111</v>
      </c>
      <c r="H285" s="15">
        <f>'[1]V, inciso o) (OP)'!Y144</f>
        <v>626297.09</v>
      </c>
      <c r="I285" s="14" t="s">
        <v>689</v>
      </c>
      <c r="J285" s="14" t="str">
        <f>'[1]V, inciso o) (OP)'!M144</f>
        <v>JAVIER</v>
      </c>
      <c r="K285" s="12" t="str">
        <f>'[1]V, inciso o) (OP)'!N144</f>
        <v xml:space="preserve">ÁVILA </v>
      </c>
      <c r="L285" s="12" t="str">
        <f>'[1]V, inciso o) (OP)'!O144</f>
        <v>FLORES</v>
      </c>
      <c r="M285" s="14" t="str">
        <f>'[1]V, inciso o) (OP)'!P144</f>
        <v>SAVHO CONSULTORÍA Y CONSTRUCCIÓN, S.A. DE C.V.</v>
      </c>
      <c r="N285" s="12" t="str">
        <f>'[1]V, inciso o) (OP)'!Q144</f>
        <v>SCC060622HZ3</v>
      </c>
      <c r="O285" s="15">
        <f>'[1]V, inciso o) (OP)'!Y144</f>
        <v>626297.09</v>
      </c>
      <c r="P285" s="15">
        <v>607504.57000000007</v>
      </c>
      <c r="Q285" s="12" t="s">
        <v>690</v>
      </c>
      <c r="R285" s="15">
        <f>O285/447</f>
        <v>1401.112058165548</v>
      </c>
      <c r="S285" s="12" t="s">
        <v>42</v>
      </c>
      <c r="T285" s="17">
        <v>185</v>
      </c>
      <c r="U285" s="14" t="s">
        <v>43</v>
      </c>
      <c r="V285" s="12" t="s">
        <v>44</v>
      </c>
      <c r="W285" s="13">
        <f>'[1]V, inciso o) (OP)'!AD144</f>
        <v>42709</v>
      </c>
      <c r="X285" s="13">
        <f>'[1]V, inciso o) (OP)'!AE144</f>
        <v>42754</v>
      </c>
      <c r="Y285" s="12" t="s">
        <v>336</v>
      </c>
      <c r="Z285" s="12" t="s">
        <v>337</v>
      </c>
      <c r="AA285" s="12" t="s">
        <v>120</v>
      </c>
      <c r="AB285" s="8" t="s">
        <v>1769</v>
      </c>
      <c r="AC285" s="14" t="s">
        <v>48</v>
      </c>
      <c r="AD285" s="14"/>
    </row>
    <row r="286" spans="1:30" ht="80.099999999999994" customHeight="1">
      <c r="A286" s="6">
        <v>279</v>
      </c>
      <c r="B286" s="12">
        <v>2016</v>
      </c>
      <c r="C286" s="14" t="s">
        <v>65</v>
      </c>
      <c r="D286" s="14" t="str">
        <f>'[1]V, inciso o) (OP)'!C145</f>
        <v>DOPI-MUN-RM-SERV-AD-279-2016</v>
      </c>
      <c r="E286" s="13">
        <f>'[1]V, inciso o) (OP)'!V145</f>
        <v>42720</v>
      </c>
      <c r="F286" s="14" t="str">
        <f>'[1]V, inciso o) (OP)'!AA145</f>
        <v>Servicios de consultoría para la elaboración de bases, coordinación técnica del proceso de licitación, contratación y supervisión técnica de la ejecución del complejo C4 Zapopan, municipio de Zapopan, Jalisco</v>
      </c>
      <c r="G286" s="14" t="s">
        <v>66</v>
      </c>
      <c r="H286" s="15">
        <f>'[1]V, inciso o) (OP)'!Y145</f>
        <v>1214979.8</v>
      </c>
      <c r="I286" s="14" t="s">
        <v>124</v>
      </c>
      <c r="J286" s="14" t="str">
        <f>'[1]V, inciso o) (OP)'!M145</f>
        <v>DANIEL</v>
      </c>
      <c r="K286" s="12" t="str">
        <f>'[1]V, inciso o) (OP)'!N145</f>
        <v>SEGURA</v>
      </c>
      <c r="L286" s="12" t="str">
        <f>'[1]V, inciso o) (OP)'!O145</f>
        <v>URBANO</v>
      </c>
      <c r="M286" s="14" t="str">
        <f>'[1]V, inciso o) (OP)'!P145</f>
        <v>SEGURA URBANO  DANIEL</v>
      </c>
      <c r="N286" s="12" t="str">
        <f>'[1]V, inciso o) (OP)'!Q145</f>
        <v>SEUD690208177</v>
      </c>
      <c r="O286" s="15">
        <f>'[1]V, inciso o) (OP)'!Y145</f>
        <v>1214979.8</v>
      </c>
      <c r="P286" s="15">
        <f>O286</f>
        <v>1214979.8</v>
      </c>
      <c r="Q286" s="12" t="s">
        <v>691</v>
      </c>
      <c r="R286" s="15">
        <f>O286</f>
        <v>1214979.8</v>
      </c>
      <c r="S286" s="12" t="s">
        <v>125</v>
      </c>
      <c r="T286" s="17" t="s">
        <v>125</v>
      </c>
      <c r="U286" s="14" t="s">
        <v>43</v>
      </c>
      <c r="V286" s="12" t="s">
        <v>378</v>
      </c>
      <c r="W286" s="13">
        <f>'[1]V, inciso o) (OP)'!AD145</f>
        <v>42723</v>
      </c>
      <c r="X286" s="13">
        <f>'[1]V, inciso o) (OP)'!AE145</f>
        <v>42886</v>
      </c>
      <c r="Y286" s="12" t="s">
        <v>692</v>
      </c>
      <c r="Z286" s="12" t="s">
        <v>693</v>
      </c>
      <c r="AA286" s="12" t="s">
        <v>136</v>
      </c>
      <c r="AB286" s="8" t="s">
        <v>1917</v>
      </c>
      <c r="AC286" s="14" t="s">
        <v>48</v>
      </c>
      <c r="AD286" s="14" t="s">
        <v>1571</v>
      </c>
    </row>
    <row r="287" spans="1:30" ht="80.099999999999994" customHeight="1">
      <c r="A287" s="5">
        <v>280</v>
      </c>
      <c r="B287" s="12">
        <v>2016</v>
      </c>
      <c r="C287" s="14" t="s">
        <v>65</v>
      </c>
      <c r="D287" s="14" t="str">
        <f>'[1]V, inciso o) (OP)'!C146</f>
        <v>DOPI-MUN-R33-IH-AD-280-2016</v>
      </c>
      <c r="E287" s="13">
        <f>'[1]V, inciso o) (OP)'!V146</f>
        <v>42720</v>
      </c>
      <c r="F287" s="14" t="str">
        <f>'[1]V, inciso o) (OP)'!AA146</f>
        <v>Construcción de línea de agua potable en la colonia Prados de Santa Lucía, primera etapa, municipio de Zapopan, Jalisco.</v>
      </c>
      <c r="G287" s="14" t="s">
        <v>516</v>
      </c>
      <c r="H287" s="15">
        <f>'[1]V, inciso o) (OP)'!Y146</f>
        <v>825634.87</v>
      </c>
      <c r="I287" s="14" t="s">
        <v>694</v>
      </c>
      <c r="J287" s="14" t="str">
        <f>'[1]V, inciso o) (OP)'!M146</f>
        <v xml:space="preserve">RODOLFO </v>
      </c>
      <c r="K287" s="12" t="str">
        <f>'[1]V, inciso o) (OP)'!N146</f>
        <v xml:space="preserve">VELAZQUEZ </v>
      </c>
      <c r="L287" s="12" t="str">
        <f>'[1]V, inciso o) (OP)'!O146</f>
        <v>ORDOÑEZ</v>
      </c>
      <c r="M287" s="14" t="str">
        <f>'[1]V, inciso o) (OP)'!P146</f>
        <v>VELAZQUEZ INGENIERIA ECOLOGICA, S.A. DE C.V.</v>
      </c>
      <c r="N287" s="12" t="str">
        <f>'[1]V, inciso o) (OP)'!Q146</f>
        <v>VIE110125RL4</v>
      </c>
      <c r="O287" s="15">
        <f>'[1]V, inciso o) (OP)'!Y146</f>
        <v>825634.87</v>
      </c>
      <c r="P287" s="15">
        <v>625372.77</v>
      </c>
      <c r="Q287" s="12" t="s">
        <v>695</v>
      </c>
      <c r="R287" s="15">
        <f>O287/564</f>
        <v>1463.8916134751773</v>
      </c>
      <c r="S287" s="12" t="s">
        <v>42</v>
      </c>
      <c r="T287" s="17">
        <v>2049</v>
      </c>
      <c r="U287" s="14" t="s">
        <v>43</v>
      </c>
      <c r="V287" s="12" t="s">
        <v>44</v>
      </c>
      <c r="W287" s="13">
        <f>'[1]V, inciso o) (OP)'!AD146</f>
        <v>42723</v>
      </c>
      <c r="X287" s="13">
        <f>'[1]V, inciso o) (OP)'!AE146</f>
        <v>42873</v>
      </c>
      <c r="Y287" s="12" t="s">
        <v>439</v>
      </c>
      <c r="Z287" s="12" t="s">
        <v>186</v>
      </c>
      <c r="AA287" s="12" t="s">
        <v>92</v>
      </c>
      <c r="AB287" s="8" t="s">
        <v>1918</v>
      </c>
      <c r="AC287" s="14" t="s">
        <v>48</v>
      </c>
      <c r="AD287" s="14"/>
    </row>
    <row r="288" spans="1:30" ht="80.099999999999994" customHeight="1">
      <c r="A288" s="5">
        <v>281</v>
      </c>
      <c r="B288" s="12">
        <v>2016</v>
      </c>
      <c r="C288" s="14" t="s">
        <v>65</v>
      </c>
      <c r="D288" s="14" t="str">
        <f>'[1]V, inciso o) (OP)'!C147</f>
        <v>DOPI-MUN-R33-PAV-AD-281-2016</v>
      </c>
      <c r="E288" s="13">
        <f>'[1]V, inciso o) (OP)'!V147</f>
        <v>42720</v>
      </c>
      <c r="F288" s="14" t="str">
        <f>'[1]V, inciso o) (OP)'!AA147</f>
        <v>Pavimentación con concreto hidráulico en la calle Manzanos, colonia Agua Fría, incluye: agua potable, drenaje sanitario, guarniciones, banquetas, accesibilidad y servicios complementarios, en el municipio de Zapopan, Jalisco, frente 1.</v>
      </c>
      <c r="G288" s="14" t="s">
        <v>516</v>
      </c>
      <c r="H288" s="15">
        <f>'[1]V, inciso o) (OP)'!Y147</f>
        <v>1502354.73</v>
      </c>
      <c r="I288" s="14" t="s">
        <v>696</v>
      </c>
      <c r="J288" s="14" t="str">
        <f>'[1]V, inciso o) (OP)'!M147</f>
        <v>RAUL</v>
      </c>
      <c r="K288" s="12" t="str">
        <f>'[1]V, inciso o) (OP)'!N147</f>
        <v xml:space="preserve">ORTEGA </v>
      </c>
      <c r="L288" s="12" t="str">
        <f>'[1]V, inciso o) (OP)'!O147</f>
        <v>JARA</v>
      </c>
      <c r="M288" s="14" t="str">
        <f>'[1]V, inciso o) (OP)'!P147</f>
        <v>CONSTRUCCIONES ANAYARI, S.A. DE C.V.</v>
      </c>
      <c r="N288" s="12" t="str">
        <f>'[1]V, inciso o) (OP)'!Q147</f>
        <v>CAN030528ME0</v>
      </c>
      <c r="O288" s="15">
        <f>'[1]V, inciso o) (OP)'!Y147</f>
        <v>1502354.73</v>
      </c>
      <c r="P288" s="15">
        <v>1247079.6199999999</v>
      </c>
      <c r="Q288" s="12" t="s">
        <v>697</v>
      </c>
      <c r="R288" s="15">
        <f>O288/1031</f>
        <v>1457.1820853540253</v>
      </c>
      <c r="S288" s="12" t="s">
        <v>42</v>
      </c>
      <c r="T288" s="17">
        <v>2754</v>
      </c>
      <c r="U288" s="14" t="s">
        <v>43</v>
      </c>
      <c r="V288" s="12" t="s">
        <v>44</v>
      </c>
      <c r="W288" s="13">
        <f>'[1]V, inciso o) (OP)'!AD147</f>
        <v>42723</v>
      </c>
      <c r="X288" s="13">
        <f>'[1]V, inciso o) (OP)'!AE147</f>
        <v>42873</v>
      </c>
      <c r="Y288" s="12" t="s">
        <v>449</v>
      </c>
      <c r="Z288" s="12" t="s">
        <v>450</v>
      </c>
      <c r="AA288" s="12" t="s">
        <v>451</v>
      </c>
      <c r="AB288" s="8" t="s">
        <v>1770</v>
      </c>
      <c r="AC288" s="14" t="s">
        <v>48</v>
      </c>
      <c r="AD288" s="14"/>
    </row>
    <row r="289" spans="1:30" ht="80.099999999999994" customHeight="1">
      <c r="A289" s="5">
        <v>282</v>
      </c>
      <c r="B289" s="12">
        <v>2016</v>
      </c>
      <c r="C289" s="14" t="s">
        <v>65</v>
      </c>
      <c r="D289" s="14" t="str">
        <f>'[1]V, inciso o) (OP)'!C148</f>
        <v>DOPI-MUN-R33-PAV-AD-282-2016</v>
      </c>
      <c r="E289" s="13">
        <f>'[1]V, inciso o) (OP)'!V148</f>
        <v>42720</v>
      </c>
      <c r="F289" s="14" t="str">
        <f>'[1]V, inciso o) (OP)'!AA148</f>
        <v>Pavimentación con concreto hidráulico en la calle Manzanos, colonia Agua Fría, incluye: agua potable, drenaje sanitario, guarniciones, banquetas, accesibilidad y servicios complementarios, en el municipio de Zapopan, Jalisco, frente 2.</v>
      </c>
      <c r="G289" s="14" t="s">
        <v>516</v>
      </c>
      <c r="H289" s="15">
        <f>'[1]V, inciso o) (OP)'!Y148</f>
        <v>1495225.08</v>
      </c>
      <c r="I289" s="14" t="s">
        <v>696</v>
      </c>
      <c r="J289" s="14" t="str">
        <f>'[1]V, inciso o) (OP)'!M148</f>
        <v>CARLOS</v>
      </c>
      <c r="K289" s="12" t="str">
        <f>'[1]V, inciso o) (OP)'!N148</f>
        <v>PEREZ</v>
      </c>
      <c r="L289" s="12" t="str">
        <f>'[1]V, inciso o) (OP)'!O148</f>
        <v>CRUZ</v>
      </c>
      <c r="M289" s="14" t="str">
        <f>'[1]V, inciso o) (OP)'!P148</f>
        <v>CONSTRUCTORA PECRU, S.A. DE C.V.</v>
      </c>
      <c r="N289" s="12" t="str">
        <f>'[1]V, inciso o) (OP)'!Q148</f>
        <v>CPE070123PD4</v>
      </c>
      <c r="O289" s="15">
        <f>'[1]V, inciso o) (OP)'!Y148</f>
        <v>1495225.08</v>
      </c>
      <c r="P289" s="15">
        <v>1352874.37</v>
      </c>
      <c r="Q289" s="12" t="s">
        <v>698</v>
      </c>
      <c r="R289" s="15">
        <f>O289/1027</f>
        <v>1455.915365141188</v>
      </c>
      <c r="S289" s="12" t="s">
        <v>42</v>
      </c>
      <c r="T289" s="17">
        <v>2754</v>
      </c>
      <c r="U289" s="14" t="s">
        <v>43</v>
      </c>
      <c r="V289" s="12" t="s">
        <v>44</v>
      </c>
      <c r="W289" s="13">
        <f>'[1]V, inciso o) (OP)'!AD148</f>
        <v>42723</v>
      </c>
      <c r="X289" s="13">
        <f>'[1]V, inciso o) (OP)'!AE148</f>
        <v>42873</v>
      </c>
      <c r="Y289" s="12" t="s">
        <v>449</v>
      </c>
      <c r="Z289" s="12" t="s">
        <v>450</v>
      </c>
      <c r="AA289" s="12" t="s">
        <v>451</v>
      </c>
      <c r="AB289" s="8" t="s">
        <v>1771</v>
      </c>
      <c r="AC289" s="14" t="s">
        <v>48</v>
      </c>
      <c r="AD289" s="14"/>
    </row>
    <row r="290" spans="1:30" ht="80.099999999999994" customHeight="1">
      <c r="A290" s="5">
        <v>283</v>
      </c>
      <c r="B290" s="12">
        <v>2016</v>
      </c>
      <c r="C290" s="14" t="s">
        <v>65</v>
      </c>
      <c r="D290" s="14" t="str">
        <f>'[1]V, inciso o) (OP)'!C149</f>
        <v>DOPI-MUN-R33-IH-AD-283-2016</v>
      </c>
      <c r="E290" s="13">
        <f>'[1]V, inciso o) (OP)'!V149</f>
        <v>42720</v>
      </c>
      <c r="F290" s="14" t="str">
        <f>'[1]V, inciso o) (OP)'!AA149</f>
        <v>Construcción de línea drenaje sanitario en la calle Miguel Hidalgo, de calle Josefa Ortíz de Domínguez a Cerrada, en la colonia Indígena de Mezquitan Sección I, en el municipio de Zapopan, Jalisco.</v>
      </c>
      <c r="G290" s="14" t="s">
        <v>516</v>
      </c>
      <c r="H290" s="15">
        <f>'[1]V, inciso o) (OP)'!Y149</f>
        <v>702114.36</v>
      </c>
      <c r="I290" s="14" t="s">
        <v>699</v>
      </c>
      <c r="J290" s="14" t="str">
        <f>'[1]V, inciso o) (OP)'!M149</f>
        <v>ABIMAEL</v>
      </c>
      <c r="K290" s="12" t="str">
        <f>'[1]V, inciso o) (OP)'!N149</f>
        <v>MONTUFAR</v>
      </c>
      <c r="L290" s="12" t="str">
        <f>'[1]V, inciso o) (OP)'!O149</f>
        <v>LOPEZ</v>
      </c>
      <c r="M290" s="14" t="str">
        <f>'[1]V, inciso o) (OP)'!P149</f>
        <v>CONSTRUCTORA ACUIFERO, S.A. DE C.V.</v>
      </c>
      <c r="N290" s="12" t="str">
        <f>'[1]V, inciso o) (OP)'!Q149</f>
        <v>CAC1308225S7</v>
      </c>
      <c r="O290" s="15">
        <f>'[1]V, inciso o) (OP)'!Y149</f>
        <v>702114.36</v>
      </c>
      <c r="P290" s="15">
        <v>426077.72000000003</v>
      </c>
      <c r="Q290" s="12" t="s">
        <v>700</v>
      </c>
      <c r="R290" s="15">
        <f>O290/355</f>
        <v>1977.7869295774647</v>
      </c>
      <c r="S290" s="12" t="s">
        <v>42</v>
      </c>
      <c r="T290" s="17">
        <v>344</v>
      </c>
      <c r="U290" s="14" t="s">
        <v>43</v>
      </c>
      <c r="V290" s="12" t="s">
        <v>44</v>
      </c>
      <c r="W290" s="13">
        <f>'[1]V, inciso o) (OP)'!AD149</f>
        <v>42723</v>
      </c>
      <c r="X290" s="13">
        <f>'[1]V, inciso o) (OP)'!AE149</f>
        <v>42873</v>
      </c>
      <c r="Y290" s="12" t="s">
        <v>439</v>
      </c>
      <c r="Z290" s="12" t="s">
        <v>186</v>
      </c>
      <c r="AA290" s="12" t="s">
        <v>92</v>
      </c>
      <c r="AB290" s="8" t="s">
        <v>1772</v>
      </c>
      <c r="AC290" s="14" t="s">
        <v>48</v>
      </c>
      <c r="AD290" s="14"/>
    </row>
    <row r="291" spans="1:30" ht="80.099999999999994" customHeight="1">
      <c r="A291" s="5">
        <v>1</v>
      </c>
      <c r="B291" s="12">
        <v>2017</v>
      </c>
      <c r="C291" s="14" t="s">
        <v>143</v>
      </c>
      <c r="D291" s="14" t="str">
        <f>'[1]V, inciso p) (OP)'!D148</f>
        <v>DOPI-MUN-RM-PAV-CI-001-2017</v>
      </c>
      <c r="E291" s="13">
        <f>'[1]V, inciso p) (OP)'!AD148</f>
        <v>42790</v>
      </c>
      <c r="F291" s="14" t="str">
        <f>'[1]V, inciso p) (OP)'!AL148</f>
        <v>Rehabilitación del camino a Copalita en el tramo de la Carretera a Colotlán a Copalita (Km. 0+000 al Km. 2+000), muncipio de Zapopan, Jalisco.</v>
      </c>
      <c r="G291" s="14" t="s">
        <v>66</v>
      </c>
      <c r="H291" s="15">
        <f>'[1]V, inciso p) (OP)'!AG148</f>
        <v>5476517.9699999997</v>
      </c>
      <c r="I291" s="14" t="s">
        <v>701</v>
      </c>
      <c r="J291" s="14" t="str">
        <f>'[1]V, inciso p) (OP)'!T148</f>
        <v>Antonio</v>
      </c>
      <c r="K291" s="14" t="str">
        <f>'[1]V, inciso p) (OP)'!U148</f>
        <v>Chávez</v>
      </c>
      <c r="L291" s="14" t="str">
        <f>'[1]V, inciso p) (OP)'!V148</f>
        <v>Navarro</v>
      </c>
      <c r="M291" s="14" t="str">
        <f>'[1]V, inciso p) (OP)'!W148</f>
        <v>Constructora Industrial Chávez S.A. de C.V.</v>
      </c>
      <c r="N291" s="14" t="str">
        <f>'[1]V, inciso p) (OP)'!X148</f>
        <v>CIC960718BW4</v>
      </c>
      <c r="O291" s="15">
        <f t="shared" ref="O291:O354" si="8">H291</f>
        <v>5476517.9699999997</v>
      </c>
      <c r="P291" s="15">
        <v>4964283.8899999997</v>
      </c>
      <c r="Q291" s="12" t="s">
        <v>702</v>
      </c>
      <c r="R291" s="15">
        <f>O291/17660</f>
        <v>310.10860532276331</v>
      </c>
      <c r="S291" s="12" t="s">
        <v>42</v>
      </c>
      <c r="T291" s="17">
        <v>1456</v>
      </c>
      <c r="U291" s="14" t="s">
        <v>43</v>
      </c>
      <c r="V291" s="12" t="s">
        <v>378</v>
      </c>
      <c r="W291" s="13">
        <f>'[1]V, inciso p) (OP)'!AM148</f>
        <v>42791</v>
      </c>
      <c r="X291" s="13">
        <f>'[1]V, inciso p) (OP)'!AN148</f>
        <v>42835</v>
      </c>
      <c r="Y291" s="14" t="s">
        <v>703</v>
      </c>
      <c r="Z291" s="12" t="s">
        <v>409</v>
      </c>
      <c r="AA291" s="12" t="s">
        <v>107</v>
      </c>
      <c r="AB291" s="14" t="s">
        <v>1357</v>
      </c>
      <c r="AC291" s="14" t="s">
        <v>48</v>
      </c>
      <c r="AD291" s="14"/>
    </row>
    <row r="292" spans="1:30" ht="80.099999999999994" customHeight="1">
      <c r="A292" s="5">
        <v>2</v>
      </c>
      <c r="B292" s="12">
        <v>2017</v>
      </c>
      <c r="C292" s="14" t="s">
        <v>143</v>
      </c>
      <c r="D292" s="14" t="str">
        <f>'[1]V, inciso p) (OP)'!D149</f>
        <v>DOPI-MUN-RM-ELE-CI-002-2017</v>
      </c>
      <c r="E292" s="13">
        <f>'[1]V, inciso p) (OP)'!AD149</f>
        <v>42790</v>
      </c>
      <c r="F292" s="14" t="str">
        <f>'[1]V, inciso p) (OP)'!AL149</f>
        <v>Primera etapa de la rehabilitación de la red de media y baja tensión, alumbrado público, en la colonia Constitución, municipio de Zapopan, Jalisco.</v>
      </c>
      <c r="G292" s="14" t="s">
        <v>66</v>
      </c>
      <c r="H292" s="15">
        <f>'[1]V, inciso p) (OP)'!AG149</f>
        <v>4994034.3099999996</v>
      </c>
      <c r="I292" s="14" t="str">
        <f>'[1]V, inciso p) (OP)'!AS149</f>
        <v>Col. Constitución</v>
      </c>
      <c r="J292" s="14" t="str">
        <f>'[1]V, inciso p) (OP)'!T149</f>
        <v>Pia Lorena</v>
      </c>
      <c r="K292" s="14" t="str">
        <f>'[1]V, inciso p) (OP)'!U149</f>
        <v>Buenrostro</v>
      </c>
      <c r="L292" s="14" t="str">
        <f>'[1]V, inciso p) (OP)'!V149</f>
        <v>Ahued</v>
      </c>
      <c r="M292" s="14" t="str">
        <f>'[1]V, inciso p) (OP)'!W149</f>
        <v>Birmek Construcciones, S.A. de C.V.</v>
      </c>
      <c r="N292" s="14" t="str">
        <f>'[1]V, inciso p) (OP)'!X149</f>
        <v>BCO070129512</v>
      </c>
      <c r="O292" s="15">
        <f t="shared" si="8"/>
        <v>4994034.3099999996</v>
      </c>
      <c r="P292" s="15">
        <v>4964283.8899999997</v>
      </c>
      <c r="Q292" s="12" t="s">
        <v>704</v>
      </c>
      <c r="R292" s="15">
        <f>O292/1700</f>
        <v>2937.6672411764703</v>
      </c>
      <c r="S292" s="12" t="s">
        <v>42</v>
      </c>
      <c r="T292" s="17">
        <v>25400</v>
      </c>
      <c r="U292" s="14" t="s">
        <v>43</v>
      </c>
      <c r="V292" s="12" t="s">
        <v>378</v>
      </c>
      <c r="W292" s="13">
        <f>'[1]V, inciso p) (OP)'!AM149</f>
        <v>42791</v>
      </c>
      <c r="X292" s="13">
        <f>'[1]V, inciso p) (OP)'!AN149</f>
        <v>42835</v>
      </c>
      <c r="Y292" s="14" t="s">
        <v>705</v>
      </c>
      <c r="Z292" s="12" t="s">
        <v>75</v>
      </c>
      <c r="AA292" s="12" t="s">
        <v>76</v>
      </c>
      <c r="AB292" s="14" t="s">
        <v>1358</v>
      </c>
      <c r="AC292" s="14" t="s">
        <v>48</v>
      </c>
      <c r="AD292" s="14"/>
    </row>
    <row r="293" spans="1:30" ht="80.099999999999994" customHeight="1">
      <c r="A293" s="5">
        <v>3</v>
      </c>
      <c r="B293" s="12">
        <v>2017</v>
      </c>
      <c r="C293" s="14" t="s">
        <v>143</v>
      </c>
      <c r="D293" s="14" t="str">
        <f>'[1]V, inciso p) (OP)'!D150</f>
        <v>DOPI-MUN-RM-EP-CI-003-2017</v>
      </c>
      <c r="E293" s="13">
        <f>'[1]V, inciso p) (OP)'!AD150</f>
        <v>42790</v>
      </c>
      <c r="F293" s="14" t="str">
        <f>'[1]V, inciso p) (OP)'!AL150</f>
        <v>Rehabilitación de la Unidad Administrativa Las Aguilas (cubierta, pintura, instalaciones eléctricas, instalaciones hidráulicas, nave central, impermeabilización, accesibilidad, baños, puertas de acceso principal), municipio de Zapopan, Jalisco.</v>
      </c>
      <c r="G293" s="14" t="s">
        <v>66</v>
      </c>
      <c r="H293" s="15">
        <f>'[1]V, inciso p) (OP)'!AG150</f>
        <v>2493488.7200000002</v>
      </c>
      <c r="I293" s="14" t="str">
        <f>'[1]V, inciso p) (OP)'!AS150</f>
        <v>Col. Las Aguilas</v>
      </c>
      <c r="J293" s="14" t="str">
        <f>'[1]V, inciso p) (OP)'!T150</f>
        <v xml:space="preserve">Eduardo </v>
      </c>
      <c r="K293" s="14" t="str">
        <f>'[1]V, inciso p) (OP)'!U150</f>
        <v>Plascencia</v>
      </c>
      <c r="L293" s="14" t="str">
        <f>'[1]V, inciso p) (OP)'!V150</f>
        <v>Macias</v>
      </c>
      <c r="M293" s="14" t="str">
        <f>'[1]V, inciso p) (OP)'!W150</f>
        <v>Constructora y Edificadora Plasma, S.A. de C.V.</v>
      </c>
      <c r="N293" s="14" t="str">
        <f>'[1]V, inciso p) (OP)'!X150</f>
        <v>CEP080129EK6</v>
      </c>
      <c r="O293" s="15">
        <f t="shared" si="8"/>
        <v>2493488.7200000002</v>
      </c>
      <c r="P293" s="15">
        <v>2493488.7200000002</v>
      </c>
      <c r="Q293" s="12" t="s">
        <v>706</v>
      </c>
      <c r="R293" s="15">
        <f>O293/691</f>
        <v>3608.5220260492042</v>
      </c>
      <c r="S293" s="12" t="s">
        <v>42</v>
      </c>
      <c r="T293" s="17">
        <v>279130</v>
      </c>
      <c r="U293" s="14" t="s">
        <v>43</v>
      </c>
      <c r="V293" s="12" t="s">
        <v>44</v>
      </c>
      <c r="W293" s="13">
        <f>'[1]V, inciso p) (OP)'!AM150</f>
        <v>42791</v>
      </c>
      <c r="X293" s="13">
        <f>'[1]V, inciso p) (OP)'!AN150</f>
        <v>42850</v>
      </c>
      <c r="Y293" s="14" t="s">
        <v>705</v>
      </c>
      <c r="Z293" s="12" t="s">
        <v>75</v>
      </c>
      <c r="AA293" s="12" t="s">
        <v>76</v>
      </c>
      <c r="AB293" s="14" t="s">
        <v>1359</v>
      </c>
      <c r="AC293" s="14" t="s">
        <v>125</v>
      </c>
      <c r="AD293" s="14"/>
    </row>
    <row r="294" spans="1:30" ht="80.099999999999994" customHeight="1">
      <c r="A294" s="5">
        <v>5</v>
      </c>
      <c r="B294" s="12">
        <v>2017</v>
      </c>
      <c r="C294" s="12" t="s">
        <v>65</v>
      </c>
      <c r="D294" s="14" t="str">
        <f>'[1]V, inciso o) (OP)'!C150</f>
        <v>DOPI-MUN-FORTA-PROY-AD-005-2017</v>
      </c>
      <c r="E294" s="13">
        <f>'[1]V, inciso o) (OP)'!V150</f>
        <v>42793</v>
      </c>
      <c r="F294" s="14" t="str">
        <f>'[1]V, inciso o) (OP)'!AA150</f>
        <v>Elaboración de proyectos arquitectónicos en diferentes obras del programa 2017, municipio de Zapopan, Jalisco.</v>
      </c>
      <c r="G294" s="14" t="s">
        <v>707</v>
      </c>
      <c r="H294" s="15">
        <f>'[1]V, inciso o) (OP)'!Y150</f>
        <v>1496360.35</v>
      </c>
      <c r="I294" s="14" t="s">
        <v>376</v>
      </c>
      <c r="J294" s="14" t="str">
        <f>'[1]V, inciso o) (OP)'!M150</f>
        <v>Juan Francisco</v>
      </c>
      <c r="K294" s="12" t="str">
        <f>'[1]V, inciso o) (OP)'!N150</f>
        <v>Toscano</v>
      </c>
      <c r="L294" s="12" t="str">
        <f>'[1]V, inciso o) (OP)'!O150</f>
        <v>Lases</v>
      </c>
      <c r="M294" s="14" t="str">
        <f>'[1]V, inciso o) (OP)'!P150</f>
        <v>Infografía Digital de Occidente, S. A. de C. V. PCZ-178/2016</v>
      </c>
      <c r="N294" s="12" t="str">
        <f>'[1]V, inciso o) (OP)'!Q150</f>
        <v>IDO100427QG2</v>
      </c>
      <c r="O294" s="15">
        <f t="shared" si="8"/>
        <v>1496360.35</v>
      </c>
      <c r="P294" s="15">
        <f>O294</f>
        <v>1496360.35</v>
      </c>
      <c r="Q294" s="12" t="s">
        <v>708</v>
      </c>
      <c r="R294" s="15">
        <f>O294/21</f>
        <v>71255.254761904769</v>
      </c>
      <c r="S294" s="12" t="s">
        <v>125</v>
      </c>
      <c r="T294" s="17" t="s">
        <v>125</v>
      </c>
      <c r="U294" s="14" t="s">
        <v>43</v>
      </c>
      <c r="V294" s="12" t="s">
        <v>378</v>
      </c>
      <c r="W294" s="13">
        <f>'[1]V, inciso o) (OP)'!AD150</f>
        <v>42795</v>
      </c>
      <c r="X294" s="13">
        <f>'[1]V, inciso o) (OP)'!AE150</f>
        <v>42947</v>
      </c>
      <c r="Y294" s="12" t="s">
        <v>692</v>
      </c>
      <c r="Z294" s="12" t="s">
        <v>693</v>
      </c>
      <c r="AA294" s="12" t="s">
        <v>136</v>
      </c>
      <c r="AB294" s="14" t="s">
        <v>48</v>
      </c>
      <c r="AC294" s="14" t="s">
        <v>48</v>
      </c>
      <c r="AD294" s="14" t="s">
        <v>1571</v>
      </c>
    </row>
    <row r="295" spans="1:30" ht="80.099999999999994" customHeight="1">
      <c r="A295" s="5">
        <v>8</v>
      </c>
      <c r="B295" s="12">
        <v>2017</v>
      </c>
      <c r="C295" s="12" t="s">
        <v>65</v>
      </c>
      <c r="D295" s="14" t="str">
        <f>'[1]V, inciso o) (OP)'!C151</f>
        <v>DOPI-MUN-RM-IH-AD-008-2017</v>
      </c>
      <c r="E295" s="13">
        <f>'[1]V, inciso o) (OP)'!V154</f>
        <v>42793</v>
      </c>
      <c r="F295" s="14" t="str">
        <f>'[1]V, inciso o) (OP)'!AA151</f>
        <v>Rehabilitación de líneas de agua potable y alcantarillado sanitario, en la Av. Ángel Leaño, tramo zona del Nixticuil, municipio de Zapopan, Jalisco.</v>
      </c>
      <c r="G295" s="14" t="s">
        <v>66</v>
      </c>
      <c r="H295" s="15">
        <f>'[1]V, inciso o) (OP)'!Y151</f>
        <v>1485041.89</v>
      </c>
      <c r="I295" s="14" t="s">
        <v>709</v>
      </c>
      <c r="J295" s="14" t="str">
        <f>'[1]V, inciso o) (OP)'!M151</f>
        <v>Edwin</v>
      </c>
      <c r="K295" s="12" t="str">
        <f>'[1]V, inciso o) (OP)'!N151</f>
        <v>Aguiar</v>
      </c>
      <c r="L295" s="12" t="str">
        <f>'[1]V, inciso o) (OP)'!O151</f>
        <v>Escatel</v>
      </c>
      <c r="M295" s="14" t="str">
        <f>'[1]V, inciso o) (OP)'!P151</f>
        <v>Manjarrez Urbanizaciones, S.A. de C.V. PCZ-093/2016</v>
      </c>
      <c r="N295" s="12" t="str">
        <f>'[1]V, inciso o) (OP)'!Q151</f>
        <v>MUR090325P33</v>
      </c>
      <c r="O295" s="15">
        <f t="shared" si="8"/>
        <v>1485041.89</v>
      </c>
      <c r="P295" s="15">
        <v>1466400.54</v>
      </c>
      <c r="Q295" s="12" t="s">
        <v>710</v>
      </c>
      <c r="R295" s="15">
        <f>O295/600</f>
        <v>2475.0698166666666</v>
      </c>
      <c r="S295" s="12" t="s">
        <v>42</v>
      </c>
      <c r="T295" s="17">
        <v>3189</v>
      </c>
      <c r="U295" s="14" t="s">
        <v>43</v>
      </c>
      <c r="V295" s="12" t="s">
        <v>378</v>
      </c>
      <c r="W295" s="13">
        <f>'[1]V, inciso o) (OP)'!AD151</f>
        <v>42793</v>
      </c>
      <c r="X295" s="13">
        <f>'[1]V, inciso o) (OP)'!AE151</f>
        <v>42858</v>
      </c>
      <c r="Y295" s="12" t="s">
        <v>385</v>
      </c>
      <c r="Z295" s="12" t="s">
        <v>208</v>
      </c>
      <c r="AA295" s="12" t="s">
        <v>47</v>
      </c>
      <c r="AB295" s="14" t="s">
        <v>1526</v>
      </c>
      <c r="AC295" s="14" t="s">
        <v>48</v>
      </c>
      <c r="AD295" s="14"/>
    </row>
    <row r="296" spans="1:30" ht="80.099999999999994" customHeight="1">
      <c r="A296" s="5">
        <v>9</v>
      </c>
      <c r="B296" s="12">
        <v>2017</v>
      </c>
      <c r="C296" s="12" t="s">
        <v>65</v>
      </c>
      <c r="D296" s="14" t="str">
        <f>'[1]V, inciso o) (OP)'!C152</f>
        <v>DOPI-MUN-FORTA-SER-AD-009-2017</v>
      </c>
      <c r="E296" s="13">
        <f>'[1]V, inciso o) (OP)'!V155</f>
        <v>42811</v>
      </c>
      <c r="F296" s="14" t="str">
        <f>'[1]V, inciso o) (OP)'!AA152</f>
        <v>Elaboración de peritajes estructurales en infraestructura urbana, municipio de Zapopan, Jalisco.</v>
      </c>
      <c r="G296" s="14" t="s">
        <v>707</v>
      </c>
      <c r="H296" s="15">
        <f>'[1]V, inciso o) (OP)'!Y152</f>
        <v>985746.57</v>
      </c>
      <c r="I296" s="14" t="s">
        <v>376</v>
      </c>
      <c r="J296" s="14" t="str">
        <f>'[1]V, inciso o) (OP)'!M152</f>
        <v>Héctor Manuel</v>
      </c>
      <c r="K296" s="12" t="str">
        <f>'[1]V, inciso o) (OP)'!N152</f>
        <v>Zepeda</v>
      </c>
      <c r="L296" s="12" t="str">
        <f>'[1]V, inciso o) (OP)'!O152</f>
        <v>Angulo</v>
      </c>
      <c r="M296" s="14" t="str">
        <f>'[1]V, inciso o) (OP)'!P152</f>
        <v>Colegio de Ingenieros Civiles del Estado de Jalisco, A. C. PCZ-480/2017</v>
      </c>
      <c r="N296" s="12" t="str">
        <f>'[1]V, inciso o) (OP)'!Q152</f>
        <v>CIC680115AK4</v>
      </c>
      <c r="O296" s="15">
        <f t="shared" si="8"/>
        <v>985746.57</v>
      </c>
      <c r="P296" s="15">
        <f>O296</f>
        <v>985746.57</v>
      </c>
      <c r="Q296" s="12" t="s">
        <v>124</v>
      </c>
      <c r="R296" s="15" t="s">
        <v>124</v>
      </c>
      <c r="S296" s="12" t="s">
        <v>125</v>
      </c>
      <c r="T296" s="17" t="s">
        <v>125</v>
      </c>
      <c r="U296" s="14" t="s">
        <v>43</v>
      </c>
      <c r="V296" s="12" t="s">
        <v>378</v>
      </c>
      <c r="W296" s="13">
        <f>'[1]V, inciso o) (OP)'!AD152</f>
        <v>42814</v>
      </c>
      <c r="X296" s="13">
        <f>'[1]V, inciso o) (OP)'!AE152</f>
        <v>42977</v>
      </c>
      <c r="Y296" s="12" t="s">
        <v>711</v>
      </c>
      <c r="Z296" s="12" t="s">
        <v>532</v>
      </c>
      <c r="AA296" s="12" t="s">
        <v>533</v>
      </c>
      <c r="AB296" s="8" t="s">
        <v>1919</v>
      </c>
      <c r="AC296" s="14" t="s">
        <v>48</v>
      </c>
      <c r="AD296" s="14" t="s">
        <v>1571</v>
      </c>
    </row>
    <row r="297" spans="1:30" ht="80.099999999999994" customHeight="1">
      <c r="A297" s="5">
        <v>10</v>
      </c>
      <c r="B297" s="12">
        <v>2017</v>
      </c>
      <c r="C297" s="12" t="s">
        <v>65</v>
      </c>
      <c r="D297" s="14" t="str">
        <f>'[1]V, inciso o) (OP)'!C153</f>
        <v>DOPI-MUN-FORTA-PROY-AD-010-2017</v>
      </c>
      <c r="E297" s="13">
        <f>'[1]V, inciso o) (OP)'!V156</f>
        <v>42797</v>
      </c>
      <c r="F297" s="14" t="str">
        <f>'[1]V, inciso o) (OP)'!AA153</f>
        <v>Diagnóstico, diseño y proyectos de infraestructura eléctrica 2017, primera etapa, municipio de Zapopan, Jalisco.</v>
      </c>
      <c r="G297" s="14" t="s">
        <v>707</v>
      </c>
      <c r="H297" s="15">
        <f>'[1]V, inciso o) (OP)'!Y153</f>
        <v>1002698.13</v>
      </c>
      <c r="I297" s="14" t="s">
        <v>124</v>
      </c>
      <c r="J297" s="14" t="str">
        <f>'[1]V, inciso o) (OP)'!M153</f>
        <v>Pia Lorena</v>
      </c>
      <c r="K297" s="12" t="str">
        <f>'[1]V, inciso o) (OP)'!N153</f>
        <v>Buenrostro</v>
      </c>
      <c r="L297" s="12" t="str">
        <f>'[1]V, inciso o) (OP)'!O153</f>
        <v>Ahued</v>
      </c>
      <c r="M297" s="14" t="str">
        <f>'[1]V, inciso o) (OP)'!P153</f>
        <v>Birmek Construcciones, S.A. de C.V.</v>
      </c>
      <c r="N297" s="12" t="str">
        <f>'[1]V, inciso o) (OP)'!Q153</f>
        <v>BCO070129512</v>
      </c>
      <c r="O297" s="15">
        <f t="shared" si="8"/>
        <v>1002698.13</v>
      </c>
      <c r="P297" s="15">
        <v>1001069.12</v>
      </c>
      <c r="Q297" s="12" t="s">
        <v>124</v>
      </c>
      <c r="R297" s="15" t="s">
        <v>124</v>
      </c>
      <c r="S297" s="12" t="s">
        <v>125</v>
      </c>
      <c r="T297" s="17" t="s">
        <v>125</v>
      </c>
      <c r="U297" s="14" t="s">
        <v>43</v>
      </c>
      <c r="V297" s="12" t="s">
        <v>378</v>
      </c>
      <c r="W297" s="13">
        <f>'[1]V, inciso o) (OP)'!AD153</f>
        <v>42814</v>
      </c>
      <c r="X297" s="13">
        <f>'[1]V, inciso o) (OP)'!AE153</f>
        <v>42977</v>
      </c>
      <c r="Y297" s="12" t="s">
        <v>712</v>
      </c>
      <c r="Z297" s="12" t="s">
        <v>301</v>
      </c>
      <c r="AA297" s="12" t="s">
        <v>302</v>
      </c>
      <c r="AB297" s="14" t="s">
        <v>1527</v>
      </c>
      <c r="AC297" s="14" t="s">
        <v>48</v>
      </c>
      <c r="AD297" s="14"/>
    </row>
    <row r="298" spans="1:30" ht="80.099999999999994" customHeight="1">
      <c r="A298" s="5">
        <v>11</v>
      </c>
      <c r="B298" s="12">
        <v>2017</v>
      </c>
      <c r="C298" s="12" t="s">
        <v>65</v>
      </c>
      <c r="D298" s="14" t="str">
        <f>'[1]V, inciso o) (OP)'!C154</f>
        <v>DOPI-MUN-FORTA-PROY-AD-011-2017</v>
      </c>
      <c r="E298" s="13">
        <f>'[1]V, inciso o) (OP)'!V157</f>
        <v>42811</v>
      </c>
      <c r="F298" s="14" t="str">
        <f>'[1]V, inciso o) (OP)'!AA154</f>
        <v>Proyecto ejecutivo para la construcción de ciclovia y rehabilitación de banquetas en la Glorieta Chapalita y la Av. Guadalupe de la Glorieta Chapalita a la Av. Niño Obrero, municipio de Zapopan, Jalisco.</v>
      </c>
      <c r="G298" s="14" t="s">
        <v>707</v>
      </c>
      <c r="H298" s="15">
        <f>'[1]V, inciso o) (OP)'!Y154</f>
        <v>472500.2</v>
      </c>
      <c r="I298" s="14" t="s">
        <v>713</v>
      </c>
      <c r="J298" s="14" t="str">
        <f>'[1]V, inciso o) (OP)'!M154</f>
        <v xml:space="preserve">Rene </v>
      </c>
      <c r="K298" s="12" t="str">
        <f>'[1]V, inciso o) (OP)'!N154</f>
        <v>Caro</v>
      </c>
      <c r="L298" s="12" t="str">
        <f>'[1]V, inciso o) (OP)'!O154</f>
        <v>Gómez</v>
      </c>
      <c r="M298" s="14" t="str">
        <f>'[1]V, inciso o) (OP)'!P154</f>
        <v>Rene Caro Gómez</v>
      </c>
      <c r="N298" s="12" t="str">
        <f>'[1]V, inciso o) (OP)'!Q154</f>
        <v>CAGR720818NC1</v>
      </c>
      <c r="O298" s="15">
        <f t="shared" si="8"/>
        <v>472500.2</v>
      </c>
      <c r="P298" s="15">
        <v>472500.2</v>
      </c>
      <c r="Q298" s="12" t="s">
        <v>714</v>
      </c>
      <c r="R298" s="15">
        <f>O298</f>
        <v>472500.2</v>
      </c>
      <c r="S298" s="12" t="s">
        <v>125</v>
      </c>
      <c r="T298" s="17" t="s">
        <v>125</v>
      </c>
      <c r="U298" s="14" t="s">
        <v>43</v>
      </c>
      <c r="V298" s="12" t="s">
        <v>44</v>
      </c>
      <c r="W298" s="13">
        <f>'[1]V, inciso o) (OP)'!AD154</f>
        <v>42795</v>
      </c>
      <c r="X298" s="13">
        <f>'[1]V, inciso o) (OP)'!AE154</f>
        <v>42886</v>
      </c>
      <c r="Y298" s="12" t="s">
        <v>692</v>
      </c>
      <c r="Z298" s="12" t="s">
        <v>693</v>
      </c>
      <c r="AA298" s="12" t="s">
        <v>136</v>
      </c>
      <c r="AB298" s="14" t="s">
        <v>1528</v>
      </c>
      <c r="AC298" s="14" t="s">
        <v>125</v>
      </c>
      <c r="AD298" s="14"/>
    </row>
    <row r="299" spans="1:30" ht="80.099999999999994" customHeight="1">
      <c r="A299" s="5">
        <v>12</v>
      </c>
      <c r="B299" s="12">
        <v>2017</v>
      </c>
      <c r="C299" s="12" t="s">
        <v>65</v>
      </c>
      <c r="D299" s="14" t="str">
        <f>'[1]V, inciso o) (OP)'!C155</f>
        <v>DOPI-MUN-FORTA-ID-AD-012-2017</v>
      </c>
      <c r="E299" s="13">
        <f>'[1]V, inciso o) (OP)'!V158</f>
        <v>42811</v>
      </c>
      <c r="F299" s="14" t="str">
        <f>'[1]V, inciso o) (OP)'!AA155</f>
        <v>Construcción de Skatepark en la Unidad Deportiva Santa Margarita, municipio de Zapopan, Jalisco.</v>
      </c>
      <c r="G299" s="14" t="s">
        <v>707</v>
      </c>
      <c r="H299" s="15">
        <f>'[1]V, inciso o) (OP)'!Y155</f>
        <v>1045280.32</v>
      </c>
      <c r="I299" s="14" t="s">
        <v>621</v>
      </c>
      <c r="J299" s="14" t="str">
        <f>'[1]V, inciso o) (OP)'!M155</f>
        <v>DAVID</v>
      </c>
      <c r="K299" s="12" t="str">
        <f>'[1]V, inciso o) (OP)'!N155</f>
        <v>LEDESMA</v>
      </c>
      <c r="L299" s="12" t="str">
        <f>'[1]V, inciso o) (OP)'!O155</f>
        <v>MARTIN DEL CAMPO</v>
      </c>
      <c r="M299" s="14" t="str">
        <f>'[1]V, inciso o) (OP)'!P155</f>
        <v>David Ledesma Martin Del Campo</v>
      </c>
      <c r="N299" s="12" t="str">
        <f>'[1]V, inciso o) (OP)'!Q155</f>
        <v>LEMD880217U53</v>
      </c>
      <c r="O299" s="15">
        <f t="shared" si="8"/>
        <v>1045280.32</v>
      </c>
      <c r="P299" s="15">
        <f>O299</f>
        <v>1045280.32</v>
      </c>
      <c r="Q299" s="12" t="s">
        <v>715</v>
      </c>
      <c r="R299" s="15">
        <f>O299/490</f>
        <v>2133.2251428571426</v>
      </c>
      <c r="S299" s="12" t="s">
        <v>42</v>
      </c>
      <c r="T299" s="17">
        <v>6963</v>
      </c>
      <c r="U299" s="14" t="s">
        <v>43</v>
      </c>
      <c r="V299" s="12" t="s">
        <v>378</v>
      </c>
      <c r="W299" s="13">
        <f>'[1]V, inciso o) (OP)'!AD155</f>
        <v>42814</v>
      </c>
      <c r="X299" s="13">
        <f>'[1]V, inciso o) (OP)'!AE155</f>
        <v>42886</v>
      </c>
      <c r="Y299" s="12" t="s">
        <v>716</v>
      </c>
      <c r="Z299" s="12" t="s">
        <v>616</v>
      </c>
      <c r="AA299" s="12" t="s">
        <v>617</v>
      </c>
      <c r="AB299" s="14" t="s">
        <v>1529</v>
      </c>
      <c r="AC299" s="14" t="s">
        <v>48</v>
      </c>
      <c r="AD299" s="14" t="s">
        <v>1571</v>
      </c>
    </row>
    <row r="300" spans="1:30" ht="80.099999999999994" customHeight="1">
      <c r="A300" s="5">
        <v>13</v>
      </c>
      <c r="B300" s="12">
        <v>2017</v>
      </c>
      <c r="C300" s="12" t="s">
        <v>65</v>
      </c>
      <c r="D300" s="14" t="str">
        <f>'[1]V, inciso o) (OP)'!C156</f>
        <v>DOPI-MUN-FORTA-ELE-AD-013-2017</v>
      </c>
      <c r="E300" s="13">
        <f>'[1]V, inciso o) (OP)'!V159</f>
        <v>42811</v>
      </c>
      <c r="F300" s="14" t="str">
        <f>'[1]V, inciso o) (OP)'!AA156</f>
        <v>Instalación de la media tensión, equipos de medición y alimentación a tableros en la Unidad Deportiva El Polvorín, municipio de Zapopan, Jalisco.</v>
      </c>
      <c r="G300" s="14" t="s">
        <v>707</v>
      </c>
      <c r="H300" s="15">
        <f>'[1]V, inciso o) (OP)'!Y156</f>
        <v>603813.25</v>
      </c>
      <c r="I300" s="14" t="s">
        <v>140</v>
      </c>
      <c r="J300" s="14" t="str">
        <f>'[1]V, inciso o) (OP)'!M156</f>
        <v>FAUSTO</v>
      </c>
      <c r="K300" s="12" t="str">
        <f>'[1]V, inciso o) (OP)'!N156</f>
        <v>GARNICA</v>
      </c>
      <c r="L300" s="12" t="str">
        <f>'[1]V, inciso o) (OP)'!O156</f>
        <v>PADILLA</v>
      </c>
      <c r="M300" s="14" t="str">
        <f>'[1]V, inciso o) (OP)'!P156</f>
        <v>Fausto Garnica Padilla</v>
      </c>
      <c r="N300" s="12" t="str">
        <f>'[1]V, inciso o) (OP)'!Q156</f>
        <v>GAPF5912193V9</v>
      </c>
      <c r="O300" s="15">
        <f t="shared" si="8"/>
        <v>603813.25</v>
      </c>
      <c r="P300" s="15">
        <v>423667.84</v>
      </c>
      <c r="Q300" s="12" t="s">
        <v>717</v>
      </c>
      <c r="R300" s="15">
        <f>O300/80</f>
        <v>7547.6656249999996</v>
      </c>
      <c r="S300" s="12" t="s">
        <v>42</v>
      </c>
      <c r="T300" s="17">
        <v>2184</v>
      </c>
      <c r="U300" s="14" t="s">
        <v>43</v>
      </c>
      <c r="V300" s="12" t="s">
        <v>44</v>
      </c>
      <c r="W300" s="13">
        <f>'[1]V, inciso o) (OP)'!AD156</f>
        <v>42800</v>
      </c>
      <c r="X300" s="13">
        <f>'[1]V, inciso o) (OP)'!AE156</f>
        <v>42886</v>
      </c>
      <c r="Y300" s="12" t="s">
        <v>718</v>
      </c>
      <c r="Z300" s="12" t="s">
        <v>153</v>
      </c>
      <c r="AA300" s="12" t="s">
        <v>134</v>
      </c>
      <c r="AB300" s="14" t="s">
        <v>1530</v>
      </c>
      <c r="AC300" s="14" t="s">
        <v>125</v>
      </c>
      <c r="AD300" s="14"/>
    </row>
    <row r="301" spans="1:30" ht="80.099999999999994" customHeight="1">
      <c r="A301" s="5">
        <v>14</v>
      </c>
      <c r="B301" s="12">
        <v>2017</v>
      </c>
      <c r="C301" s="12" t="s">
        <v>65</v>
      </c>
      <c r="D301" s="14" t="str">
        <f>'[1]V, inciso o) (OP)'!C157</f>
        <v>DOPI-MUN-FORTA-ELE-AD-014-2017</v>
      </c>
      <c r="E301" s="13">
        <f>'[1]V, inciso o) (OP)'!V160</f>
        <v>42811</v>
      </c>
      <c r="F301" s="14" t="str">
        <f>'[1]V, inciso o) (OP)'!AA157</f>
        <v>Alumbrado en andadores, canchas y áreas comunes en la Unidad Deportiva El Polvorín, municipio de Zapopan, Jalisco.</v>
      </c>
      <c r="G301" s="14" t="s">
        <v>707</v>
      </c>
      <c r="H301" s="15">
        <f>'[1]V, inciso o) (OP)'!Y157</f>
        <v>1377688.14</v>
      </c>
      <c r="I301" s="14" t="s">
        <v>140</v>
      </c>
      <c r="J301" s="14" t="str">
        <f>'[1]V, inciso o) (OP)'!M157</f>
        <v>HECTOR MANUEL</v>
      </c>
      <c r="K301" s="12" t="str">
        <f>'[1]V, inciso o) (OP)'!N157</f>
        <v>ALVAREZ</v>
      </c>
      <c r="L301" s="12" t="str">
        <f>'[1]V, inciso o) (OP)'!O157</f>
        <v>ORGANISTA</v>
      </c>
      <c r="M301" s="14" t="str">
        <f>'[1]V, inciso o) (OP)'!P157</f>
        <v>Acaspoluca Consultoría y Construcción, S. A. de C. V.</v>
      </c>
      <c r="N301" s="12" t="str">
        <f>'[1]V, inciso o) (OP)'!Q157</f>
        <v>ACC0202071Z6</v>
      </c>
      <c r="O301" s="15">
        <f t="shared" si="8"/>
        <v>1377688.14</v>
      </c>
      <c r="P301" s="15">
        <v>1216927.72</v>
      </c>
      <c r="Q301" s="12" t="s">
        <v>719</v>
      </c>
      <c r="R301" s="15">
        <f>O301/40</f>
        <v>34442.203499999996</v>
      </c>
      <c r="S301" s="12" t="s">
        <v>42</v>
      </c>
      <c r="T301" s="17">
        <v>2184</v>
      </c>
      <c r="U301" s="14" t="s">
        <v>43</v>
      </c>
      <c r="V301" s="12" t="s">
        <v>44</v>
      </c>
      <c r="W301" s="13">
        <f>'[1]V, inciso o) (OP)'!AD157</f>
        <v>42814</v>
      </c>
      <c r="X301" s="13">
        <f>'[1]V, inciso o) (OP)'!AE157</f>
        <v>42886</v>
      </c>
      <c r="Y301" s="12" t="s">
        <v>718</v>
      </c>
      <c r="Z301" s="12" t="s">
        <v>153</v>
      </c>
      <c r="AA301" s="12" t="s">
        <v>134</v>
      </c>
      <c r="AB301" s="14" t="s">
        <v>1531</v>
      </c>
      <c r="AC301" s="14" t="s">
        <v>125</v>
      </c>
      <c r="AD301" s="14"/>
    </row>
    <row r="302" spans="1:30" ht="80.099999999999994" customHeight="1">
      <c r="A302" s="5">
        <v>15</v>
      </c>
      <c r="B302" s="12">
        <v>2017</v>
      </c>
      <c r="C302" s="12" t="s">
        <v>65</v>
      </c>
      <c r="D302" s="14" t="str">
        <f>'[1]V, inciso o) (OP)'!C158</f>
        <v>DOPI-MUN-FORTA-ID-AD-015-2017</v>
      </c>
      <c r="E302" s="13">
        <f>'[1]V, inciso o) (OP)'!V161</f>
        <v>42811</v>
      </c>
      <c r="F302" s="14" t="str">
        <f>'[1]V, inciso o) (OP)'!AA158</f>
        <v>Construcción cancha de voleibol de playa, rehabilitación de andador, instalaciones para la operación, mobiliario urbano y obra  complementaria en la Unidad Deportiva El Polvorín, municipio de Zapopan, Jalisco.</v>
      </c>
      <c r="G302" s="14" t="s">
        <v>707</v>
      </c>
      <c r="H302" s="15">
        <f>'[1]V, inciso o) (OP)'!Y158</f>
        <v>1502150.14</v>
      </c>
      <c r="I302" s="14" t="s">
        <v>140</v>
      </c>
      <c r="J302" s="14" t="str">
        <f>'[1]V, inciso o) (OP)'!M158</f>
        <v>MARIA EUGENIA</v>
      </c>
      <c r="K302" s="12" t="str">
        <f>'[1]V, inciso o) (OP)'!N158</f>
        <v xml:space="preserve">CORTES </v>
      </c>
      <c r="L302" s="12" t="str">
        <f>'[1]V, inciso o) (OP)'!O158</f>
        <v>GONZALEZ</v>
      </c>
      <c r="M302" s="14" t="str">
        <f>'[1]V, inciso o) (OP)'!P158</f>
        <v>Aspavi, S. A. de C. V.</v>
      </c>
      <c r="N302" s="12" t="str">
        <f>'[1]V, inciso o) (OP)'!Q158</f>
        <v>ASP100215RH9</v>
      </c>
      <c r="O302" s="15">
        <f t="shared" si="8"/>
        <v>1502150.14</v>
      </c>
      <c r="P302" s="15">
        <f>O302</f>
        <v>1502150.14</v>
      </c>
      <c r="Q302" s="12" t="s">
        <v>720</v>
      </c>
      <c r="R302" s="15">
        <f>O302/504</f>
        <v>2980.4566269841266</v>
      </c>
      <c r="S302" s="12" t="s">
        <v>42</v>
      </c>
      <c r="T302" s="17">
        <v>2184</v>
      </c>
      <c r="U302" s="14" t="s">
        <v>43</v>
      </c>
      <c r="V302" s="12" t="s">
        <v>378</v>
      </c>
      <c r="W302" s="13">
        <f>'[1]V, inciso o) (OP)'!AD158</f>
        <v>42814</v>
      </c>
      <c r="X302" s="13">
        <f>'[1]V, inciso o) (OP)'!AE158</f>
        <v>42886</v>
      </c>
      <c r="Y302" s="12" t="s">
        <v>718</v>
      </c>
      <c r="Z302" s="12" t="s">
        <v>153</v>
      </c>
      <c r="AA302" s="12" t="s">
        <v>134</v>
      </c>
      <c r="AB302" s="14" t="s">
        <v>48</v>
      </c>
      <c r="AC302" s="14" t="s">
        <v>48</v>
      </c>
      <c r="AD302" s="14" t="s">
        <v>1571</v>
      </c>
    </row>
    <row r="303" spans="1:30" ht="80.099999999999994" customHeight="1">
      <c r="A303" s="5">
        <v>16</v>
      </c>
      <c r="B303" s="12">
        <v>2017</v>
      </c>
      <c r="C303" s="12" t="s">
        <v>65</v>
      </c>
      <c r="D303" s="14" t="str">
        <f>'[1]V, inciso o) (OP)'!C159</f>
        <v>DOPI-MUN-FORTA-BAN-AD-016-2017</v>
      </c>
      <c r="E303" s="13">
        <f>'[1]V, inciso o) (OP)'!V162</f>
        <v>42804</v>
      </c>
      <c r="F303" s="14" t="str">
        <f>'[1]V, inciso o) (OP)'!AA159</f>
        <v>Construcción y rehabilitación de guarniciones, banquetas, obra complementaria en camellones en diferentes zonas del municipio de Zapopan, Jalisco, frente 1.</v>
      </c>
      <c r="G303" s="14" t="s">
        <v>707</v>
      </c>
      <c r="H303" s="15">
        <f>'[1]V, inciso o) (OP)'!Y159</f>
        <v>1415754.87</v>
      </c>
      <c r="I303" s="14" t="s">
        <v>376</v>
      </c>
      <c r="J303" s="14" t="str">
        <f>'[1]V, inciso o) (OP)'!M159</f>
        <v>REGINO</v>
      </c>
      <c r="K303" s="12" t="str">
        <f>'[1]V, inciso o) (OP)'!N159</f>
        <v>RUIZ DEL CAMPO</v>
      </c>
      <c r="L303" s="12" t="str">
        <f>'[1]V, inciso o) (OP)'!O159</f>
        <v>MEDINA</v>
      </c>
      <c r="M303" s="14" t="str">
        <f>'[1]V, inciso o) (OP)'!P159</f>
        <v>Regino Ruiz del Campo Medina</v>
      </c>
      <c r="N303" s="12" t="str">
        <f>'[1]V, inciso o) (OP)'!Q159</f>
        <v>RUMR771116UA8</v>
      </c>
      <c r="O303" s="15">
        <f t="shared" si="8"/>
        <v>1415754.87</v>
      </c>
      <c r="P303" s="15">
        <f>O303</f>
        <v>1415754.87</v>
      </c>
      <c r="Q303" s="12" t="s">
        <v>721</v>
      </c>
      <c r="R303" s="15">
        <f>O303/1136</f>
        <v>1246.2630897887325</v>
      </c>
      <c r="S303" s="12" t="s">
        <v>42</v>
      </c>
      <c r="T303" s="17">
        <v>1465</v>
      </c>
      <c r="U303" s="14" t="s">
        <v>43</v>
      </c>
      <c r="V303" s="12" t="s">
        <v>378</v>
      </c>
      <c r="W303" s="13">
        <f>'[1]V, inciso o) (OP)'!AD159</f>
        <v>42814</v>
      </c>
      <c r="X303" s="13">
        <f>'[1]V, inciso o) (OP)'!AE159</f>
        <v>42916</v>
      </c>
      <c r="Y303" s="12" t="s">
        <v>722</v>
      </c>
      <c r="Z303" s="12" t="s">
        <v>583</v>
      </c>
      <c r="AA303" s="12" t="s">
        <v>456</v>
      </c>
      <c r="AB303" s="14" t="s">
        <v>1532</v>
      </c>
      <c r="AC303" s="14" t="s">
        <v>48</v>
      </c>
      <c r="AD303" s="14" t="s">
        <v>1571</v>
      </c>
    </row>
    <row r="304" spans="1:30" ht="80.099999999999994" customHeight="1">
      <c r="A304" s="5">
        <v>17</v>
      </c>
      <c r="B304" s="12">
        <v>2017</v>
      </c>
      <c r="C304" s="12" t="s">
        <v>65</v>
      </c>
      <c r="D304" s="14" t="str">
        <f>'[1]V, inciso o) (OP)'!C160</f>
        <v>DOPI-MUN-FORTA-BAN-AD-017-2017</v>
      </c>
      <c r="E304" s="13">
        <f>'[1]V, inciso o) (OP)'!V163</f>
        <v>42804</v>
      </c>
      <c r="F304" s="14" t="str">
        <f>'[1]V, inciso o) (OP)'!AA160</f>
        <v xml:space="preserve">Peatonalización, construcción de banquetas, sustitución de guarniciones, bolardos, primera etapa en la colonia Constitución, municipio de Zapopan, Jalisco.  </v>
      </c>
      <c r="G304" s="14" t="s">
        <v>707</v>
      </c>
      <c r="H304" s="15">
        <f>'[1]V, inciso o) (OP)'!Y160</f>
        <v>1358967.17</v>
      </c>
      <c r="I304" s="14" t="s">
        <v>376</v>
      </c>
      <c r="J304" s="14" t="str">
        <f>'[1]V, inciso o) (OP)'!M160</f>
        <v>SERGIO CESAR</v>
      </c>
      <c r="K304" s="12" t="str">
        <f>'[1]V, inciso o) (OP)'!N160</f>
        <v>DIAZ</v>
      </c>
      <c r="L304" s="12" t="str">
        <f>'[1]V, inciso o) (OP)'!O160</f>
        <v>QUIROZ</v>
      </c>
      <c r="M304" s="14" t="str">
        <f>'[1]V, inciso o) (OP)'!P160</f>
        <v>Transcreto, S. A. de C. V.</v>
      </c>
      <c r="N304" s="12" t="str">
        <f>'[1]V, inciso o) (OP)'!Q160</f>
        <v>TRA750528286</v>
      </c>
      <c r="O304" s="15">
        <f t="shared" si="8"/>
        <v>1358967.17</v>
      </c>
      <c r="P304" s="15">
        <f>O304</f>
        <v>1358967.17</v>
      </c>
      <c r="Q304" s="12" t="s">
        <v>723</v>
      </c>
      <c r="R304" s="15">
        <f>O304/5662</f>
        <v>240.01539561992229</v>
      </c>
      <c r="S304" s="12" t="s">
        <v>42</v>
      </c>
      <c r="T304" s="17">
        <v>12983</v>
      </c>
      <c r="U304" s="14" t="s">
        <v>43</v>
      </c>
      <c r="V304" s="12" t="s">
        <v>378</v>
      </c>
      <c r="W304" s="13">
        <f>'[1]V, inciso o) (OP)'!AD160</f>
        <v>42814</v>
      </c>
      <c r="X304" s="13">
        <f>'[1]V, inciso o) (OP)'!AE160</f>
        <v>42855</v>
      </c>
      <c r="Y304" s="12" t="s">
        <v>724</v>
      </c>
      <c r="Z304" s="12" t="s">
        <v>419</v>
      </c>
      <c r="AA304" s="12" t="s">
        <v>420</v>
      </c>
      <c r="AB304" s="14" t="s">
        <v>1533</v>
      </c>
      <c r="AC304" s="14" t="s">
        <v>48</v>
      </c>
      <c r="AD304" s="14" t="s">
        <v>1571</v>
      </c>
    </row>
    <row r="305" spans="1:30" ht="80.099999999999994" customHeight="1">
      <c r="A305" s="5">
        <v>18</v>
      </c>
      <c r="B305" s="12">
        <v>2017</v>
      </c>
      <c r="C305" s="12" t="s">
        <v>65</v>
      </c>
      <c r="D305" s="14" t="str">
        <f>'[1]V, inciso o) (OP)'!C161</f>
        <v>DOPI-MUN-FORTA-BAN-AD-018-2017</v>
      </c>
      <c r="E305" s="13">
        <f>'[1]V, inciso o) (OP)'!V164</f>
        <v>42804</v>
      </c>
      <c r="F305" s="14" t="str">
        <f>'[1]V, inciso o) (OP)'!AA161</f>
        <v>Peatonalización (banquetas y obras de accesibilidad) del área de influencia de las escuelas: Primaria Vicente Guerrero clave 14DPR3223C, Primaria Urbana Juan Escutia 1130 clave 14EPR0783R, Primaria José María Morelos y Pavón clave 14DPR3388L, y Primaria Gustavo Díaz Ordaz clave 14EPR1473U, municipio de Zapopan, Jalisco.</v>
      </c>
      <c r="G305" s="14" t="s">
        <v>707</v>
      </c>
      <c r="H305" s="15">
        <f>'[1]V, inciso o) (OP)'!Y161</f>
        <v>1475115.16</v>
      </c>
      <c r="I305" s="14" t="s">
        <v>376</v>
      </c>
      <c r="J305" s="14" t="str">
        <f>'[1]V, inciso o) (OP)'!M161</f>
        <v>GUSTAVO</v>
      </c>
      <c r="K305" s="12" t="str">
        <f>'[1]V, inciso o) (OP)'!N161</f>
        <v>DURAN</v>
      </c>
      <c r="L305" s="12" t="str">
        <f>'[1]V, inciso o) (OP)'!O161</f>
        <v>JIMENEZ</v>
      </c>
      <c r="M305" s="14" t="str">
        <f>'[1]V, inciso o) (OP)'!P161</f>
        <v>Duran Jiménez Arquitectos, S. A. de C. V.</v>
      </c>
      <c r="N305" s="12" t="str">
        <f>'[1]V, inciso o) (OP)'!Q161</f>
        <v>DJA9405184G7</v>
      </c>
      <c r="O305" s="15">
        <f t="shared" si="8"/>
        <v>1475115.16</v>
      </c>
      <c r="P305" s="15">
        <f>O305</f>
        <v>1475115.16</v>
      </c>
      <c r="Q305" s="12" t="s">
        <v>725</v>
      </c>
      <c r="R305" s="15">
        <f>O305/6946</f>
        <v>212.36901238122658</v>
      </c>
      <c r="S305" s="12" t="s">
        <v>42</v>
      </c>
      <c r="T305" s="17">
        <v>1315</v>
      </c>
      <c r="U305" s="14" t="s">
        <v>43</v>
      </c>
      <c r="V305" s="12" t="s">
        <v>378</v>
      </c>
      <c r="W305" s="13">
        <f>'[1]V, inciso o) (OP)'!AD161</f>
        <v>42814</v>
      </c>
      <c r="X305" s="13">
        <f>'[1]V, inciso o) (OP)'!AE161</f>
        <v>42916</v>
      </c>
      <c r="Y305" s="12" t="s">
        <v>436</v>
      </c>
      <c r="Z305" s="12" t="s">
        <v>75</v>
      </c>
      <c r="AA305" s="12" t="s">
        <v>76</v>
      </c>
      <c r="AB305" s="14" t="s">
        <v>1534</v>
      </c>
      <c r="AC305" s="14" t="s">
        <v>48</v>
      </c>
      <c r="AD305" s="14" t="s">
        <v>1571</v>
      </c>
    </row>
    <row r="306" spans="1:30" ht="80.099999999999994" customHeight="1">
      <c r="A306" s="5">
        <v>19</v>
      </c>
      <c r="B306" s="12">
        <v>2017</v>
      </c>
      <c r="C306" s="12" t="s">
        <v>65</v>
      </c>
      <c r="D306" s="14" t="str">
        <f>'[1]V, inciso o) (OP)'!C162</f>
        <v>DOPI-MUN-FORTA-DES-AD-019-2017</v>
      </c>
      <c r="E306" s="13">
        <f>'[1]V, inciso o) (OP)'!V165</f>
        <v>42804</v>
      </c>
      <c r="F306" s="14" t="str">
        <f>'[1]V, inciso o) (OP)'!AA162</f>
        <v>Desazolve, limpieza, rectificación y obras de protección de cauce y canal del Arroyo La Culebra, en Villas Universidad, Royal Country y Puerta Plata, municipio de Zapopan, Jalisco.</v>
      </c>
      <c r="G306" s="14" t="s">
        <v>707</v>
      </c>
      <c r="H306" s="15">
        <f>'[1]V, inciso o) (OP)'!Y162</f>
        <v>1515350.23</v>
      </c>
      <c r="I306" s="14" t="s">
        <v>726</v>
      </c>
      <c r="J306" s="14" t="str">
        <f>'[1]V, inciso o) (OP)'!M162</f>
        <v>CLARISSA GABRIELA</v>
      </c>
      <c r="K306" s="12" t="str">
        <f>'[1]V, inciso o) (OP)'!N162</f>
        <v>VALDEZ</v>
      </c>
      <c r="L306" s="12" t="str">
        <f>'[1]V, inciso o) (OP)'!O162</f>
        <v>MANJARREZ</v>
      </c>
      <c r="M306" s="14" t="str">
        <f>'[1]V, inciso o) (OP)'!P162</f>
        <v>Tekton Grupo Empresarial, S. A. de C. V.</v>
      </c>
      <c r="N306" s="12" t="str">
        <f>'[1]V, inciso o) (OP)'!Q162</f>
        <v>TGE101215JI6</v>
      </c>
      <c r="O306" s="15">
        <f t="shared" si="8"/>
        <v>1515350.23</v>
      </c>
      <c r="P306" s="15">
        <v>1515349.77</v>
      </c>
      <c r="Q306" s="12" t="s">
        <v>727</v>
      </c>
      <c r="R306" s="15">
        <f>O306/2162</f>
        <v>700.9020490286772</v>
      </c>
      <c r="S306" s="12" t="s">
        <v>42</v>
      </c>
      <c r="T306" s="17">
        <v>4048</v>
      </c>
      <c r="U306" s="14" t="s">
        <v>43</v>
      </c>
      <c r="V306" s="12" t="s">
        <v>44</v>
      </c>
      <c r="W306" s="13">
        <f>'[1]V, inciso o) (OP)'!AD162</f>
        <v>42807</v>
      </c>
      <c r="X306" s="13">
        <f>'[1]V, inciso o) (OP)'!AE162</f>
        <v>42870</v>
      </c>
      <c r="Y306" s="12" t="s">
        <v>703</v>
      </c>
      <c r="Z306" s="12" t="s">
        <v>728</v>
      </c>
      <c r="AA306" s="12" t="s">
        <v>316</v>
      </c>
      <c r="AB306" s="14" t="s">
        <v>1535</v>
      </c>
      <c r="AC306" s="14" t="s">
        <v>125</v>
      </c>
      <c r="AD306" s="14"/>
    </row>
    <row r="307" spans="1:30" ht="80.099999999999994" customHeight="1">
      <c r="A307" s="5">
        <v>20</v>
      </c>
      <c r="B307" s="12">
        <v>2017</v>
      </c>
      <c r="C307" s="12" t="s">
        <v>65</v>
      </c>
      <c r="D307" s="14" t="str">
        <f>'[1]V, inciso o) (OP)'!C163</f>
        <v>DOPI-MUN-FORTA-DES-AD-020-2017</v>
      </c>
      <c r="E307" s="13">
        <f>'[1]V, inciso o) (OP)'!V166</f>
        <v>42804</v>
      </c>
      <c r="F307" s="14" t="str">
        <f>'[1]V, inciso o) (OP)'!AA163</f>
        <v>Desazolve, limpieza, rectificación y obras de protección de cauce y canal del Arroyos El Húmedo y El caracol y el canal Las Agujas Poniente, municipio de Zapopan, Jalisco.</v>
      </c>
      <c r="G307" s="14" t="s">
        <v>707</v>
      </c>
      <c r="H307" s="15">
        <f>'[1]V, inciso o) (OP)'!Y163</f>
        <v>1405369.66</v>
      </c>
      <c r="I307" s="14" t="s">
        <v>729</v>
      </c>
      <c r="J307" s="14" t="str">
        <f>'[1]V, inciso o) (OP)'!M163</f>
        <v>JOSE ANTONIO</v>
      </c>
      <c r="K307" s="12" t="str">
        <f>'[1]V, inciso o) (OP)'!N163</f>
        <v>ALVAREZ</v>
      </c>
      <c r="L307" s="12" t="str">
        <f>'[1]V, inciso o) (OP)'!O163</f>
        <v>GARCIA</v>
      </c>
      <c r="M307" s="14" t="str">
        <f>'[1]V, inciso o) (OP)'!P163</f>
        <v>Urcoma 1970, S. A. de C. V.</v>
      </c>
      <c r="N307" s="12" t="str">
        <f>'[1]V, inciso o) (OP)'!Q163</f>
        <v>UMN160125869</v>
      </c>
      <c r="O307" s="15">
        <f t="shared" si="8"/>
        <v>1405369.66</v>
      </c>
      <c r="P307" s="15">
        <v>1356619.98</v>
      </c>
      <c r="Q307" s="12" t="s">
        <v>730</v>
      </c>
      <c r="R307" s="15">
        <f>O307/3645</f>
        <v>385.56094924554179</v>
      </c>
      <c r="S307" s="12" t="s">
        <v>42</v>
      </c>
      <c r="T307" s="17">
        <v>11771</v>
      </c>
      <c r="U307" s="14" t="s">
        <v>43</v>
      </c>
      <c r="V307" s="12" t="s">
        <v>44</v>
      </c>
      <c r="W307" s="13">
        <f>'[1]V, inciso o) (OP)'!AD163</f>
        <v>42807</v>
      </c>
      <c r="X307" s="13">
        <f>'[1]V, inciso o) (OP)'!AE163</f>
        <v>42870</v>
      </c>
      <c r="Y307" s="12" t="s">
        <v>731</v>
      </c>
      <c r="Z307" s="12" t="s">
        <v>337</v>
      </c>
      <c r="AA307" s="12" t="s">
        <v>120</v>
      </c>
      <c r="AB307" s="14" t="s">
        <v>1536</v>
      </c>
      <c r="AC307" s="14" t="s">
        <v>125</v>
      </c>
      <c r="AD307" s="14"/>
    </row>
    <row r="308" spans="1:30" ht="80.099999999999994" customHeight="1">
      <c r="A308" s="5">
        <v>21</v>
      </c>
      <c r="B308" s="12">
        <v>2017</v>
      </c>
      <c r="C308" s="12" t="s">
        <v>65</v>
      </c>
      <c r="D308" s="14" t="str">
        <f>'[1]V, inciso o) (OP)'!C164</f>
        <v>DOPI-MUN-FORTA-DES-AD-021-2017</v>
      </c>
      <c r="E308" s="13">
        <f>'[1]V, inciso o) (OP)'!V167</f>
        <v>42804</v>
      </c>
      <c r="F308" s="14" t="str">
        <f>'[1]V, inciso o) (OP)'!AA164</f>
        <v>Desazolve, limpieza, rectificación, obras de protección y adecuaciones pluviales en el canal Las Agujas Oriente, municipio de Zapopan, Jalisco.</v>
      </c>
      <c r="G308" s="14" t="s">
        <v>707</v>
      </c>
      <c r="H308" s="15">
        <f>'[1]V, inciso o) (OP)'!Y164</f>
        <v>1452877.98</v>
      </c>
      <c r="I308" s="14" t="s">
        <v>729</v>
      </c>
      <c r="J308" s="14" t="str">
        <f>'[1]V, inciso o) (OP)'!M164</f>
        <v>JOSE ANTONIO</v>
      </c>
      <c r="K308" s="12" t="str">
        <f>'[1]V, inciso o) (OP)'!N164</f>
        <v>ALVAREZ</v>
      </c>
      <c r="L308" s="12" t="str">
        <f>'[1]V, inciso o) (OP)'!O164</f>
        <v>ZULOAGA</v>
      </c>
      <c r="M308" s="14" t="str">
        <f>'[1]V, inciso o) (OP)'!P164</f>
        <v>Grupo Desarrollador Alzu, S. A. de C. V.</v>
      </c>
      <c r="N308" s="12" t="str">
        <f>'[1]V, inciso o) (OP)'!Q164</f>
        <v>GDA150928286</v>
      </c>
      <c r="O308" s="15">
        <f t="shared" si="8"/>
        <v>1452877.98</v>
      </c>
      <c r="P308" s="15">
        <v>1358930.04</v>
      </c>
      <c r="Q308" s="12" t="s">
        <v>732</v>
      </c>
      <c r="R308" s="15">
        <f>O308/260</f>
        <v>5587.9922307692304</v>
      </c>
      <c r="S308" s="12" t="s">
        <v>42</v>
      </c>
      <c r="T308" s="17">
        <v>5836</v>
      </c>
      <c r="U308" s="14" t="s">
        <v>43</v>
      </c>
      <c r="V308" s="12" t="s">
        <v>44</v>
      </c>
      <c r="W308" s="13">
        <f>'[1]V, inciso o) (OP)'!AD164</f>
        <v>42807</v>
      </c>
      <c r="X308" s="13">
        <f>'[1]V, inciso o) (OP)'!AE164</f>
        <v>42870</v>
      </c>
      <c r="Y308" s="12" t="s">
        <v>731</v>
      </c>
      <c r="Z308" s="12" t="s">
        <v>337</v>
      </c>
      <c r="AA308" s="12" t="s">
        <v>120</v>
      </c>
      <c r="AB308" s="8" t="s">
        <v>1920</v>
      </c>
      <c r="AC308" s="14" t="s">
        <v>48</v>
      </c>
      <c r="AD308" s="14"/>
    </row>
    <row r="309" spans="1:30" ht="80.099999999999994" customHeight="1">
      <c r="A309" s="5">
        <v>22</v>
      </c>
      <c r="B309" s="12">
        <v>2017</v>
      </c>
      <c r="C309" s="12" t="s">
        <v>65</v>
      </c>
      <c r="D309" s="14" t="str">
        <f>'[1]V, inciso o) (OP)'!C165</f>
        <v>DOPI-MUN-FORTA-DES-AD-022-2017</v>
      </c>
      <c r="E309" s="13">
        <f>'[1]V, inciso o) (OP)'!V168</f>
        <v>42804</v>
      </c>
      <c r="F309" s="14" t="str">
        <f>'[1]V, inciso o) (OP)'!AA165</f>
        <v>Desazolve, limpieza, rectificación y obras de protección en los Arroyos Seco y El Garabato, municipio de Zapopan, Jalisco.</v>
      </c>
      <c r="G309" s="14" t="s">
        <v>707</v>
      </c>
      <c r="H309" s="15">
        <f>'[1]V, inciso o) (OP)'!Y165</f>
        <v>1383674.16</v>
      </c>
      <c r="I309" s="14" t="s">
        <v>733</v>
      </c>
      <c r="J309" s="14" t="str">
        <f>'[1]V, inciso o) (OP)'!M165</f>
        <v xml:space="preserve">GUILLERMO ALBERTO </v>
      </c>
      <c r="K309" s="12" t="str">
        <f>'[1]V, inciso o) (OP)'!N165</f>
        <v>RODRIGUEZ</v>
      </c>
      <c r="L309" s="12" t="str">
        <f>'[1]V, inciso o) (OP)'!O165</f>
        <v>ALLENDE</v>
      </c>
      <c r="M309" s="14" t="str">
        <f>'[1]V, inciso o) (OP)'!P165</f>
        <v>Grupo Constructor MR de Jalisco, S. A. de C. V.</v>
      </c>
      <c r="N309" s="12" t="str">
        <f>'[1]V, inciso o) (OP)'!Q165</f>
        <v>GCM121112J86</v>
      </c>
      <c r="O309" s="15">
        <f t="shared" si="8"/>
        <v>1383674.16</v>
      </c>
      <c r="P309" s="15">
        <v>1040623.5499999999</v>
      </c>
      <c r="Q309" s="12" t="s">
        <v>734</v>
      </c>
      <c r="R309" s="15">
        <f>O309/4523</f>
        <v>305.9195578156091</v>
      </c>
      <c r="S309" s="12" t="s">
        <v>42</v>
      </c>
      <c r="T309" s="17">
        <v>13284</v>
      </c>
      <c r="U309" s="14" t="s">
        <v>43</v>
      </c>
      <c r="V309" s="12" t="s">
        <v>44</v>
      </c>
      <c r="W309" s="13">
        <f>'[1]V, inciso o) (OP)'!AD165</f>
        <v>42807</v>
      </c>
      <c r="X309" s="13">
        <f>'[1]V, inciso o) (OP)'!AE165</f>
        <v>42870</v>
      </c>
      <c r="Y309" s="12" t="s">
        <v>735</v>
      </c>
      <c r="Z309" s="12" t="s">
        <v>236</v>
      </c>
      <c r="AA309" s="12" t="s">
        <v>147</v>
      </c>
      <c r="AB309" s="14" t="s">
        <v>48</v>
      </c>
      <c r="AC309" s="14" t="s">
        <v>48</v>
      </c>
      <c r="AD309" s="14"/>
    </row>
    <row r="310" spans="1:30" ht="80.099999999999994" customHeight="1">
      <c r="A310" s="5">
        <v>23</v>
      </c>
      <c r="B310" s="12">
        <v>2017</v>
      </c>
      <c r="C310" s="12" t="s">
        <v>65</v>
      </c>
      <c r="D310" s="14" t="str">
        <f>'[1]V, inciso o) (OP)'!C166</f>
        <v>DOPI-MUN-FORTA-DES-AD-023-2017</v>
      </c>
      <c r="E310" s="13">
        <f>'[1]V, inciso o) (OP)'!V169</f>
        <v>42811</v>
      </c>
      <c r="F310" s="14" t="str">
        <f>'[1]V, inciso o) (OP)'!AA166</f>
        <v>Desazolve, limpieza, rectificación, obras de protección y colocación de Gaviones en el Arroyo La Campana frente 1, municipio de Zapopan, Jalisco.</v>
      </c>
      <c r="G310" s="14" t="s">
        <v>707</v>
      </c>
      <c r="H310" s="15">
        <f>'[1]V, inciso o) (OP)'!Y166</f>
        <v>1475823.51</v>
      </c>
      <c r="I310" s="14" t="s">
        <v>736</v>
      </c>
      <c r="J310" s="14" t="str">
        <f>'[1]V, inciso o) (OP)'!M166</f>
        <v>OSCAR LUIS</v>
      </c>
      <c r="K310" s="12" t="str">
        <f>'[1]V, inciso o) (OP)'!N166</f>
        <v>CHAVEZ</v>
      </c>
      <c r="L310" s="12" t="str">
        <f>'[1]V, inciso o) (OP)'!O166</f>
        <v>GONZALEZ</v>
      </c>
      <c r="M310" s="14" t="str">
        <f>'[1]V, inciso o) (OP)'!P166</f>
        <v>Euro Trade, S. A. de C. V.</v>
      </c>
      <c r="N310" s="12" t="str">
        <f>'[1]V, inciso o) (OP)'!Q166</f>
        <v>ETR070417NS8</v>
      </c>
      <c r="O310" s="15">
        <f t="shared" si="8"/>
        <v>1475823.51</v>
      </c>
      <c r="P310" s="15">
        <v>1237542.5499999998</v>
      </c>
      <c r="Q310" s="12" t="s">
        <v>710</v>
      </c>
      <c r="R310" s="15">
        <f>O310/600</f>
        <v>2459.7058499999998</v>
      </c>
      <c r="S310" s="12" t="s">
        <v>42</v>
      </c>
      <c r="T310" s="17">
        <v>2093</v>
      </c>
      <c r="U310" s="14" t="s">
        <v>43</v>
      </c>
      <c r="V310" s="12" t="s">
        <v>44</v>
      </c>
      <c r="W310" s="13">
        <f>'[1]V, inciso o) (OP)'!AD166</f>
        <v>42807</v>
      </c>
      <c r="X310" s="13">
        <f>'[1]V, inciso o) (OP)'!AE166</f>
        <v>42870</v>
      </c>
      <c r="Y310" s="12" t="s">
        <v>562</v>
      </c>
      <c r="Z310" s="12" t="s">
        <v>70</v>
      </c>
      <c r="AA310" s="12" t="s">
        <v>197</v>
      </c>
      <c r="AB310" s="14" t="s">
        <v>1537</v>
      </c>
      <c r="AC310" s="14" t="s">
        <v>125</v>
      </c>
      <c r="AD310" s="14"/>
    </row>
    <row r="311" spans="1:30" ht="80.099999999999994" customHeight="1">
      <c r="A311" s="5">
        <v>24</v>
      </c>
      <c r="B311" s="12">
        <v>2017</v>
      </c>
      <c r="C311" s="12" t="s">
        <v>65</v>
      </c>
      <c r="D311" s="14" t="str">
        <f>'[1]V, inciso o) (OP)'!C167</f>
        <v>DOPI-MUN-FORTA-OC-024-AD-2017</v>
      </c>
      <c r="E311" s="13">
        <f>'[1]V, inciso o) (OP)'!V170</f>
        <v>42811</v>
      </c>
      <c r="F311" s="14" t="str">
        <f>'[1]V, inciso o) (OP)'!AA167</f>
        <v>Obras emergentes de reparación y reconstrucción de infraestructura urbana pluvial y sanitaria, en el municipio de Zapopan, frente 1.</v>
      </c>
      <c r="G311" s="14" t="s">
        <v>707</v>
      </c>
      <c r="H311" s="15">
        <f>'[1]V, inciso o) (OP)'!Y167</f>
        <v>1350254.48</v>
      </c>
      <c r="I311" s="14" t="s">
        <v>376</v>
      </c>
      <c r="J311" s="14" t="str">
        <f>'[1]V, inciso o) (OP)'!M167</f>
        <v>ELBA</v>
      </c>
      <c r="K311" s="12" t="str">
        <f>'[1]V, inciso o) (OP)'!N167</f>
        <v xml:space="preserve">GONZÁLEZ </v>
      </c>
      <c r="L311" s="12" t="str">
        <f>'[1]V, inciso o) (OP)'!O167</f>
        <v>AGUIRRE</v>
      </c>
      <c r="M311" s="14" t="str">
        <f>'[1]V, inciso o) (OP)'!P167</f>
        <v>GA Urbanización, S. A. de C. V.</v>
      </c>
      <c r="N311" s="12" t="str">
        <f>'[1]V, inciso o) (OP)'!Q167</f>
        <v>GUR120612P22</v>
      </c>
      <c r="O311" s="15">
        <f t="shared" si="8"/>
        <v>1350254.48</v>
      </c>
      <c r="P311" s="15">
        <v>778844.36</v>
      </c>
      <c r="Q311" s="12" t="s">
        <v>737</v>
      </c>
      <c r="R311" s="15">
        <f>O311/643</f>
        <v>2099.9292068429236</v>
      </c>
      <c r="S311" s="12" t="s">
        <v>42</v>
      </c>
      <c r="T311" s="17">
        <v>4588</v>
      </c>
      <c r="U311" s="14" t="s">
        <v>43</v>
      </c>
      <c r="V311" s="12" t="s">
        <v>44</v>
      </c>
      <c r="W311" s="13">
        <f>'[1]V, inciso o) (OP)'!AD167</f>
        <v>42807</v>
      </c>
      <c r="X311" s="13">
        <f>'[1]V, inciso o) (OP)'!AE167</f>
        <v>42931</v>
      </c>
      <c r="Y311" s="12" t="s">
        <v>716</v>
      </c>
      <c r="Z311" s="12" t="s">
        <v>616</v>
      </c>
      <c r="AA311" s="12" t="s">
        <v>617</v>
      </c>
      <c r="AB311" s="14" t="s">
        <v>1538</v>
      </c>
      <c r="AC311" s="14" t="s">
        <v>125</v>
      </c>
      <c r="AD311" s="14"/>
    </row>
    <row r="312" spans="1:30" ht="80.099999999999994" customHeight="1">
      <c r="A312" s="5">
        <v>25</v>
      </c>
      <c r="B312" s="12">
        <v>2017</v>
      </c>
      <c r="C312" s="12" t="s">
        <v>65</v>
      </c>
      <c r="D312" s="14" t="str">
        <f>'[1]V, inciso o) (OP)'!C168</f>
        <v>DOPI-MUN-FORTA-OC-AD-025-2017</v>
      </c>
      <c r="E312" s="13">
        <f>'[1]V, inciso o) (OP)'!V171</f>
        <v>42811</v>
      </c>
      <c r="F312" s="14" t="str">
        <f>'[1]V, inciso o) (OP)'!AA168</f>
        <v>Construcción de cárcamos para el manejo de filtraciones de lixiviados en el relleno sanitario Picachos, municipio de Zapopan, Jalisco.</v>
      </c>
      <c r="G312" s="14" t="s">
        <v>707</v>
      </c>
      <c r="H312" s="15">
        <f>'[1]V, inciso o) (OP)'!Y168</f>
        <v>1510624.8</v>
      </c>
      <c r="I312" s="14" t="s">
        <v>738</v>
      </c>
      <c r="J312" s="14" t="str">
        <f>'[1]V, inciso o) (OP)'!M168</f>
        <v>GUSTAVO ALEJANDRO</v>
      </c>
      <c r="K312" s="12" t="str">
        <f>'[1]V, inciso o) (OP)'!N168</f>
        <v>LEDEZMA</v>
      </c>
      <c r="L312" s="12" t="str">
        <f>'[1]V, inciso o) (OP)'!O168</f>
        <v xml:space="preserve"> CERVANTES</v>
      </c>
      <c r="M312" s="14" t="str">
        <f>'[1]V, inciso o) (OP)'!P168</f>
        <v>Edificaciones y Proyectos Roca, S. A. de C. V.</v>
      </c>
      <c r="N312" s="12" t="str">
        <f>'[1]V, inciso o) (OP)'!Q168</f>
        <v>EPR131016I71</v>
      </c>
      <c r="O312" s="15">
        <f t="shared" si="8"/>
        <v>1510624.8</v>
      </c>
      <c r="P312" s="15">
        <v>1510621.7600000002</v>
      </c>
      <c r="Q312" s="12" t="s">
        <v>739</v>
      </c>
      <c r="R312" s="15">
        <f>O312/3</f>
        <v>503541.60000000003</v>
      </c>
      <c r="S312" s="12" t="s">
        <v>42</v>
      </c>
      <c r="T312" s="17">
        <v>1332272</v>
      </c>
      <c r="U312" s="14" t="s">
        <v>43</v>
      </c>
      <c r="V312" s="12" t="s">
        <v>44</v>
      </c>
      <c r="W312" s="13">
        <f>'[1]V, inciso o) (OP)'!AD168</f>
        <v>42807</v>
      </c>
      <c r="X312" s="13">
        <f>'[1]V, inciso o) (OP)'!AE168</f>
        <v>42870</v>
      </c>
      <c r="Y312" s="12" t="s">
        <v>468</v>
      </c>
      <c r="Z312" s="12" t="s">
        <v>307</v>
      </c>
      <c r="AA312" s="12" t="s">
        <v>308</v>
      </c>
      <c r="AB312" s="14" t="s">
        <v>1539</v>
      </c>
      <c r="AC312" s="14" t="s">
        <v>125</v>
      </c>
      <c r="AD312" s="14"/>
    </row>
    <row r="313" spans="1:30" ht="80.099999999999994" customHeight="1">
      <c r="A313" s="5">
        <v>26</v>
      </c>
      <c r="B313" s="12">
        <v>2017</v>
      </c>
      <c r="C313" s="12" t="s">
        <v>65</v>
      </c>
      <c r="D313" s="14" t="str">
        <f>'[1]V, inciso o) (OP)'!C169</f>
        <v>DOPI-MUN-FORTA-OC-AD-026-2017</v>
      </c>
      <c r="E313" s="13">
        <f>'[1]V, inciso o) (OP)'!V172</f>
        <v>42797</v>
      </c>
      <c r="F313" s="14" t="str">
        <f>'[1]V, inciso o) (OP)'!AA169</f>
        <v>Trabajos de rehabilitación (manga con curado ultravioleta) de colector sanitario López Mateos - Pinar de la Calma, para evitar socavaciones, en el tramo de Av. Galileo Galilei a La Glorieta Las Fuentes, municipio de Zapopan, Jalisco.</v>
      </c>
      <c r="G313" s="14" t="s">
        <v>707</v>
      </c>
      <c r="H313" s="15">
        <f>'[1]V, inciso o) (OP)'!Y169</f>
        <v>917334.92</v>
      </c>
      <c r="I313" s="14" t="s">
        <v>740</v>
      </c>
      <c r="J313" s="14" t="str">
        <f>'[1]V, inciso o) (OP)'!M169</f>
        <v>MARÍA RAQUEL</v>
      </c>
      <c r="K313" s="12" t="str">
        <f>'[1]V, inciso o) (OP)'!N169</f>
        <v>ROMO</v>
      </c>
      <c r="L313" s="12" t="str">
        <f>'[1]V, inciso o) (OP)'!O169</f>
        <v>LÓPEZ</v>
      </c>
      <c r="M313" s="14" t="str">
        <f>'[1]V, inciso o) (OP)'!P169</f>
        <v>B&amp;G Construcción y Rehabilitación de Redes, S. A. de C. V.</v>
      </c>
      <c r="N313" s="12" t="str">
        <f>'[1]V, inciso o) (OP)'!Q169</f>
        <v>BCR080530NPA</v>
      </c>
      <c r="O313" s="15">
        <f t="shared" si="8"/>
        <v>917334.92</v>
      </c>
      <c r="P313" s="15">
        <v>917334.92</v>
      </c>
      <c r="Q313" s="12" t="s">
        <v>741</v>
      </c>
      <c r="R313" s="15">
        <f>O313/93</f>
        <v>9863.8163440860226</v>
      </c>
      <c r="S313" s="12" t="s">
        <v>42</v>
      </c>
      <c r="T313" s="17">
        <v>6285</v>
      </c>
      <c r="U313" s="14" t="s">
        <v>43</v>
      </c>
      <c r="V313" s="12" t="s">
        <v>44</v>
      </c>
      <c r="W313" s="13">
        <f>'[1]V, inciso o) (OP)'!AD169</f>
        <v>42814</v>
      </c>
      <c r="X313" s="13">
        <f>'[1]V, inciso o) (OP)'!AE169</f>
        <v>42885</v>
      </c>
      <c r="Y313" s="12" t="s">
        <v>742</v>
      </c>
      <c r="Z313" s="12" t="s">
        <v>743</v>
      </c>
      <c r="AA313" s="12" t="s">
        <v>744</v>
      </c>
      <c r="AB313" s="14" t="s">
        <v>1540</v>
      </c>
      <c r="AC313" s="14" t="s">
        <v>125</v>
      </c>
      <c r="AD313" s="14"/>
    </row>
    <row r="314" spans="1:30" ht="80.099999999999994" customHeight="1">
      <c r="A314" s="5">
        <v>27</v>
      </c>
      <c r="B314" s="12">
        <v>2017</v>
      </c>
      <c r="C314" s="12" t="s">
        <v>65</v>
      </c>
      <c r="D314" s="14" t="str">
        <f>'[1]V, inciso o) (OP)'!C170</f>
        <v>DOPI-MUN-FORTA-IE-AD-027-2017</v>
      </c>
      <c r="E314" s="13">
        <f>'[1]V, inciso o) (OP)'!V173</f>
        <v>42811</v>
      </c>
      <c r="F314" s="14" t="str">
        <f>'[1]V, inciso o) (OP)'!AA170</f>
        <v>Suministro y colocación de estructuras de protección de rayos ultravioleta en los planteles educativos: Primaria Diego Rivera (14DPR3789G) y Escuela Alfredo V. Bonfil (14EPR1115G), municipio de Zapopan, Jalisco.</v>
      </c>
      <c r="G314" s="14" t="s">
        <v>707</v>
      </c>
      <c r="H314" s="15">
        <f>'[1]V, inciso o) (OP)'!Y170</f>
        <v>1357288.84</v>
      </c>
      <c r="I314" s="14" t="s">
        <v>745</v>
      </c>
      <c r="J314" s="14" t="str">
        <f>'[1]V, inciso o) (OP)'!M170</f>
        <v xml:space="preserve">ALEJANDRO LUIS </v>
      </c>
      <c r="K314" s="12" t="str">
        <f>'[1]V, inciso o) (OP)'!N170</f>
        <v xml:space="preserve">VAIDOVITS </v>
      </c>
      <c r="L314" s="12" t="str">
        <f>'[1]V, inciso o) (OP)'!O170</f>
        <v xml:space="preserve"> SCHNURER</v>
      </c>
      <c r="M314" s="14" t="str">
        <f>'[1]V, inciso o) (OP)'!P170</f>
        <v>Promaco de México, S. A. de C. V.</v>
      </c>
      <c r="N314" s="12" t="str">
        <f>'[1]V, inciso o) (OP)'!Q170</f>
        <v>PME930817EV7</v>
      </c>
      <c r="O314" s="15">
        <f t="shared" si="8"/>
        <v>1357288.84</v>
      </c>
      <c r="P314" s="15">
        <v>1292426.1399999999</v>
      </c>
      <c r="Q314" s="12" t="s">
        <v>746</v>
      </c>
      <c r="R314" s="15">
        <f>O314/963</f>
        <v>1409.4380477673938</v>
      </c>
      <c r="S314" s="12" t="s">
        <v>42</v>
      </c>
      <c r="T314" s="17">
        <v>759</v>
      </c>
      <c r="U314" s="14" t="s">
        <v>43</v>
      </c>
      <c r="V314" s="12" t="s">
        <v>378</v>
      </c>
      <c r="W314" s="13">
        <f>'[1]V, inciso o) (OP)'!AD170</f>
        <v>42814</v>
      </c>
      <c r="X314" s="13">
        <f>'[1]V, inciso o) (OP)'!AE170</f>
        <v>42901</v>
      </c>
      <c r="Y314" s="12" t="s">
        <v>705</v>
      </c>
      <c r="Z314" s="12" t="s">
        <v>75</v>
      </c>
      <c r="AA314" s="12" t="s">
        <v>76</v>
      </c>
      <c r="AB314" s="14" t="s">
        <v>1541</v>
      </c>
      <c r="AC314" s="14" t="s">
        <v>48</v>
      </c>
      <c r="AD314" s="14"/>
    </row>
    <row r="315" spans="1:30" ht="80.099999999999994" customHeight="1">
      <c r="A315" s="5">
        <v>28</v>
      </c>
      <c r="B315" s="12">
        <v>2017</v>
      </c>
      <c r="C315" s="12" t="s">
        <v>65</v>
      </c>
      <c r="D315" s="14" t="str">
        <f>'[1]V, inciso o) (OP)'!C171</f>
        <v>DOPI-MUN-FORTA-IE-AD-028-2017</v>
      </c>
      <c r="E315" s="13">
        <f>'[1]V, inciso o) (OP)'!V174</f>
        <v>42811</v>
      </c>
      <c r="F315" s="14" t="s">
        <v>747</v>
      </c>
      <c r="G315" s="14" t="s">
        <v>707</v>
      </c>
      <c r="H315" s="15">
        <f>'[1]V, inciso o) (OP)'!Y171</f>
        <v>1374368.14</v>
      </c>
      <c r="I315" s="14" t="s">
        <v>72</v>
      </c>
      <c r="J315" s="14" t="str">
        <f>'[1]V, inciso o) (OP)'!M171</f>
        <v>ARTURO RAFAEL</v>
      </c>
      <c r="K315" s="12" t="str">
        <f>'[1]V, inciso o) (OP)'!N171</f>
        <v>SALAZAR</v>
      </c>
      <c r="L315" s="12" t="str">
        <f>'[1]V, inciso o) (OP)'!O171</f>
        <v>MARTIN DEL CAMPO</v>
      </c>
      <c r="M315" s="14" t="str">
        <f>'[1]V, inciso o) (OP)'!P171</f>
        <v>Kalmani Constructora, S. A. de C. V.</v>
      </c>
      <c r="N315" s="12" t="str">
        <f>'[1]V, inciso o) (OP)'!Q171</f>
        <v>KCO030922UM6</v>
      </c>
      <c r="O315" s="15">
        <f t="shared" si="8"/>
        <v>1374368.14</v>
      </c>
      <c r="P315" s="15">
        <f>O315</f>
        <v>1374368.14</v>
      </c>
      <c r="Q315" s="12" t="s">
        <v>748</v>
      </c>
      <c r="R315" s="15">
        <f>O315/975</f>
        <v>1409.6083487179485</v>
      </c>
      <c r="S315" s="12" t="s">
        <v>42</v>
      </c>
      <c r="T315" s="17">
        <v>1372</v>
      </c>
      <c r="U315" s="14" t="s">
        <v>43</v>
      </c>
      <c r="V315" s="12" t="s">
        <v>378</v>
      </c>
      <c r="W315" s="13">
        <f>'[1]V, inciso o) (OP)'!AD171</f>
        <v>42814</v>
      </c>
      <c r="X315" s="13">
        <f>'[1]V, inciso o) (OP)'!AE171</f>
        <v>42901</v>
      </c>
      <c r="Y315" s="12" t="s">
        <v>705</v>
      </c>
      <c r="Z315" s="12" t="s">
        <v>75</v>
      </c>
      <c r="AA315" s="12" t="s">
        <v>76</v>
      </c>
      <c r="AB315" s="14" t="s">
        <v>1542</v>
      </c>
      <c r="AC315" s="14" t="s">
        <v>48</v>
      </c>
      <c r="AD315" s="14" t="s">
        <v>1571</v>
      </c>
    </row>
    <row r="316" spans="1:30" ht="80.099999999999994" customHeight="1">
      <c r="A316" s="5">
        <v>29</v>
      </c>
      <c r="B316" s="12">
        <v>2017</v>
      </c>
      <c r="C316" s="12" t="s">
        <v>65</v>
      </c>
      <c r="D316" s="14" t="str">
        <f>'[1]V, inciso o) (OP)'!C172</f>
        <v>DOPI-MUN-FORTA-CAL-AD-029-2017</v>
      </c>
      <c r="E316" s="13">
        <f>'[1]V, inciso o) (OP)'!V175</f>
        <v>42811</v>
      </c>
      <c r="F316" s="14" t="str">
        <f>'[1]V, inciso o) (OP)'!AA172</f>
        <v>Control de calidad de diferentes obras 2017 del municipio de Zapopan, Jalisco, etapa 1.</v>
      </c>
      <c r="G316" s="14" t="s">
        <v>707</v>
      </c>
      <c r="H316" s="15">
        <f>'[1]V, inciso o) (OP)'!Y172</f>
        <v>975338.12</v>
      </c>
      <c r="I316" s="14" t="s">
        <v>124</v>
      </c>
      <c r="J316" s="14" t="str">
        <f>'[1]V, inciso o) (OP)'!M172</f>
        <v>RICARDO</v>
      </c>
      <c r="K316" s="12" t="str">
        <f>'[1]V, inciso o) (OP)'!N172</f>
        <v>MEZA</v>
      </c>
      <c r="L316" s="12" t="str">
        <f>'[1]V, inciso o) (OP)'!O172</f>
        <v>PONCE</v>
      </c>
      <c r="M316" s="14" t="str">
        <f>'[1]V, inciso o) (OP)'!P172</f>
        <v>CME Calidad, Modelo de Eficacia, S. A. de C. V.</v>
      </c>
      <c r="N316" s="12" t="str">
        <f>'[1]V, inciso o) (OP)'!Q172</f>
        <v>CCM1405243C4</v>
      </c>
      <c r="O316" s="15">
        <f t="shared" si="8"/>
        <v>975338.12</v>
      </c>
      <c r="P316" s="15">
        <v>974321.31</v>
      </c>
      <c r="Q316" s="12" t="s">
        <v>124</v>
      </c>
      <c r="R316" s="15" t="s">
        <v>124</v>
      </c>
      <c r="S316" s="12" t="s">
        <v>125</v>
      </c>
      <c r="T316" s="17" t="s">
        <v>125</v>
      </c>
      <c r="U316" s="14" t="s">
        <v>43</v>
      </c>
      <c r="V316" s="12" t="s">
        <v>378</v>
      </c>
      <c r="W316" s="13">
        <f>'[1]V, inciso o) (OP)'!AD172</f>
        <v>42800</v>
      </c>
      <c r="X316" s="13">
        <f>'[1]V, inciso o) (OP)'!AE172</f>
        <v>42978</v>
      </c>
      <c r="Y316" s="12" t="s">
        <v>749</v>
      </c>
      <c r="Z316" s="12" t="s">
        <v>389</v>
      </c>
      <c r="AA316" s="12" t="s">
        <v>390</v>
      </c>
      <c r="AB316" s="14" t="s">
        <v>1543</v>
      </c>
      <c r="AC316" s="14" t="s">
        <v>48</v>
      </c>
      <c r="AD316" s="14"/>
    </row>
    <row r="317" spans="1:30" ht="80.099999999999994" customHeight="1">
      <c r="A317" s="5">
        <v>30</v>
      </c>
      <c r="B317" s="12">
        <v>2017</v>
      </c>
      <c r="C317" s="12" t="s">
        <v>65</v>
      </c>
      <c r="D317" s="14" t="str">
        <f>'[1]V, inciso o) (OP)'!C173</f>
        <v>DOPI-MUN-RM-PAV-AD-030-2017</v>
      </c>
      <c r="E317" s="13">
        <f>'[1]V, inciso o) (OP)'!V176</f>
        <v>42811</v>
      </c>
      <c r="F317" s="14" t="str">
        <f>'[1]V, inciso o) (OP)'!AA173</f>
        <v>Reencarpetamiento de la vialidad, desbastado de la carpeta existente, nivelación de pozos de visita, cajas de válvulas, rejillas pluviales, bocas de tormenta y elementos estructurales que sobresalen de la rasante de la vialidad, calafateos, señalética horizontal, en el fraccionamiento Villas Torremolinos, municipio de Zapopan, Jalisco.</v>
      </c>
      <c r="G317" s="14" t="s">
        <v>66</v>
      </c>
      <c r="H317" s="15">
        <f>'[1]V, inciso o) (OP)'!Y173</f>
        <v>1115083.45</v>
      </c>
      <c r="I317" s="14" t="s">
        <v>750</v>
      </c>
      <c r="J317" s="14" t="str">
        <f>'[1]V, inciso o) (OP)'!M173</f>
        <v>JOSE DE JESUS</v>
      </c>
      <c r="K317" s="12" t="str">
        <f>'[1]V, inciso o) (OP)'!N173</f>
        <v xml:space="preserve">CASTILLO </v>
      </c>
      <c r="L317" s="12" t="str">
        <f>'[1]V, inciso o) (OP)'!O173</f>
        <v>CARRILLO</v>
      </c>
      <c r="M317" s="14" t="str">
        <f>'[1]V, inciso o) (OP)'!P173</f>
        <v>Mapa Obras y Pavimentos, S.A. de C.V.</v>
      </c>
      <c r="N317" s="12" t="str">
        <f>'[1]V, inciso o) (OP)'!Q173</f>
        <v>MOP080610I53</v>
      </c>
      <c r="O317" s="15">
        <f t="shared" si="8"/>
        <v>1115083.45</v>
      </c>
      <c r="P317" s="15">
        <v>1106660.02</v>
      </c>
      <c r="Q317" s="12" t="s">
        <v>751</v>
      </c>
      <c r="R317" s="15">
        <f>O317/4800</f>
        <v>232.30905208333331</v>
      </c>
      <c r="S317" s="12" t="s">
        <v>42</v>
      </c>
      <c r="T317" s="17">
        <v>6694</v>
      </c>
      <c r="U317" s="14" t="s">
        <v>43</v>
      </c>
      <c r="V317" s="12" t="s">
        <v>44</v>
      </c>
      <c r="W317" s="13">
        <f>'[1]V, inciso o) (OP)'!AD173</f>
        <v>42814</v>
      </c>
      <c r="X317" s="13">
        <f>'[1]V, inciso o) (OP)'!AE173</f>
        <v>42855</v>
      </c>
      <c r="Y317" s="12" t="s">
        <v>322</v>
      </c>
      <c r="Z317" s="12" t="s">
        <v>196</v>
      </c>
      <c r="AA317" s="12" t="s">
        <v>197</v>
      </c>
      <c r="AB317" s="14" t="s">
        <v>1544</v>
      </c>
      <c r="AC317" s="14" t="s">
        <v>125</v>
      </c>
      <c r="AD317" s="14"/>
    </row>
    <row r="318" spans="1:30" ht="80.099999999999994" customHeight="1">
      <c r="A318" s="5">
        <v>31</v>
      </c>
      <c r="B318" s="12">
        <v>2017</v>
      </c>
      <c r="C318" s="12" t="s">
        <v>65</v>
      </c>
      <c r="D318" s="14" t="str">
        <f>'[1]V, inciso o) (OP)'!C174</f>
        <v>DOPI-MUN-RM-PAV-AD-031-2017</v>
      </c>
      <c r="E318" s="13">
        <f>'[1]V, inciso o) (OP)'!V177</f>
        <v>42811</v>
      </c>
      <c r="F318" s="14" t="str">
        <f>'[1]V, inciso o) (OP)'!AA174</f>
        <v>Pavimentación, sello y bacheo en las calles Río Tuito, Río Lerma y Río Tequila en el tramo comprendido de Av. Tabachines a Av. Sierra de Tapalpa; y  calle Encinos de Av. Patria a calle Río Cihutatlán, en la colonia Loma Bonita Ejidal, municipio de Zapopan, Jalisco.</v>
      </c>
      <c r="G318" s="14" t="s">
        <v>66</v>
      </c>
      <c r="H318" s="15">
        <f>'[1]V, inciso o) (OP)'!Y174</f>
        <v>1498750.24</v>
      </c>
      <c r="I318" s="14" t="s">
        <v>752</v>
      </c>
      <c r="J318" s="14" t="str">
        <f>'[1]V, inciso o) (OP)'!M174</f>
        <v>DAVID EDUARDO</v>
      </c>
      <c r="K318" s="12" t="str">
        <f>'[1]V, inciso o) (OP)'!N174</f>
        <v>LARA</v>
      </c>
      <c r="L318" s="12" t="str">
        <f>'[1]V, inciso o) (OP)'!O174</f>
        <v>OCHOA</v>
      </c>
      <c r="M318" s="14" t="str">
        <f>'[1]V, inciso o) (OP)'!P174</f>
        <v>Construcciones Icu, S. A. de C. V</v>
      </c>
      <c r="N318" s="12" t="str">
        <f>'[1]V, inciso o) (OP)'!Q174</f>
        <v>CIC080626ER2</v>
      </c>
      <c r="O318" s="15">
        <f t="shared" si="8"/>
        <v>1498750.24</v>
      </c>
      <c r="P318" s="15">
        <v>1498745.96</v>
      </c>
      <c r="Q318" s="12" t="s">
        <v>753</v>
      </c>
      <c r="R318" s="15">
        <f>O318/4000</f>
        <v>374.68756000000002</v>
      </c>
      <c r="S318" s="12" t="s">
        <v>42</v>
      </c>
      <c r="T318" s="17">
        <v>10549</v>
      </c>
      <c r="U318" s="14" t="s">
        <v>43</v>
      </c>
      <c r="V318" s="12" t="s">
        <v>44</v>
      </c>
      <c r="W318" s="13">
        <f>'[1]V, inciso o) (OP)'!AD174</f>
        <v>42814</v>
      </c>
      <c r="X318" s="13">
        <f>'[1]V, inciso o) (OP)'!AE174</f>
        <v>42855</v>
      </c>
      <c r="Y318" s="12" t="s">
        <v>365</v>
      </c>
      <c r="Z318" s="12" t="s">
        <v>366</v>
      </c>
      <c r="AA318" s="12" t="s">
        <v>367</v>
      </c>
      <c r="AB318" s="14" t="s">
        <v>1545</v>
      </c>
      <c r="AC318" s="14" t="s">
        <v>125</v>
      </c>
      <c r="AD318" s="14"/>
    </row>
    <row r="319" spans="1:30" ht="80.099999999999994" customHeight="1">
      <c r="A319" s="5">
        <v>32</v>
      </c>
      <c r="B319" s="12">
        <v>2017</v>
      </c>
      <c r="C319" s="12" t="s">
        <v>65</v>
      </c>
      <c r="D319" s="14" t="str">
        <f>'[1]V, inciso o) (OP)'!C175</f>
        <v>DOPI-MUN-RM-PAV-AD-032-2017</v>
      </c>
      <c r="E319" s="13">
        <f>'[1]V, inciso o) (OP)'!V178</f>
        <v>42811</v>
      </c>
      <c r="F319" s="14" t="str">
        <f>'[1]V, inciso o) (OP)'!AA175</f>
        <v>Pavimentación con adoquín y empedrado tradicional con material producto de recuperación en diferentes vialidades en el Municipio de Zapopan, Jalisco.</v>
      </c>
      <c r="G319" s="14" t="s">
        <v>66</v>
      </c>
      <c r="H319" s="15">
        <f>'[1]V, inciso o) (OP)'!Y175</f>
        <v>1015789.16</v>
      </c>
      <c r="I319" s="14" t="s">
        <v>376</v>
      </c>
      <c r="J319" s="14" t="str">
        <f>'[1]V, inciso o) (OP)'!M175</f>
        <v>JOSE DE JESUS</v>
      </c>
      <c r="K319" s="12" t="str">
        <f>'[1]V, inciso o) (OP)'!N175</f>
        <v>PALAFOX</v>
      </c>
      <c r="L319" s="12" t="str">
        <f>'[1]V, inciso o) (OP)'!O175</f>
        <v>VILLEGAS</v>
      </c>
      <c r="M319" s="14" t="str">
        <f>'[1]V, inciso o) (OP)'!P175</f>
        <v>Megaenlace Construcciones, S. A. de C. V.</v>
      </c>
      <c r="N319" s="12" t="str">
        <f>'[1]V, inciso o) (OP)'!Q175</f>
        <v>MCO1510113H8</v>
      </c>
      <c r="O319" s="15">
        <f t="shared" si="8"/>
        <v>1015789.16</v>
      </c>
      <c r="P319" s="15">
        <v>1015789.13</v>
      </c>
      <c r="Q319" s="12" t="s">
        <v>754</v>
      </c>
      <c r="R319" s="15">
        <f>O319/4232</f>
        <v>240.02579395085067</v>
      </c>
      <c r="S319" s="12" t="s">
        <v>42</v>
      </c>
      <c r="T319" s="17">
        <v>3523</v>
      </c>
      <c r="U319" s="14" t="s">
        <v>43</v>
      </c>
      <c r="V319" s="12" t="s">
        <v>378</v>
      </c>
      <c r="W319" s="13">
        <f>'[1]V, inciso o) (OP)'!AD175</f>
        <v>42814</v>
      </c>
      <c r="X319" s="13">
        <f>'[1]V, inciso o) (OP)'!AE175</f>
        <v>42901</v>
      </c>
      <c r="Y319" s="12" t="s">
        <v>755</v>
      </c>
      <c r="Z319" s="12" t="s">
        <v>91</v>
      </c>
      <c r="AA319" s="12" t="s">
        <v>92</v>
      </c>
      <c r="AB319" s="8" t="s">
        <v>1921</v>
      </c>
      <c r="AC319" s="14" t="s">
        <v>48</v>
      </c>
      <c r="AD319" s="14"/>
    </row>
    <row r="320" spans="1:30" ht="80.099999999999994" customHeight="1">
      <c r="A320" s="5">
        <v>33</v>
      </c>
      <c r="B320" s="12">
        <v>2017</v>
      </c>
      <c r="C320" s="12" t="s">
        <v>65</v>
      </c>
      <c r="D320" s="14" t="str">
        <f>'[1]V, inciso o) (OP)'!C176</f>
        <v>DOPI-MUN-RM-PAV-AD-033-2017</v>
      </c>
      <c r="E320" s="13">
        <f>'[1]V, inciso o) (OP)'!V179</f>
        <v>42811</v>
      </c>
      <c r="F320" s="14" t="str">
        <f>'[1]V, inciso o) (OP)'!AA176</f>
        <v>Rehabilitación de machuelos de concreto hidráulico en la Av. Juan Gil Preciado, tramo 3, municipio de Zapopan, Jalisco.</v>
      </c>
      <c r="G320" s="14" t="s">
        <v>66</v>
      </c>
      <c r="H320" s="15">
        <f>'[1]V, inciso o) (OP)'!Y176</f>
        <v>954124.73</v>
      </c>
      <c r="I320" s="14" t="s">
        <v>249</v>
      </c>
      <c r="J320" s="14" t="str">
        <f>'[1]V, inciso o) (OP)'!M176</f>
        <v>ARTURO</v>
      </c>
      <c r="K320" s="12" t="str">
        <f>'[1]V, inciso o) (OP)'!N176</f>
        <v>SARMIENTO</v>
      </c>
      <c r="L320" s="12" t="str">
        <f>'[1]V, inciso o) (OP)'!O176</f>
        <v>SANCHEZ</v>
      </c>
      <c r="M320" s="14" t="str">
        <f>'[1]V, inciso o) (OP)'!P176</f>
        <v>Construbravo, S. A. de C. V.</v>
      </c>
      <c r="N320" s="12" t="str">
        <f>'[1]V, inciso o) (OP)'!Q176</f>
        <v>CON020208696</v>
      </c>
      <c r="O320" s="15">
        <f t="shared" si="8"/>
        <v>954124.73</v>
      </c>
      <c r="P320" s="15">
        <v>954124.73</v>
      </c>
      <c r="Q320" s="12" t="s">
        <v>756</v>
      </c>
      <c r="R320" s="15">
        <f>O320/3976</f>
        <v>239.97100855130785</v>
      </c>
      <c r="S320" s="12" t="s">
        <v>42</v>
      </c>
      <c r="T320" s="17">
        <v>9195</v>
      </c>
      <c r="U320" s="14" t="s">
        <v>43</v>
      </c>
      <c r="V320" s="12" t="s">
        <v>44</v>
      </c>
      <c r="W320" s="13">
        <f>'[1]V, inciso o) (OP)'!AD176</f>
        <v>42814</v>
      </c>
      <c r="X320" s="13">
        <f>'[1]V, inciso o) (OP)'!AE176</f>
        <v>42855</v>
      </c>
      <c r="Y320" s="12" t="s">
        <v>380</v>
      </c>
      <c r="Z320" s="12" t="s">
        <v>257</v>
      </c>
      <c r="AA320" s="12" t="s">
        <v>258</v>
      </c>
      <c r="AB320" s="14" t="s">
        <v>1546</v>
      </c>
      <c r="AC320" s="14" t="s">
        <v>125</v>
      </c>
      <c r="AD320" s="14"/>
    </row>
    <row r="321" spans="1:30" ht="80.099999999999994" customHeight="1">
      <c r="A321" s="5">
        <v>34</v>
      </c>
      <c r="B321" s="12">
        <v>2017</v>
      </c>
      <c r="C321" s="12" t="s">
        <v>65</v>
      </c>
      <c r="D321" s="14" t="str">
        <f>'[1]V, inciso o) (OP)'!C177</f>
        <v>DOPI-MUN-RM-PAV-AD-034-2017</v>
      </c>
      <c r="E321" s="13">
        <f>'[1]V, inciso o) (OP)'!V180</f>
        <v>42804</v>
      </c>
      <c r="F321" s="14" t="str">
        <f>'[1]V, inciso o) (OP)'!AA177</f>
        <v>Construcción de pavimento de concreto hidráulico, banquetas, guarniciones, cajas de válvulas, pozos de visita, descargas sanitarias, señalamiento vertical y horizontal, en el crucero y área de influencia de la calle Ejido en su cruce con Av. Juan Gil Preciado, municipio de Zapopan, Jalisco.</v>
      </c>
      <c r="G321" s="14" t="s">
        <v>66</v>
      </c>
      <c r="H321" s="15">
        <f>'[1]V, inciso o) (OP)'!Y177</f>
        <v>1401225.41</v>
      </c>
      <c r="I321" s="14" t="s">
        <v>757</v>
      </c>
      <c r="J321" s="14" t="str">
        <f>'[1]V, inciso o) (OP)'!M177</f>
        <v>ANDRES EDUARDO</v>
      </c>
      <c r="K321" s="12" t="str">
        <f>'[1]V, inciso o) (OP)'!N177</f>
        <v>ACEVES</v>
      </c>
      <c r="L321" s="12" t="str">
        <f>'[1]V, inciso o) (OP)'!O177</f>
        <v>CASTAÑEDA</v>
      </c>
      <c r="M321" s="14" t="str">
        <f>'[1]V, inciso o) (OP)'!P177</f>
        <v>Secri Constructora, S. A. de C. V.</v>
      </c>
      <c r="N321" s="12" t="str">
        <f>'[1]V, inciso o) (OP)'!Q177</f>
        <v>SCO100609EVA</v>
      </c>
      <c r="O321" s="15">
        <f t="shared" si="8"/>
        <v>1401225.41</v>
      </c>
      <c r="P321" s="15">
        <v>1325452.3</v>
      </c>
      <c r="Q321" s="12" t="s">
        <v>758</v>
      </c>
      <c r="R321" s="15">
        <f>O321/905</f>
        <v>1548.3153701657457</v>
      </c>
      <c r="S321" s="12" t="s">
        <v>42</v>
      </c>
      <c r="T321" s="17">
        <v>8178</v>
      </c>
      <c r="U321" s="14" t="s">
        <v>43</v>
      </c>
      <c r="V321" s="12" t="s">
        <v>44</v>
      </c>
      <c r="W321" s="13">
        <f>'[1]V, inciso o) (OP)'!AD177</f>
        <v>42814</v>
      </c>
      <c r="X321" s="13">
        <f>'[1]V, inciso o) (OP)'!AE177</f>
        <v>42855</v>
      </c>
      <c r="Y321" s="12" t="s">
        <v>731</v>
      </c>
      <c r="Z321" s="12" t="s">
        <v>337</v>
      </c>
      <c r="AA321" s="12" t="s">
        <v>120</v>
      </c>
      <c r="AB321" s="14" t="s">
        <v>1547</v>
      </c>
      <c r="AC321" s="14" t="s">
        <v>125</v>
      </c>
      <c r="AD321" s="14"/>
    </row>
    <row r="322" spans="1:30" ht="80.099999999999994" customHeight="1">
      <c r="A322" s="5">
        <v>35</v>
      </c>
      <c r="B322" s="12">
        <v>2017</v>
      </c>
      <c r="C322" s="12" t="s">
        <v>65</v>
      </c>
      <c r="D322" s="14" t="str">
        <f>'[1]V, inciso o) (OP)'!C178</f>
        <v>DOPI-MUN-RM-PAV-AD-035-2017</v>
      </c>
      <c r="E322" s="13">
        <f>'[1]V, inciso o) (OP)'!V181</f>
        <v>42811</v>
      </c>
      <c r="F322" s="14" t="str">
        <f>'[1]V, inciso o) (OP)'!AA178</f>
        <v>Rehabilitación de la superficie de rodamiento y modificación vial del crucero de Prolongación Guadalupe y Periférico Poniente Manuel Gómez Morín, municipio de Zapopan, Jalisco.</v>
      </c>
      <c r="G322" s="14" t="s">
        <v>66</v>
      </c>
      <c r="H322" s="15">
        <f>'[1]V, inciso o) (OP)'!Y178</f>
        <v>385367</v>
      </c>
      <c r="I322" s="14" t="s">
        <v>759</v>
      </c>
      <c r="J322" s="14" t="str">
        <f>'[1]V, inciso o) (OP)'!M178</f>
        <v>JOSE DANIEL</v>
      </c>
      <c r="K322" s="12" t="str">
        <f>'[1]V, inciso o) (OP)'!N178</f>
        <v xml:space="preserve">MARTINEZ </v>
      </c>
      <c r="L322" s="12" t="str">
        <f>'[1]V, inciso o) (OP)'!O178</f>
        <v>CASILLAS</v>
      </c>
      <c r="M322" s="14" t="str">
        <f>'[1]V, inciso o) (OP)'!P178</f>
        <v>Constructora Tesisteka, S.A. de C.V.</v>
      </c>
      <c r="N322" s="12" t="str">
        <f>'[1]V, inciso o) (OP)'!Q178</f>
        <v>CTE060615JX2</v>
      </c>
      <c r="O322" s="15">
        <f t="shared" si="8"/>
        <v>385367</v>
      </c>
      <c r="P322" s="15">
        <f>O322</f>
        <v>385367</v>
      </c>
      <c r="Q322" s="12" t="s">
        <v>760</v>
      </c>
      <c r="R322" s="15">
        <f>O322/250</f>
        <v>1541.4680000000001</v>
      </c>
      <c r="S322" s="12" t="s">
        <v>42</v>
      </c>
      <c r="T322" s="17">
        <v>17992</v>
      </c>
      <c r="U322" s="14" t="s">
        <v>43</v>
      </c>
      <c r="V322" s="12" t="s">
        <v>378</v>
      </c>
      <c r="W322" s="13">
        <f>'[1]V, inciso o) (OP)'!AD178</f>
        <v>42814</v>
      </c>
      <c r="X322" s="13">
        <f>'[1]V, inciso o) (OP)'!AE178</f>
        <v>42870</v>
      </c>
      <c r="Y322" s="12" t="s">
        <v>761</v>
      </c>
      <c r="Z322" s="12" t="s">
        <v>236</v>
      </c>
      <c r="AA322" s="12" t="s">
        <v>147</v>
      </c>
      <c r="AB322" s="14" t="s">
        <v>48</v>
      </c>
      <c r="AC322" s="14" t="s">
        <v>48</v>
      </c>
      <c r="AD322" s="14" t="s">
        <v>1571</v>
      </c>
    </row>
    <row r="323" spans="1:30" ht="80.099999999999994" customHeight="1">
      <c r="A323" s="5">
        <v>36</v>
      </c>
      <c r="B323" s="12">
        <v>2017</v>
      </c>
      <c r="C323" s="12" t="s">
        <v>65</v>
      </c>
      <c r="D323" s="14" t="str">
        <f>'[1]V, inciso o) (OP)'!C179</f>
        <v>DOPI-MUN-RM-PAV-AD-036-2017</v>
      </c>
      <c r="E323" s="13">
        <f>'[1]V, inciso o) (OP)'!V182</f>
        <v>42811</v>
      </c>
      <c r="F323" s="14" t="str">
        <f>'[1]V, inciso o) (OP)'!AA179</f>
        <v>Obra complementaria en la incorporación de Av. Ecónomos a Periférico Poniente, municipio de Zapopan, Jalisco.</v>
      </c>
      <c r="G323" s="14" t="s">
        <v>66</v>
      </c>
      <c r="H323" s="15">
        <f>'[1]V, inciso o) (OP)'!Y179</f>
        <v>1301166.0900000001</v>
      </c>
      <c r="I323" s="14" t="s">
        <v>762</v>
      </c>
      <c r="J323" s="14" t="str">
        <f>'[1]V, inciso o) (OP)'!M179</f>
        <v>SERGIO CESAR</v>
      </c>
      <c r="K323" s="12" t="str">
        <f>'[1]V, inciso o) (OP)'!N179</f>
        <v>DIAZ</v>
      </c>
      <c r="L323" s="12" t="str">
        <f>'[1]V, inciso o) (OP)'!O179</f>
        <v>QUIROZ</v>
      </c>
      <c r="M323" s="14" t="str">
        <f>'[1]V, inciso o) (OP)'!P179</f>
        <v>Grupo Unicreto de México, S.A. de C.V.</v>
      </c>
      <c r="N323" s="12" t="str">
        <f>'[1]V, inciso o) (OP)'!Q179</f>
        <v>GUM111201IA5</v>
      </c>
      <c r="O323" s="15">
        <f t="shared" si="8"/>
        <v>1301166.0900000001</v>
      </c>
      <c r="P323" s="15">
        <v>1258980.32</v>
      </c>
      <c r="Q323" s="12" t="s">
        <v>763</v>
      </c>
      <c r="R323" s="15">
        <f>O323/950</f>
        <v>1369.6485157894738</v>
      </c>
      <c r="S323" s="12" t="s">
        <v>42</v>
      </c>
      <c r="T323" s="17">
        <v>8546</v>
      </c>
      <c r="U323" s="14" t="s">
        <v>43</v>
      </c>
      <c r="V323" s="12" t="s">
        <v>44</v>
      </c>
      <c r="W323" s="13">
        <f>'[1]V, inciso o) (OP)'!AD179</f>
        <v>42814</v>
      </c>
      <c r="X323" s="13">
        <f>'[1]V, inciso o) (OP)'!AE179</f>
        <v>42865</v>
      </c>
      <c r="Y323" s="12" t="s">
        <v>761</v>
      </c>
      <c r="Z323" s="12" t="s">
        <v>236</v>
      </c>
      <c r="AA323" s="12" t="s">
        <v>147</v>
      </c>
      <c r="AB323" s="14" t="s">
        <v>1548</v>
      </c>
      <c r="AC323" s="14" t="s">
        <v>125</v>
      </c>
      <c r="AD323" s="14"/>
    </row>
    <row r="324" spans="1:30" ht="80.099999999999994" customHeight="1">
      <c r="A324" s="5">
        <v>37</v>
      </c>
      <c r="B324" s="12">
        <v>2017</v>
      </c>
      <c r="C324" s="12" t="s">
        <v>65</v>
      </c>
      <c r="D324" s="14" t="str">
        <f>'[1]V, inciso o) (OP)'!C180</f>
        <v>DOPI-MUN-RM-PAV-AD-037-2017</v>
      </c>
      <c r="E324" s="13">
        <f>'[1]V, inciso o) (OP)'!V183</f>
        <v>42804</v>
      </c>
      <c r="F324" s="14" t="str">
        <f>'[1]V, inciso o) (OP)'!AA180</f>
        <v>Construcción de vialidad con concreto hidráulico calle Cuatlicue desde la calle Ozomatlí a la calle Tul, incluye: guarniciones, banquetas, red de agua potable, alcantarillado, servicios complementarios, zona las Mesas, Municipio de Zapopan, Jalisco.</v>
      </c>
      <c r="G324" s="14" t="s">
        <v>66</v>
      </c>
      <c r="H324" s="15">
        <f>'[1]V, inciso o) (OP)'!Y180</f>
        <v>1112558.02</v>
      </c>
      <c r="I324" s="14" t="s">
        <v>687</v>
      </c>
      <c r="J324" s="14" t="str">
        <f>'[1]V, inciso o) (OP)'!M180</f>
        <v>JOSE OMAR</v>
      </c>
      <c r="K324" s="12" t="str">
        <f>'[1]V, inciso o) (OP)'!N180</f>
        <v>FERNANDEZ</v>
      </c>
      <c r="L324" s="12" t="str">
        <f>'[1]V, inciso o) (OP)'!O180</f>
        <v>VAZQUEZ</v>
      </c>
      <c r="M324" s="14" t="str">
        <f>'[1]V, inciso o) (OP)'!P180</f>
        <v>Extra Construcciones, S.A. de C.V.</v>
      </c>
      <c r="N324" s="12" t="str">
        <f>'[1]V, inciso o) (OP)'!Q180</f>
        <v>ECO0908115Z7</v>
      </c>
      <c r="O324" s="15">
        <f t="shared" si="8"/>
        <v>1112558.02</v>
      </c>
      <c r="P324" s="15">
        <v>1021468.88</v>
      </c>
      <c r="Q324" s="12" t="s">
        <v>441</v>
      </c>
      <c r="R324" s="15">
        <f>O324/375</f>
        <v>2966.8213866666665</v>
      </c>
      <c r="S324" s="12" t="s">
        <v>42</v>
      </c>
      <c r="T324" s="17">
        <v>2492</v>
      </c>
      <c r="U324" s="14" t="s">
        <v>43</v>
      </c>
      <c r="V324" s="12" t="s">
        <v>44</v>
      </c>
      <c r="W324" s="13">
        <f>'[1]V, inciso o) (OP)'!AD180</f>
        <v>42807</v>
      </c>
      <c r="X324" s="13">
        <f>'[1]V, inciso o) (OP)'!AE180</f>
        <v>42855</v>
      </c>
      <c r="Y324" s="12" t="s">
        <v>350</v>
      </c>
      <c r="Z324" s="12" t="s">
        <v>351</v>
      </c>
      <c r="AA324" s="12" t="s">
        <v>352</v>
      </c>
      <c r="AB324" s="14" t="s">
        <v>1549</v>
      </c>
      <c r="AC324" s="14" t="s">
        <v>125</v>
      </c>
      <c r="AD324" s="14"/>
    </row>
    <row r="325" spans="1:30" ht="80.099999999999994" customHeight="1">
      <c r="A325" s="5">
        <v>38</v>
      </c>
      <c r="B325" s="12">
        <v>2017</v>
      </c>
      <c r="C325" s="12" t="s">
        <v>65</v>
      </c>
      <c r="D325" s="14" t="str">
        <f>'[1]V, inciso o) (OP)'!C181</f>
        <v>DOPI-MUN-RM-IM-AD-038-2017</v>
      </c>
      <c r="E325" s="13">
        <f>'[1]V, inciso o) (OP)'!V184</f>
        <v>42824</v>
      </c>
      <c r="F325" s="14" t="str">
        <f>'[1]V, inciso o) (OP)'!AA181</f>
        <v>Rehabilitación y ampliación de bardas perimetrales de infraestructura hidráulica municipal, primera etapa, municipio de Zapopan, Jalisco.</v>
      </c>
      <c r="G325" s="14" t="s">
        <v>66</v>
      </c>
      <c r="H325" s="15">
        <f>'[1]V, inciso o) (OP)'!Y181</f>
        <v>1215075.44</v>
      </c>
      <c r="I325" s="14" t="s">
        <v>376</v>
      </c>
      <c r="J325" s="14" t="str">
        <f>'[1]V, inciso o) (OP)'!M181</f>
        <v>HUGO ARMANDO</v>
      </c>
      <c r="K325" s="12" t="str">
        <f>'[1]V, inciso o) (OP)'!N181</f>
        <v>PRIETO</v>
      </c>
      <c r="L325" s="12" t="str">
        <f>'[1]V, inciso o) (OP)'!O181</f>
        <v>JIMENEZ</v>
      </c>
      <c r="M325" s="14" t="str">
        <f>'[1]V, inciso o) (OP)'!P181</f>
        <v>Constructora Rural del País, S. A. de C. V.</v>
      </c>
      <c r="N325" s="12" t="str">
        <f>'[1]V, inciso o) (OP)'!Q181</f>
        <v>CRP870708I62</v>
      </c>
      <c r="O325" s="15">
        <f t="shared" si="8"/>
        <v>1215075.44</v>
      </c>
      <c r="P325" s="15">
        <f>O325</f>
        <v>1215075.44</v>
      </c>
      <c r="Q325" s="12" t="s">
        <v>764</v>
      </c>
      <c r="R325" s="15">
        <f>O325/129</f>
        <v>9419.1894573643403</v>
      </c>
      <c r="S325" s="12" t="s">
        <v>42</v>
      </c>
      <c r="T325" s="17">
        <v>856</v>
      </c>
      <c r="U325" s="14" t="s">
        <v>43</v>
      </c>
      <c r="V325" s="12" t="s">
        <v>378</v>
      </c>
      <c r="W325" s="13">
        <f>'[1]V, inciso o) (OP)'!AD181</f>
        <v>42814</v>
      </c>
      <c r="X325" s="13">
        <f>'[1]V, inciso o) (OP)'!AE181</f>
        <v>42886</v>
      </c>
      <c r="Y325" s="12" t="s">
        <v>718</v>
      </c>
      <c r="Z325" s="12" t="s">
        <v>142</v>
      </c>
      <c r="AA325" s="12" t="s">
        <v>134</v>
      </c>
      <c r="AB325" s="14" t="s">
        <v>48</v>
      </c>
      <c r="AC325" s="14" t="s">
        <v>48</v>
      </c>
      <c r="AD325" s="14" t="s">
        <v>1571</v>
      </c>
    </row>
    <row r="326" spans="1:30" ht="80.099999999999994" customHeight="1">
      <c r="A326" s="5">
        <v>39</v>
      </c>
      <c r="B326" s="12">
        <v>2017</v>
      </c>
      <c r="C326" s="12" t="s">
        <v>65</v>
      </c>
      <c r="D326" s="14" t="str">
        <f>'[1]V, inciso o) (OP)'!C182</f>
        <v>DOPI-MUN-RM-ELE-AD-039-2017</v>
      </c>
      <c r="E326" s="13">
        <f>'[1]V, inciso o) (OP)'!V185</f>
        <v>42794</v>
      </c>
      <c r="F326" s="14" t="str">
        <f>'[1]V, inciso o) (OP)'!AA182</f>
        <v>Instalación de la media tensión en la caseta de vigilancia del parque metropolitano, municipio de Zapopan, Jalisco.</v>
      </c>
      <c r="G326" s="14" t="s">
        <v>66</v>
      </c>
      <c r="H326" s="15">
        <f>'[1]V, inciso o) (OP)'!Y182</f>
        <v>196108.13</v>
      </c>
      <c r="I326" s="14" t="s">
        <v>765</v>
      </c>
      <c r="J326" s="14" t="str">
        <f>'[1]V, inciso o) (OP)'!M182</f>
        <v>JUAN PABLO</v>
      </c>
      <c r="K326" s="12" t="str">
        <f>'[1]V, inciso o) (OP)'!N182</f>
        <v>VERA</v>
      </c>
      <c r="L326" s="12" t="str">
        <f>'[1]V, inciso o) (OP)'!O182</f>
        <v>TAVARES</v>
      </c>
      <c r="M326" s="14" t="str">
        <f>'[1]V, inciso o) (OP)'!P182</f>
        <v>Lizette Construcciones, S. A. de C. V.</v>
      </c>
      <c r="N326" s="12" t="str">
        <f>'[1]V, inciso o) (OP)'!Q182</f>
        <v>LCO080228DN2</v>
      </c>
      <c r="O326" s="15">
        <f t="shared" si="8"/>
        <v>196108.13</v>
      </c>
      <c r="P326" s="15">
        <v>195826.14</v>
      </c>
      <c r="Q326" s="12" t="s">
        <v>717</v>
      </c>
      <c r="R326" s="15">
        <f>O326/80</f>
        <v>2451.3516250000002</v>
      </c>
      <c r="S326" s="12" t="s">
        <v>42</v>
      </c>
      <c r="T326" s="17">
        <v>1332272</v>
      </c>
      <c r="U326" s="14" t="s">
        <v>43</v>
      </c>
      <c r="V326" s="12" t="s">
        <v>44</v>
      </c>
      <c r="W326" s="13">
        <f>'[1]V, inciso o) (OP)'!AD182</f>
        <v>42814</v>
      </c>
      <c r="X326" s="13">
        <f>'[1]V, inciso o) (OP)'!AE182</f>
        <v>42855</v>
      </c>
      <c r="Y326" s="12" t="s">
        <v>718</v>
      </c>
      <c r="Z326" s="12" t="s">
        <v>142</v>
      </c>
      <c r="AA326" s="12" t="s">
        <v>134</v>
      </c>
      <c r="AB326" s="14" t="s">
        <v>1550</v>
      </c>
      <c r="AC326" s="14" t="s">
        <v>125</v>
      </c>
      <c r="AD326" s="14"/>
    </row>
    <row r="327" spans="1:30" ht="80.099999999999994" customHeight="1">
      <c r="A327" s="5">
        <v>40</v>
      </c>
      <c r="B327" s="12">
        <v>2017</v>
      </c>
      <c r="C327" s="12" t="s">
        <v>65</v>
      </c>
      <c r="D327" s="14" t="str">
        <f>'[1]V, inciso o) (OP)'!C183</f>
        <v>DOPI-MUN-RM-AP-AD-040-2017</v>
      </c>
      <c r="E327" s="13">
        <f>'[1]V, inciso o) (OP)'!V186</f>
        <v>42804</v>
      </c>
      <c r="F327" s="14" t="str">
        <f>'[1]V, inciso o) (OP)'!AA183</f>
        <v>Sustitución de red de agua potable en la calle Laurel de la calle Paseo de los Manzanos a calle Palmeras, en la colonia Lomas de Tabachines I sección, en el municipio de Zapopan, Jalisco.</v>
      </c>
      <c r="G327" s="14" t="s">
        <v>66</v>
      </c>
      <c r="H327" s="15">
        <f>'[1]V, inciso o) (OP)'!Y183</f>
        <v>1389276.63</v>
      </c>
      <c r="I327" s="14" t="s">
        <v>93</v>
      </c>
      <c r="J327" s="14" t="str">
        <f>'[1]V, inciso o) (OP)'!M183</f>
        <v>EDGARDO</v>
      </c>
      <c r="K327" s="12" t="str">
        <f>'[1]V, inciso o) (OP)'!N183</f>
        <v>ZUÑIGA</v>
      </c>
      <c r="L327" s="12" t="str">
        <f>'[1]V, inciso o) (OP)'!O183</f>
        <v>BERISTAIN</v>
      </c>
      <c r="M327" s="14" t="str">
        <f>'[1]V, inciso o) (OP)'!P183</f>
        <v>Proyección Integral Zure, S. A. de C. V.</v>
      </c>
      <c r="N327" s="12" t="str">
        <f>'[1]V, inciso o) (OP)'!Q183</f>
        <v>PIZ070717DX6</v>
      </c>
      <c r="O327" s="15">
        <f t="shared" si="8"/>
        <v>1389276.63</v>
      </c>
      <c r="P327" s="15">
        <v>665384.46</v>
      </c>
      <c r="Q327" s="12" t="s">
        <v>766</v>
      </c>
      <c r="R327" s="15">
        <f>O327/428</f>
        <v>3245.9734345794391</v>
      </c>
      <c r="S327" s="12" t="s">
        <v>42</v>
      </c>
      <c r="T327" s="17">
        <v>2782</v>
      </c>
      <c r="U327" s="14" t="s">
        <v>43</v>
      </c>
      <c r="V327" s="12" t="s">
        <v>44</v>
      </c>
      <c r="W327" s="13">
        <f>'[1]V, inciso o) (OP)'!AD183</f>
        <v>42807</v>
      </c>
      <c r="X327" s="13">
        <f>'[1]V, inciso o) (OP)'!AE183</f>
        <v>42855</v>
      </c>
      <c r="Y327" s="12" t="s">
        <v>767</v>
      </c>
      <c r="Z327" s="12" t="s">
        <v>768</v>
      </c>
      <c r="AA327" s="12" t="s">
        <v>769</v>
      </c>
      <c r="AB327" s="14" t="s">
        <v>1551</v>
      </c>
      <c r="AC327" s="14" t="s">
        <v>125</v>
      </c>
      <c r="AD327" s="14"/>
    </row>
    <row r="328" spans="1:30" ht="80.099999999999994" customHeight="1">
      <c r="A328" s="5">
        <v>41</v>
      </c>
      <c r="B328" s="12">
        <v>2017</v>
      </c>
      <c r="C328" s="14" t="s">
        <v>143</v>
      </c>
      <c r="D328" s="14" t="str">
        <f>'[1]V, inciso p) (OP)'!D151</f>
        <v>DOPI-MUN-FORTA-BAN-CI-041-2017</v>
      </c>
      <c r="E328" s="13">
        <f>'[1]V, inciso p) (OP)'!AD151</f>
        <v>42877</v>
      </c>
      <c r="F328" s="14" t="str">
        <f>'[1]V, inciso p) (OP)'!AL151</f>
        <v>Peatonalización (banquetas y obras de accesibilidad) del área de influencia de escuelas, hospitales, mercados, centros culturales, plazas públicas y clínicas, municipio de Zapopan, Jalisco, Frente 1.</v>
      </c>
      <c r="G328" s="14" t="s">
        <v>707</v>
      </c>
      <c r="H328" s="15">
        <f>'[1]V, inciso p) (OP)'!AJ151</f>
        <v>2990803.7</v>
      </c>
      <c r="I328" s="14" t="str">
        <f>'[1]V, inciso p) (OP)'!AS151</f>
        <v>Col. Lomas de Tabachines, Jardines del Valle, El Vigia, Misión del Bosque</v>
      </c>
      <c r="J328" s="14" t="str">
        <f>'[1]V, inciso p) (OP)'!T151</f>
        <v>Omar</v>
      </c>
      <c r="K328" s="14" t="str">
        <f>'[1]V, inciso p) (OP)'!U151</f>
        <v>Mora</v>
      </c>
      <c r="L328" s="14" t="str">
        <f>'[1]V, inciso p) (OP)'!V151</f>
        <v>Montes de Oca</v>
      </c>
      <c r="M328" s="14" t="str">
        <f>'[1]V, inciso p) (OP)'!W151</f>
        <v>Dommont Construcciones, S.A. de C.V.</v>
      </c>
      <c r="N328" s="14" t="str">
        <f>'[1]V, inciso p) (OP)'!X151</f>
        <v>DCO130215C16</v>
      </c>
      <c r="O328" s="15">
        <f t="shared" si="8"/>
        <v>2990803.7</v>
      </c>
      <c r="P328" s="15">
        <v>2990801.27</v>
      </c>
      <c r="Q328" s="21" t="s">
        <v>770</v>
      </c>
      <c r="R328" s="22">
        <f>O328/2633</f>
        <v>1135.8920243068744</v>
      </c>
      <c r="S328" s="12" t="s">
        <v>42</v>
      </c>
      <c r="T328" s="17">
        <v>374894</v>
      </c>
      <c r="U328" s="14" t="s">
        <v>43</v>
      </c>
      <c r="V328" s="12" t="s">
        <v>378</v>
      </c>
      <c r="W328" s="13">
        <v>42877</v>
      </c>
      <c r="X328" s="13">
        <v>42996</v>
      </c>
      <c r="Y328" s="12" t="s">
        <v>436</v>
      </c>
      <c r="Z328" s="12" t="s">
        <v>295</v>
      </c>
      <c r="AA328" s="12" t="s">
        <v>76</v>
      </c>
      <c r="AB328" s="14" t="s">
        <v>1360</v>
      </c>
      <c r="AC328" s="14" t="s">
        <v>48</v>
      </c>
      <c r="AD328" s="14"/>
    </row>
    <row r="329" spans="1:30" ht="80.099999999999994" customHeight="1">
      <c r="A329" s="5">
        <v>42</v>
      </c>
      <c r="B329" s="12">
        <v>2017</v>
      </c>
      <c r="C329" s="14" t="s">
        <v>143</v>
      </c>
      <c r="D329" s="14" t="str">
        <f>'[1]V, inciso p) (OP)'!D152</f>
        <v>DOPI-MUN-FORTA-BAN-CI-042-2017</v>
      </c>
      <c r="E329" s="13">
        <f>'[1]V, inciso p) (OP)'!AD152</f>
        <v>42877</v>
      </c>
      <c r="F329" s="14" t="str">
        <f>'[1]V, inciso p) (OP)'!AL152</f>
        <v>Peatonalización (banquetas y obras de accesibilidad) del área de influencia de escuelas, hospitales, mercados, centros culturales, plazas públicas y clínicas, municipio de Zapopan, Jalisco, Frente 2.</v>
      </c>
      <c r="G329" s="14" t="s">
        <v>707</v>
      </c>
      <c r="H329" s="15">
        <f>'[1]V, inciso p) (OP)'!AJ152</f>
        <v>2994800.57</v>
      </c>
      <c r="I329" s="14" t="str">
        <f>'[1]V, inciso p) (OP)'!AS152</f>
        <v>Col. Nextipac, Mariano Otero</v>
      </c>
      <c r="J329" s="14" t="str">
        <f>'[1]V, inciso p) (OP)'!T152</f>
        <v>Elba</v>
      </c>
      <c r="K329" s="14" t="str">
        <f>'[1]V, inciso p) (OP)'!U152</f>
        <v xml:space="preserve">González </v>
      </c>
      <c r="L329" s="14" t="str">
        <f>'[1]V, inciso p) (OP)'!V152</f>
        <v>Aguirre</v>
      </c>
      <c r="M329" s="14" t="str">
        <f>'[1]V, inciso p) (OP)'!W152</f>
        <v>GA Urbanización, S.A. de C.V.</v>
      </c>
      <c r="N329" s="14" t="str">
        <f>'[1]V, inciso p) (OP)'!X152</f>
        <v>GUR120612P22</v>
      </c>
      <c r="O329" s="15">
        <f t="shared" si="8"/>
        <v>2994800.57</v>
      </c>
      <c r="P329" s="15">
        <f>O329</f>
        <v>2994800.57</v>
      </c>
      <c r="Q329" s="21" t="s">
        <v>771</v>
      </c>
      <c r="R329" s="22">
        <f>O329/2533</f>
        <v>1182.3136873272799</v>
      </c>
      <c r="S329" s="12" t="s">
        <v>42</v>
      </c>
      <c r="T329" s="17">
        <v>396147</v>
      </c>
      <c r="U329" s="14" t="s">
        <v>43</v>
      </c>
      <c r="V329" s="12" t="s">
        <v>378</v>
      </c>
      <c r="W329" s="13">
        <v>42877</v>
      </c>
      <c r="X329" s="13">
        <v>42996</v>
      </c>
      <c r="Y329" s="12" t="s">
        <v>615</v>
      </c>
      <c r="Z329" s="12" t="s">
        <v>616</v>
      </c>
      <c r="AA329" s="12" t="s">
        <v>617</v>
      </c>
      <c r="AB329" s="14" t="s">
        <v>1361</v>
      </c>
      <c r="AC329" s="14" t="s">
        <v>48</v>
      </c>
      <c r="AD329" s="14" t="s">
        <v>1571</v>
      </c>
    </row>
    <row r="330" spans="1:30" ht="80.099999999999994" customHeight="1">
      <c r="A330" s="5">
        <v>43</v>
      </c>
      <c r="B330" s="12">
        <v>2017</v>
      </c>
      <c r="C330" s="14" t="s">
        <v>143</v>
      </c>
      <c r="D330" s="14" t="str">
        <f>'[1]V, inciso p) (OP)'!D153</f>
        <v>DOPI-MUN-RM-IH-CI-043-2017</v>
      </c>
      <c r="E330" s="13">
        <f>'[1]V, inciso p) (OP)'!AD153</f>
        <v>42868</v>
      </c>
      <c r="F330" s="14" t="str">
        <f>'[1]V, inciso p) (OP)'!AL153</f>
        <v>Construcción de estructuras de llegada, demasías, de acceso y de control e instalación de gaviones en el estanque de retención de agua pluviales para mitigar riesgo de inundaciones en Santa María del Pueblito, municipio de Zapopan, Jalisco.</v>
      </c>
      <c r="G330" s="14" t="s">
        <v>66</v>
      </c>
      <c r="H330" s="15">
        <f>'[1]V, inciso p) (OP)'!AJ153</f>
        <v>7752532.1600000001</v>
      </c>
      <c r="I330" s="14" t="str">
        <f>'[1]V, inciso p) (OP)'!AS153</f>
        <v>Col. Santa Maria del Pueblito</v>
      </c>
      <c r="J330" s="14" t="str">
        <f>'[1]V, inciso p) (OP)'!T153</f>
        <v xml:space="preserve">Marco Antonio </v>
      </c>
      <c r="K330" s="14" t="str">
        <f>'[1]V, inciso p) (OP)'!U153</f>
        <v>Lozano</v>
      </c>
      <c r="L330" s="14" t="str">
        <f>'[1]V, inciso p) (OP)'!V153</f>
        <v>Estrada</v>
      </c>
      <c r="M330" s="14" t="str">
        <f>'[1]V, inciso p) (OP)'!W153</f>
        <v>Desarrolladora Fulham S. de R.L. de C.V.</v>
      </c>
      <c r="N330" s="14" t="str">
        <f>'[1]V, inciso p) (OP)'!X153</f>
        <v>DFU090928JB5</v>
      </c>
      <c r="O330" s="15">
        <f t="shared" si="8"/>
        <v>7752532.1600000001</v>
      </c>
      <c r="P330" s="15">
        <v>7752531.3600000003</v>
      </c>
      <c r="Q330" s="21" t="s">
        <v>772</v>
      </c>
      <c r="R330" s="22">
        <f>O330/845</f>
        <v>9174.5942721893498</v>
      </c>
      <c r="S330" s="12" t="s">
        <v>42</v>
      </c>
      <c r="T330" s="17">
        <v>6778</v>
      </c>
      <c r="U330" s="14" t="s">
        <v>43</v>
      </c>
      <c r="V330" s="12" t="s">
        <v>378</v>
      </c>
      <c r="W330" s="13">
        <v>42868</v>
      </c>
      <c r="X330" s="13">
        <v>42987</v>
      </c>
      <c r="Y330" s="12" t="s">
        <v>336</v>
      </c>
      <c r="Z330" s="12" t="s">
        <v>337</v>
      </c>
      <c r="AA330" s="12" t="s">
        <v>120</v>
      </c>
      <c r="AB330" s="14" t="s">
        <v>1362</v>
      </c>
      <c r="AC330" s="14" t="s">
        <v>48</v>
      </c>
      <c r="AD330" s="14"/>
    </row>
    <row r="331" spans="1:30" ht="80.099999999999994" customHeight="1">
      <c r="A331" s="5">
        <v>44</v>
      </c>
      <c r="B331" s="12">
        <v>2017</v>
      </c>
      <c r="C331" s="14" t="s">
        <v>143</v>
      </c>
      <c r="D331" s="14" t="str">
        <f>'[1]V, inciso p) (OP)'!D154</f>
        <v>DOPI-MUN-RM-IH-CI-044-2017</v>
      </c>
      <c r="E331" s="13">
        <f>'[1]V, inciso p) (OP)'!AD154</f>
        <v>42868</v>
      </c>
      <c r="F331" s="14" t="str">
        <f>'[1]V, inciso p) (OP)'!AL154</f>
        <v>Construcción colector de alejamiento del vaso regulador de Santa María del Pueblito, municipio de Zapopan, Jalisco.</v>
      </c>
      <c r="G331" s="14" t="s">
        <v>66</v>
      </c>
      <c r="H331" s="15">
        <f>'[1]V, inciso p) (OP)'!AJ154</f>
        <v>3706562.02</v>
      </c>
      <c r="I331" s="14" t="str">
        <f>'[1]V, inciso p) (OP)'!AS154</f>
        <v>Col. Santa Maria del Pueblito</v>
      </c>
      <c r="J331" s="14" t="str">
        <f>'[1]V, inciso p) (OP)'!T154</f>
        <v>Claudio Felipe</v>
      </c>
      <c r="K331" s="14" t="str">
        <f>'[1]V, inciso p) (OP)'!U154</f>
        <v>Trujillo</v>
      </c>
      <c r="L331" s="14" t="str">
        <f>'[1]V, inciso p) (OP)'!V154</f>
        <v>Gracián</v>
      </c>
      <c r="M331" s="14" t="str">
        <f>'[1]V, inciso p) (OP)'!W154</f>
        <v>Desarrolladora Lumadi, S.A. de C.V.</v>
      </c>
      <c r="N331" s="14" t="str">
        <f>'[1]V, inciso p) (OP)'!X154</f>
        <v>DLU100818F46</v>
      </c>
      <c r="O331" s="15">
        <f t="shared" si="8"/>
        <v>3706562.02</v>
      </c>
      <c r="P331" s="15">
        <v>3611279.7499999995</v>
      </c>
      <c r="Q331" s="21" t="s">
        <v>773</v>
      </c>
      <c r="R331" s="22">
        <f>O331/145</f>
        <v>25562.496689655174</v>
      </c>
      <c r="S331" s="12" t="s">
        <v>42</v>
      </c>
      <c r="T331" s="17">
        <v>6778</v>
      </c>
      <c r="U331" s="14" t="s">
        <v>43</v>
      </c>
      <c r="V331" s="12" t="s">
        <v>44</v>
      </c>
      <c r="W331" s="13">
        <v>42868</v>
      </c>
      <c r="X331" s="13">
        <v>42987</v>
      </c>
      <c r="Y331" s="12" t="s">
        <v>336</v>
      </c>
      <c r="Z331" s="12" t="s">
        <v>337</v>
      </c>
      <c r="AA331" s="12" t="s">
        <v>120</v>
      </c>
      <c r="AB331" s="14" t="s">
        <v>1363</v>
      </c>
      <c r="AC331" s="14" t="s">
        <v>125</v>
      </c>
      <c r="AD331" s="14"/>
    </row>
    <row r="332" spans="1:30" ht="80.099999999999994" customHeight="1">
      <c r="A332" s="5">
        <v>45</v>
      </c>
      <c r="B332" s="12">
        <v>2017</v>
      </c>
      <c r="C332" s="14" t="s">
        <v>143</v>
      </c>
      <c r="D332" s="14" t="str">
        <f>'[1]V, inciso p) (OP)'!D155</f>
        <v>DOPI-MUN-RM-PAV-CI-045-2017</v>
      </c>
      <c r="E332" s="13">
        <f>'[1]V, inciso p) (OP)'!AD155</f>
        <v>42868</v>
      </c>
      <c r="F332" s="14" t="str">
        <f>'[1]V, inciso p) (OP)'!AL155</f>
        <v>Rehabilitación de la vialidad Av. Dr. Ángel Leaño, incluye: red de agua potable, alcantarillado, obras hidráulicas y de infiltración, guarniciones, banquetas, accesibilidad, ciclovía, servicios complementarios, pasos de fauna y reforestación, Tramo Zona de Nixticuitl, municipio de Zapopan, Jalisco, Frente 1.</v>
      </c>
      <c r="G332" s="14" t="s">
        <v>66</v>
      </c>
      <c r="H332" s="15">
        <f>'[1]V, inciso p) (OP)'!AJ155</f>
        <v>6368591.04</v>
      </c>
      <c r="I332" s="14" t="str">
        <f>'[1]V, inciso p) (OP)'!AS155</f>
        <v>Col. El Tigre</v>
      </c>
      <c r="J332" s="14" t="str">
        <f>'[1]V, inciso p) (OP)'!T155</f>
        <v>Sergio Alberto</v>
      </c>
      <c r="K332" s="14" t="str">
        <f>'[1]V, inciso p) (OP)'!U155</f>
        <v>Baylon</v>
      </c>
      <c r="L332" s="14" t="str">
        <f>'[1]V, inciso p) (OP)'!V155</f>
        <v>Moreno</v>
      </c>
      <c r="M332" s="14" t="str">
        <f>'[1]V, inciso p) (OP)'!W155</f>
        <v>Edificaciones Estructurales Cobay, S. A. de C. V.</v>
      </c>
      <c r="N332" s="14" t="str">
        <f>'[1]V, inciso p) (OP)'!X155</f>
        <v>EEC9909173A7</v>
      </c>
      <c r="O332" s="15">
        <f t="shared" si="8"/>
        <v>6368591.04</v>
      </c>
      <c r="P332" s="15">
        <v>7960738.8000000007</v>
      </c>
      <c r="Q332" s="21" t="s">
        <v>774</v>
      </c>
      <c r="R332" s="22">
        <f>O332/6141</f>
        <v>1037.0609086468003</v>
      </c>
      <c r="S332" s="12" t="s">
        <v>42</v>
      </c>
      <c r="T332" s="17">
        <v>2932</v>
      </c>
      <c r="U332" s="14" t="s">
        <v>43</v>
      </c>
      <c r="V332" s="12" t="s">
        <v>378</v>
      </c>
      <c r="W332" s="13">
        <v>42868</v>
      </c>
      <c r="X332" s="13">
        <v>42987</v>
      </c>
      <c r="Y332" s="12" t="s">
        <v>775</v>
      </c>
      <c r="Z332" s="12" t="s">
        <v>728</v>
      </c>
      <c r="AA332" s="12" t="s">
        <v>316</v>
      </c>
      <c r="AB332" s="14" t="s">
        <v>1364</v>
      </c>
      <c r="AC332" s="14" t="s">
        <v>48</v>
      </c>
      <c r="AD332" s="14"/>
    </row>
    <row r="333" spans="1:30" ht="80.099999999999994" customHeight="1">
      <c r="A333" s="5">
        <v>46</v>
      </c>
      <c r="B333" s="12">
        <v>2017</v>
      </c>
      <c r="C333" s="14" t="s">
        <v>143</v>
      </c>
      <c r="D333" s="14" t="str">
        <f>'[1]V, inciso p) (OP)'!D156</f>
        <v>DOPI-MUN-RM-PAV-CI-046-2017</v>
      </c>
      <c r="E333" s="13">
        <f>'[1]V, inciso p) (OP)'!AD156</f>
        <v>42868</v>
      </c>
      <c r="F333" s="14" t="str">
        <f>'[1]V, inciso p) (OP)'!AL156</f>
        <v>Rehabilitación de la vialidad Av. Dr. Ángel Leaño, incluye: red de agua potable, alcantarillado, obras hidráulicas y de infiltración, guarniciones, banquetas, accesibilidad, ciclovía, servicios complementarios, pasos de fauna y reforestación, Tramo Zona de Nixticuitl, municipio de Zapopan, Jalisco, Frente 2.</v>
      </c>
      <c r="G333" s="14" t="s">
        <v>66</v>
      </c>
      <c r="H333" s="15">
        <f>'[1]V, inciso p) (OP)'!AJ156</f>
        <v>5822124.1500000004</v>
      </c>
      <c r="I333" s="14" t="str">
        <f>'[1]V, inciso p) (OP)'!AS156</f>
        <v>Col. El Tigre</v>
      </c>
      <c r="J333" s="14" t="str">
        <f>'[1]V, inciso p) (OP)'!T156</f>
        <v>Luis Armando</v>
      </c>
      <c r="K333" s="14" t="str">
        <f>'[1]V, inciso p) (OP)'!U156</f>
        <v>Linares</v>
      </c>
      <c r="L333" s="14" t="str">
        <f>'[1]V, inciso p) (OP)'!V156</f>
        <v>Cacho</v>
      </c>
      <c r="M333" s="14" t="str">
        <f>'[1]V, inciso p) (OP)'!W156</f>
        <v>Urbanizadora y Constructora Roal, S.A. de C.V.</v>
      </c>
      <c r="N333" s="14" t="str">
        <f>'[1]V, inciso p) (OP)'!X156</f>
        <v>URC160310857</v>
      </c>
      <c r="O333" s="15">
        <f t="shared" si="8"/>
        <v>5822124.1500000004</v>
      </c>
      <c r="P333" s="15">
        <v>5765770.8799999999</v>
      </c>
      <c r="Q333" s="21" t="s">
        <v>776</v>
      </c>
      <c r="R333" s="22">
        <f>O333/3764</f>
        <v>1546.7917507970246</v>
      </c>
      <c r="S333" s="12" t="s">
        <v>42</v>
      </c>
      <c r="T333" s="17">
        <v>2932</v>
      </c>
      <c r="U333" s="14" t="s">
        <v>43</v>
      </c>
      <c r="V333" s="12" t="s">
        <v>378</v>
      </c>
      <c r="W333" s="13">
        <v>42868</v>
      </c>
      <c r="X333" s="13">
        <v>42987</v>
      </c>
      <c r="Y333" s="12" t="s">
        <v>775</v>
      </c>
      <c r="Z333" s="12" t="s">
        <v>728</v>
      </c>
      <c r="AA333" s="12" t="s">
        <v>316</v>
      </c>
      <c r="AB333" s="14" t="s">
        <v>1365</v>
      </c>
      <c r="AC333" s="14" t="s">
        <v>48</v>
      </c>
      <c r="AD333" s="14"/>
    </row>
    <row r="334" spans="1:30" ht="80.099999999999994" customHeight="1">
      <c r="A334" s="5">
        <v>47</v>
      </c>
      <c r="B334" s="12">
        <v>2017</v>
      </c>
      <c r="C334" s="14" t="s">
        <v>143</v>
      </c>
      <c r="D334" s="14" t="str">
        <f>'[1]V, inciso p) (OP)'!D157</f>
        <v>DOPI-MUN-RM-PAV-CI-047-2017</v>
      </c>
      <c r="E334" s="13">
        <f>'[1]V, inciso p) (OP)'!AD157</f>
        <v>42868</v>
      </c>
      <c r="F334" s="14" t="str">
        <f>'[1]V, inciso p) (OP)'!AL157</f>
        <v>Construcción de pavimento de concreto hidráulico, incluye: agua potable, alcantarillado, guarniciones, banquetas, accesibilidad, servicios complementarios y forestación, en la calle Rizo Ayala de calle Paseo de los Manzanos a calle Las Araucarias y en la calle Paseo de Las Araucarias de Rizo Ayala Andador Rizo Ayala; Construcción de Andador Rizo Ayala, de Paseos de Los Manzanos a Paseo de La Araucarias, municipio de Zapopan, Jalisco.</v>
      </c>
      <c r="G334" s="14" t="s">
        <v>66</v>
      </c>
      <c r="H334" s="15">
        <f>'[1]V, inciso p) (OP)'!AJ157</f>
        <v>3722082.59</v>
      </c>
      <c r="I334" s="14" t="str">
        <f>'[1]V, inciso p) (OP)'!AS157</f>
        <v>Col. La Martinica</v>
      </c>
      <c r="J334" s="14" t="str">
        <f>'[1]V, inciso p) (OP)'!T157</f>
        <v>Miguel Ángel</v>
      </c>
      <c r="K334" s="14" t="str">
        <f>'[1]V, inciso p) (OP)'!U157</f>
        <v>Romero</v>
      </c>
      <c r="L334" s="14" t="str">
        <f>'[1]V, inciso p) (OP)'!V157</f>
        <v>Lugo</v>
      </c>
      <c r="M334" s="14" t="str">
        <f>'[1]V, inciso p) (OP)'!W157</f>
        <v>Obras y Comercialización de la Construcción, S.A. de C.V.</v>
      </c>
      <c r="N334" s="14" t="str">
        <f>'[1]V, inciso p) (OP)'!X157</f>
        <v>OCC940714PB0</v>
      </c>
      <c r="O334" s="15">
        <f t="shared" si="8"/>
        <v>3722082.59</v>
      </c>
      <c r="P334" s="15">
        <v>2968670.97</v>
      </c>
      <c r="Q334" s="21" t="s">
        <v>777</v>
      </c>
      <c r="R334" s="22">
        <f>O334/2711</f>
        <v>1372.9555846551089</v>
      </c>
      <c r="S334" s="12" t="s">
        <v>42</v>
      </c>
      <c r="T334" s="17">
        <v>3334</v>
      </c>
      <c r="U334" s="14" t="s">
        <v>43</v>
      </c>
      <c r="V334" s="12" t="s">
        <v>378</v>
      </c>
      <c r="W334" s="13">
        <v>42868</v>
      </c>
      <c r="X334" s="13">
        <v>42987</v>
      </c>
      <c r="Y334" s="12" t="s">
        <v>449</v>
      </c>
      <c r="Z334" s="12" t="s">
        <v>450</v>
      </c>
      <c r="AA334" s="12" t="s">
        <v>451</v>
      </c>
      <c r="AB334" s="14" t="s">
        <v>1366</v>
      </c>
      <c r="AC334" s="14" t="s">
        <v>48</v>
      </c>
      <c r="AD334" s="14"/>
    </row>
    <row r="335" spans="1:30" ht="80.099999999999994" customHeight="1">
      <c r="A335" s="5">
        <v>48</v>
      </c>
      <c r="B335" s="12">
        <v>2017</v>
      </c>
      <c r="C335" s="14" t="s">
        <v>143</v>
      </c>
      <c r="D335" s="14" t="str">
        <f>'[1]V, inciso p) (OP)'!D158</f>
        <v>DOPI-MUN-RM-PAV-CI-048-2017</v>
      </c>
      <c r="E335" s="13">
        <f>'[1]V, inciso p) (OP)'!AD158</f>
        <v>42868</v>
      </c>
      <c r="F335" s="14" t="str">
        <f>'[1]V, inciso p) (OP)'!AL158</f>
        <v>Construcción de puente vehicular y adecuaciones pluviales sobre El Arroyo Seco, en la colonia El Briseño, municipio de Zapopan, Jalisco.</v>
      </c>
      <c r="G335" s="14" t="s">
        <v>66</v>
      </c>
      <c r="H335" s="15">
        <f>'[1]V, inciso p) (OP)'!AJ158</f>
        <v>4544310.46</v>
      </c>
      <c r="I335" s="14" t="str">
        <f>'[1]V, inciso p) (OP)'!AS158</f>
        <v>Col. El Briseño</v>
      </c>
      <c r="J335" s="14" t="str">
        <f>'[1]V, inciso p) (OP)'!T158</f>
        <v>Victor</v>
      </c>
      <c r="K335" s="14" t="str">
        <f>'[1]V, inciso p) (OP)'!U158</f>
        <v>Zayas</v>
      </c>
      <c r="L335" s="14" t="str">
        <f>'[1]V, inciso p) (OP)'!V158</f>
        <v>Riquelme</v>
      </c>
      <c r="M335" s="14" t="str">
        <f>'[1]V, inciso p) (OP)'!W158</f>
        <v>Geminis Internacional Constructora, S.A. de C.V.</v>
      </c>
      <c r="N335" s="14" t="str">
        <f>'[1]V, inciso p) (OP)'!X158</f>
        <v>GIC810323RA6</v>
      </c>
      <c r="O335" s="15">
        <f t="shared" si="8"/>
        <v>4544310.46</v>
      </c>
      <c r="P335" s="15">
        <v>4479847.62</v>
      </c>
      <c r="Q335" s="21" t="s">
        <v>508</v>
      </c>
      <c r="R335" s="22">
        <f>O335/1</f>
        <v>4544310.46</v>
      </c>
      <c r="S335" s="12" t="s">
        <v>42</v>
      </c>
      <c r="T335" s="17">
        <v>5790</v>
      </c>
      <c r="U335" s="14" t="s">
        <v>43</v>
      </c>
      <c r="V335" s="12" t="s">
        <v>378</v>
      </c>
      <c r="W335" s="13">
        <v>42868</v>
      </c>
      <c r="X335" s="13">
        <v>42987</v>
      </c>
      <c r="Y335" s="12" t="s">
        <v>735</v>
      </c>
      <c r="Z335" s="12" t="s">
        <v>236</v>
      </c>
      <c r="AA335" s="12" t="s">
        <v>147</v>
      </c>
      <c r="AB335" s="14" t="s">
        <v>1367</v>
      </c>
      <c r="AC335" s="14" t="s">
        <v>48</v>
      </c>
      <c r="AD335" s="14"/>
    </row>
    <row r="336" spans="1:30" ht="80.099999999999994" customHeight="1">
      <c r="A336" s="5">
        <v>49</v>
      </c>
      <c r="B336" s="12">
        <v>2017</v>
      </c>
      <c r="C336" s="14" t="s">
        <v>31</v>
      </c>
      <c r="D336" s="14" t="str">
        <f>'[1]V, inciso p) (OP)'!D159</f>
        <v>DOPI-MUN-RM-EP-LP-049-2017</v>
      </c>
      <c r="E336" s="13">
        <f>'[1]V, inciso p) (OP)'!AD159</f>
        <v>42893</v>
      </c>
      <c r="F336" s="14" t="str">
        <f>'[1]V, inciso p) (OP)'!AL159</f>
        <v>Construcción de Fuente interactiva en plaza Las Américas, municipio de Zapopan, Jalisco.</v>
      </c>
      <c r="G336" s="14" t="s">
        <v>66</v>
      </c>
      <c r="H336" s="15">
        <f>'[1]V, inciso p) (OP)'!AJ159</f>
        <v>9027947.1300000008</v>
      </c>
      <c r="I336" s="14" t="str">
        <f>'[1]V, inciso p) (OP)'!AS159</f>
        <v>Col. Centro</v>
      </c>
      <c r="J336" s="14" t="str">
        <f>'[1]V, inciso p) (OP)'!T159</f>
        <v>Ignacio Javier</v>
      </c>
      <c r="K336" s="14" t="str">
        <f>'[1]V, inciso p) (OP)'!U159</f>
        <v>Curiel</v>
      </c>
      <c r="L336" s="14" t="str">
        <f>'[1]V, inciso p) (OP)'!V159</f>
        <v>Dueñas</v>
      </c>
      <c r="M336" s="14" t="str">
        <f>'[1]V, inciso p) (OP)'!W159</f>
        <v>TC Construcción y Mantenimiento, S.A. de C.V.</v>
      </c>
      <c r="N336" s="14" t="str">
        <f>'[1]V, inciso p) (OP)'!X159</f>
        <v>TCM100915HA1</v>
      </c>
      <c r="O336" s="15">
        <f t="shared" si="8"/>
        <v>9027947.1300000008</v>
      </c>
      <c r="P336" s="15">
        <f>O336</f>
        <v>9027947.1300000008</v>
      </c>
      <c r="Q336" s="21" t="s">
        <v>778</v>
      </c>
      <c r="R336" s="22">
        <f>O336/90</f>
        <v>100310.52366666668</v>
      </c>
      <c r="S336" s="12" t="s">
        <v>42</v>
      </c>
      <c r="T336" s="17">
        <v>1332272</v>
      </c>
      <c r="U336" s="14" t="s">
        <v>43</v>
      </c>
      <c r="V336" s="12" t="s">
        <v>378</v>
      </c>
      <c r="W336" s="13">
        <v>42868</v>
      </c>
      <c r="X336" s="13">
        <v>42987</v>
      </c>
      <c r="Y336" s="12" t="s">
        <v>454</v>
      </c>
      <c r="Z336" s="12" t="s">
        <v>455</v>
      </c>
      <c r="AA336" s="12" t="s">
        <v>456</v>
      </c>
      <c r="AB336" s="14" t="s">
        <v>1368</v>
      </c>
      <c r="AC336" s="14" t="s">
        <v>48</v>
      </c>
      <c r="AD336" s="14" t="s">
        <v>1571</v>
      </c>
    </row>
    <row r="337" spans="1:30" ht="80.099999999999994" customHeight="1">
      <c r="A337" s="5">
        <v>50</v>
      </c>
      <c r="B337" s="12">
        <v>2017</v>
      </c>
      <c r="C337" s="14" t="s">
        <v>31</v>
      </c>
      <c r="D337" s="14" t="str">
        <f>'[1]V, inciso p) (OP)'!D160</f>
        <v>DOPI-MUN-RM-PAV-LP-050-2017</v>
      </c>
      <c r="E337" s="13">
        <f>'[1]V, inciso p) (OP)'!AD160</f>
        <v>42893</v>
      </c>
      <c r="F337" s="14" t="str">
        <f>'[1]V, inciso p) (OP)'!AL160</f>
        <v>Pavimentación con concreto hidráulico en la colonia El Rehilete, incluye: agua potable, drenaje sanitario, guarniciones, banquetas, accesibilidad, media tensión y servicios complementarios, en el municipio de Zapopan, Jalisco, frente 1.</v>
      </c>
      <c r="G337" s="14" t="s">
        <v>66</v>
      </c>
      <c r="H337" s="15">
        <f>'[1]V, inciso p) (OP)'!AJ160</f>
        <v>4304584.1399999997</v>
      </c>
      <c r="I337" s="14" t="str">
        <f>'[1]V, inciso p) (OP)'!AS160</f>
        <v>Col. El Rehilete</v>
      </c>
      <c r="J337" s="14" t="str">
        <f>'[1]V, inciso p) (OP)'!T160</f>
        <v>ENRIQUE</v>
      </c>
      <c r="K337" s="14" t="str">
        <f>'[1]V, inciso p) (OP)'!U160</f>
        <v>LUGO</v>
      </c>
      <c r="L337" s="14" t="str">
        <f>'[1]V, inciso p) (OP)'!V160</f>
        <v>IBARRA</v>
      </c>
      <c r="M337" s="14" t="str">
        <f>'[1]V, inciso p) (OP)'!W160</f>
        <v>LUGO IBARRA CONSORCIO CONSTRUCTOR, S.A. DE C.V.</v>
      </c>
      <c r="N337" s="14" t="str">
        <f>'[1]V, inciso p) (OP)'!X160</f>
        <v>CMI110222AA0</v>
      </c>
      <c r="O337" s="15">
        <f t="shared" si="8"/>
        <v>4304584.1399999997</v>
      </c>
      <c r="P337" s="15">
        <v>3778681.53</v>
      </c>
      <c r="Q337" s="21" t="s">
        <v>779</v>
      </c>
      <c r="R337" s="22">
        <f>O337/1152</f>
        <v>3736.6181770833332</v>
      </c>
      <c r="S337" s="12" t="s">
        <v>42</v>
      </c>
      <c r="T337" s="17">
        <v>4144</v>
      </c>
      <c r="U337" s="14" t="s">
        <v>43</v>
      </c>
      <c r="V337" s="12" t="s">
        <v>378</v>
      </c>
      <c r="W337" s="13">
        <v>42868</v>
      </c>
      <c r="X337" s="13">
        <v>42987</v>
      </c>
      <c r="Y337" s="12" t="s">
        <v>735</v>
      </c>
      <c r="Z337" s="12" t="s">
        <v>236</v>
      </c>
      <c r="AA337" s="12" t="s">
        <v>147</v>
      </c>
      <c r="AB337" s="14" t="s">
        <v>1369</v>
      </c>
      <c r="AC337" s="14" t="s">
        <v>48</v>
      </c>
      <c r="AD337" s="14"/>
    </row>
    <row r="338" spans="1:30" ht="80.099999999999994" customHeight="1">
      <c r="A338" s="5">
        <v>51</v>
      </c>
      <c r="B338" s="12">
        <v>2017</v>
      </c>
      <c r="C338" s="14" t="s">
        <v>31</v>
      </c>
      <c r="D338" s="14" t="str">
        <f>'[1]V, inciso p) (OP)'!D161</f>
        <v>DOPI-MUN-RM-PAV-LP-051-2017</v>
      </c>
      <c r="E338" s="13">
        <f>'[1]V, inciso p) (OP)'!AD161</f>
        <v>42893</v>
      </c>
      <c r="F338" s="14" t="str">
        <f>'[1]V, inciso p) (OP)'!AL161</f>
        <v>Pavimentación con concreto hidráulico en la colonia El Rehilete, incluye: agua potable, drenaje sanitario, guarniciones, banquetas, accesibilidad, media tensión y servicios complementarios, en el municipio de Zapopan, Jalisco, frente 2.</v>
      </c>
      <c r="G338" s="14" t="s">
        <v>66</v>
      </c>
      <c r="H338" s="15">
        <f>'[1]V, inciso p) (OP)'!AJ161</f>
        <v>4673696.32</v>
      </c>
      <c r="I338" s="14" t="str">
        <f>'[1]V, inciso p) (OP)'!AS161</f>
        <v>Col. El Rehilete</v>
      </c>
      <c r="J338" s="14" t="str">
        <f>'[1]V, inciso p) (OP)'!T161</f>
        <v>Sergio Cesar</v>
      </c>
      <c r="K338" s="14" t="str">
        <f>'[1]V, inciso p) (OP)'!U161</f>
        <v>Diaz</v>
      </c>
      <c r="L338" s="14" t="str">
        <f>'[1]V, inciso p) (OP)'!V161</f>
        <v>Quiroz</v>
      </c>
      <c r="M338" s="14" t="str">
        <f>'[1]V, inciso p) (OP)'!W161</f>
        <v>Grupo Unicreto de México S.A. de C.V.</v>
      </c>
      <c r="N338" s="14" t="str">
        <f>'[1]V, inciso p) (OP)'!X161</f>
        <v>GUM111201IA5</v>
      </c>
      <c r="O338" s="15">
        <f t="shared" si="8"/>
        <v>4673696.32</v>
      </c>
      <c r="P338" s="15">
        <f>O338</f>
        <v>4673696.32</v>
      </c>
      <c r="Q338" s="21" t="s">
        <v>780</v>
      </c>
      <c r="R338" s="22">
        <f>O338/1137.6</f>
        <v>4108.3828410689175</v>
      </c>
      <c r="S338" s="12" t="s">
        <v>42</v>
      </c>
      <c r="T338" s="17">
        <v>4144</v>
      </c>
      <c r="U338" s="14" t="s">
        <v>43</v>
      </c>
      <c r="V338" s="12" t="s">
        <v>378</v>
      </c>
      <c r="W338" s="13">
        <v>42868</v>
      </c>
      <c r="X338" s="13">
        <v>42987</v>
      </c>
      <c r="Y338" s="12" t="s">
        <v>735</v>
      </c>
      <c r="Z338" s="12" t="s">
        <v>236</v>
      </c>
      <c r="AA338" s="12" t="s">
        <v>147</v>
      </c>
      <c r="AB338" s="14" t="s">
        <v>1370</v>
      </c>
      <c r="AC338" s="14" t="s">
        <v>48</v>
      </c>
      <c r="AD338" s="14" t="s">
        <v>1571</v>
      </c>
    </row>
    <row r="339" spans="1:30" ht="80.099999999999994" customHeight="1">
      <c r="A339" s="5">
        <v>52</v>
      </c>
      <c r="B339" s="12">
        <v>2017</v>
      </c>
      <c r="C339" s="12" t="s">
        <v>65</v>
      </c>
      <c r="D339" s="14" t="str">
        <f>'[1]V, inciso o) (OP)'!C184</f>
        <v>DOPI-MUN-RM-IH-AD-052-2017</v>
      </c>
      <c r="E339" s="13">
        <f>'[1]V, inciso o) (OP)'!V184</f>
        <v>42824</v>
      </c>
      <c r="F339" s="14" t="str">
        <f>'[1]V, inciso o) (OP)'!AA184</f>
        <v>Construcción de banquetas, línea de agua potable y drenaje sanitario en la Av. Aviación; Construcción de línea de agua potable en la calle Ocampo de Av. Aviación a calle Independencia, calle Privada Ocampo, calle Privada Solidaridad, en la colonia San Juan de Ocotán, municipio de Zapopan, Jalisco.</v>
      </c>
      <c r="G339" s="14" t="s">
        <v>66</v>
      </c>
      <c r="H339" s="15">
        <f>'[1]V, inciso o) (OP)'!Y184</f>
        <v>1484671.02</v>
      </c>
      <c r="I339" s="14" t="s">
        <v>781</v>
      </c>
      <c r="J339" s="14" t="str">
        <f>'[1]V, inciso o) (OP)'!M184</f>
        <v xml:space="preserve">EDUARDO </v>
      </c>
      <c r="K339" s="12" t="str">
        <f>'[1]V, inciso o) (OP)'!N184</f>
        <v>MORA</v>
      </c>
      <c r="L339" s="12" t="str">
        <f>'[1]V, inciso o) (OP)'!O184</f>
        <v>BLACKALLER</v>
      </c>
      <c r="M339" s="14" t="str">
        <f>'[1]V, inciso o) (OP)'!P184</f>
        <v>Grupo Constructor Innoblack,
S. A. de C. V.</v>
      </c>
      <c r="N339" s="12" t="str">
        <f>'[1]V, inciso o) (OP)'!Q184</f>
        <v>GCI070523CW4</v>
      </c>
      <c r="O339" s="15">
        <f t="shared" si="8"/>
        <v>1484671.02</v>
      </c>
      <c r="P339" s="15">
        <v>1484670.93</v>
      </c>
      <c r="Q339" s="21" t="s">
        <v>782</v>
      </c>
      <c r="R339" s="22">
        <f>O339/4070</f>
        <v>364.78403439803441</v>
      </c>
      <c r="S339" s="12" t="s">
        <v>42</v>
      </c>
      <c r="T339" s="17">
        <v>3191</v>
      </c>
      <c r="U339" s="14" t="s">
        <v>43</v>
      </c>
      <c r="V339" s="12" t="s">
        <v>44</v>
      </c>
      <c r="W339" s="13">
        <f>'[1]V, inciso o) (OP)'!AD184</f>
        <v>42826</v>
      </c>
      <c r="X339" s="13">
        <f>'[1]V, inciso o) (OP)'!AE184</f>
        <v>42885</v>
      </c>
      <c r="Y339" s="12" t="s">
        <v>783</v>
      </c>
      <c r="Z339" s="12" t="s">
        <v>784</v>
      </c>
      <c r="AA339" s="12" t="s">
        <v>81</v>
      </c>
      <c r="AB339" s="8" t="s">
        <v>1922</v>
      </c>
      <c r="AC339" s="14" t="s">
        <v>48</v>
      </c>
      <c r="AD339" s="14"/>
    </row>
    <row r="340" spans="1:30" ht="80.099999999999994" customHeight="1">
      <c r="A340" s="5">
        <v>53</v>
      </c>
      <c r="B340" s="12">
        <v>2017</v>
      </c>
      <c r="C340" s="12" t="s">
        <v>65</v>
      </c>
      <c r="D340" s="14" t="str">
        <f>'[1]V, inciso o) (OP)'!C185</f>
        <v>DOPI-MUN-RM-OC-AD-053-2017</v>
      </c>
      <c r="E340" s="13">
        <f>'[1]V, inciso o) (OP)'!V185</f>
        <v>42794</v>
      </c>
      <c r="F340" s="14" t="str">
        <f>'[1]V, inciso o) (OP)'!AA185</f>
        <v>Construcción de bocas de tormenta para prevención de inundaciones y conexión al colector pluvial Jalisco, ubicado en Tesistán, municipio de Zapopan, Jalisco.</v>
      </c>
      <c r="G340" s="14" t="s">
        <v>66</v>
      </c>
      <c r="H340" s="15">
        <f>'[1]V, inciso o) (OP)'!Y185</f>
        <v>771128.46</v>
      </c>
      <c r="I340" s="14" t="s">
        <v>563</v>
      </c>
      <c r="J340" s="14" t="str">
        <f>'[1]V, inciso o) (OP)'!M185</f>
        <v xml:space="preserve">RODOLFO </v>
      </c>
      <c r="K340" s="12" t="str">
        <f>'[1]V, inciso o) (OP)'!N185</f>
        <v xml:space="preserve">VELAZQUEZ </v>
      </c>
      <c r="L340" s="12" t="str">
        <f>'[1]V, inciso o) (OP)'!O185</f>
        <v>ORDOÑEZ</v>
      </c>
      <c r="M340" s="14" t="str">
        <f>'[1]V, inciso o) (OP)'!P185</f>
        <v>Velázquez Ingeniería Ecológica, S. A. de C. V.</v>
      </c>
      <c r="N340" s="12" t="str">
        <f>'[1]V, inciso o) (OP)'!Q185</f>
        <v>VIE110125RL4</v>
      </c>
      <c r="O340" s="15">
        <f t="shared" si="8"/>
        <v>771128.46</v>
      </c>
      <c r="P340" s="15">
        <v>566356.29</v>
      </c>
      <c r="Q340" s="21" t="s">
        <v>785</v>
      </c>
      <c r="R340" s="22">
        <f>O340/157</f>
        <v>4911.6462420382168</v>
      </c>
      <c r="S340" s="12" t="s">
        <v>42</v>
      </c>
      <c r="T340" s="17">
        <v>62891</v>
      </c>
      <c r="U340" s="14" t="s">
        <v>43</v>
      </c>
      <c r="V340" s="12" t="s">
        <v>44</v>
      </c>
      <c r="W340" s="13">
        <f>'[1]V, inciso o) (OP)'!AD185</f>
        <v>42795</v>
      </c>
      <c r="X340" s="13">
        <f>'[1]V, inciso o) (OP)'!AE185</f>
        <v>42855</v>
      </c>
      <c r="Y340" s="12" t="s">
        <v>336</v>
      </c>
      <c r="Z340" s="12" t="s">
        <v>337</v>
      </c>
      <c r="AA340" s="12" t="s">
        <v>120</v>
      </c>
      <c r="AB340" s="8" t="s">
        <v>1923</v>
      </c>
      <c r="AC340" s="14" t="s">
        <v>48</v>
      </c>
      <c r="AD340" s="14"/>
    </row>
    <row r="341" spans="1:30" ht="80.099999999999994" customHeight="1">
      <c r="A341" s="5">
        <v>54</v>
      </c>
      <c r="B341" s="12">
        <v>2017</v>
      </c>
      <c r="C341" s="12" t="s">
        <v>65</v>
      </c>
      <c r="D341" s="14" t="str">
        <f>'[1]V, inciso o) (OP)'!C186</f>
        <v>DOPI-MUN-RM-OC-AD-054-2017</v>
      </c>
      <c r="E341" s="13">
        <f>'[1]V, inciso o) (OP)'!V186</f>
        <v>42804</v>
      </c>
      <c r="F341" s="14" t="str">
        <f>'[1]V, inciso o) (OP)'!AA186</f>
        <v>Construcción de canal pluvial prefabricado para prevención de inundaciones en la calle J. García Praga, de la calle Jalisco a la calle Ramón Corona, en la localidad de Tesistán, municipio de Zapopan, Jalisco.</v>
      </c>
      <c r="G341" s="14" t="s">
        <v>66</v>
      </c>
      <c r="H341" s="15">
        <f>'[1]V, inciso o) (OP)'!Y186</f>
        <v>518095.34</v>
      </c>
      <c r="I341" s="14" t="s">
        <v>563</v>
      </c>
      <c r="J341" s="14" t="str">
        <f>'[1]V, inciso o) (OP)'!M186</f>
        <v>GUADALUPE ALEJANDRINA</v>
      </c>
      <c r="K341" s="12" t="str">
        <f>'[1]V, inciso o) (OP)'!N186</f>
        <v>MALDONADO</v>
      </c>
      <c r="L341" s="12" t="str">
        <f>'[1]V, inciso o) (OP)'!O186</f>
        <v>LARA</v>
      </c>
      <c r="M341" s="14" t="str">
        <f>'[1]V, inciso o) (OP)'!P186</f>
        <v>L &amp; A Ejecución Construcción y Proyectos Coorporativo JM, S. A. de C. V.</v>
      </c>
      <c r="N341" s="12" t="str">
        <f>'[1]V, inciso o) (OP)'!Q186</f>
        <v>LAE1306263B5</v>
      </c>
      <c r="O341" s="15">
        <f t="shared" si="8"/>
        <v>518095.34</v>
      </c>
      <c r="P341" s="15">
        <v>417072.98</v>
      </c>
      <c r="Q341" s="21" t="s">
        <v>786</v>
      </c>
      <c r="R341" s="22">
        <f>O341/823</f>
        <v>629.52046172539497</v>
      </c>
      <c r="S341" s="12" t="s">
        <v>42</v>
      </c>
      <c r="T341" s="17">
        <v>62891</v>
      </c>
      <c r="U341" s="14" t="s">
        <v>43</v>
      </c>
      <c r="V341" s="12" t="s">
        <v>44</v>
      </c>
      <c r="W341" s="13">
        <f>'[1]V, inciso o) (OP)'!AD186</f>
        <v>42809</v>
      </c>
      <c r="X341" s="13">
        <f>'[1]V, inciso o) (OP)'!AE186</f>
        <v>42855</v>
      </c>
      <c r="Y341" s="12" t="s">
        <v>336</v>
      </c>
      <c r="Z341" s="12" t="s">
        <v>337</v>
      </c>
      <c r="AA341" s="12" t="s">
        <v>120</v>
      </c>
      <c r="AB341" s="8" t="s">
        <v>1924</v>
      </c>
      <c r="AC341" s="14" t="s">
        <v>48</v>
      </c>
      <c r="AD341" s="14"/>
    </row>
    <row r="342" spans="1:30" ht="80.099999999999994" customHeight="1">
      <c r="A342" s="5">
        <v>55</v>
      </c>
      <c r="B342" s="12">
        <v>2017</v>
      </c>
      <c r="C342" s="12" t="s">
        <v>65</v>
      </c>
      <c r="D342" s="14" t="str">
        <f>'[1]V, inciso o) (OP)'!C187</f>
        <v>DOPI-MUN-FORTA-BAN-AD-055-2017</v>
      </c>
      <c r="E342" s="13">
        <f>'[1]V, inciso o) (OP)'!V187</f>
        <v>42818</v>
      </c>
      <c r="F342" s="14" t="str">
        <f>'[1]V, inciso o) (OP)'!AA187</f>
        <v>Peatonalización (banquetas y obras de accesibilidad) del área de influencia de las escuelas: Primaria Idolina Gaona Cosío de V. matrícula 14EPR1441B, Primaria Rafael Ramírez matrícula 14DPR3739Z, primaria Antonio Caso y Patria matrícula 14DPR2420X Y primaria Niños Héroes matrícula 14DPR2162Z, municipio de Zapopan, Jalisco.</v>
      </c>
      <c r="G342" s="14" t="s">
        <v>707</v>
      </c>
      <c r="H342" s="15">
        <f>'[1]V, inciso o) (OP)'!Y187</f>
        <v>1450320.18</v>
      </c>
      <c r="I342" s="14" t="s">
        <v>787</v>
      </c>
      <c r="J342" s="14" t="str">
        <f>'[1]V, inciso o) (OP)'!M187</f>
        <v xml:space="preserve">HÉCTOR HUGO </v>
      </c>
      <c r="K342" s="12" t="str">
        <f>'[1]V, inciso o) (OP)'!N187</f>
        <v xml:space="preserve">GUILLÉN </v>
      </c>
      <c r="L342" s="12" t="str">
        <f>'[1]V, inciso o) (OP)'!O187</f>
        <v>GUERRERO</v>
      </c>
      <c r="M342" s="14" t="str">
        <f>'[1]V, inciso o) (OP)'!P187</f>
        <v>Construdimensión, S.A. de C.V.</v>
      </c>
      <c r="N342" s="12" t="str">
        <f>'[1]V, inciso o) (OP)'!Q187</f>
        <v>CON090306I19</v>
      </c>
      <c r="O342" s="15">
        <f t="shared" si="8"/>
        <v>1450320.18</v>
      </c>
      <c r="P342" s="15">
        <v>1450063.68</v>
      </c>
      <c r="Q342" s="12" t="s">
        <v>788</v>
      </c>
      <c r="R342" s="15">
        <f>O342/6829</f>
        <v>212.37665544003514</v>
      </c>
      <c r="S342" s="12" t="s">
        <v>42</v>
      </c>
      <c r="T342" s="17">
        <v>4228</v>
      </c>
      <c r="U342" s="14" t="s">
        <v>43</v>
      </c>
      <c r="V342" s="12" t="s">
        <v>44</v>
      </c>
      <c r="W342" s="13">
        <f>'[1]V, inciso o) (OP)'!AD187</f>
        <v>42828</v>
      </c>
      <c r="X342" s="13">
        <f>'[1]V, inciso o) (OP)'!AE187</f>
        <v>42886</v>
      </c>
      <c r="Y342" s="12" t="s">
        <v>783</v>
      </c>
      <c r="Z342" s="12" t="s">
        <v>80</v>
      </c>
      <c r="AA342" s="12" t="s">
        <v>81</v>
      </c>
      <c r="AB342" s="14" t="s">
        <v>48</v>
      </c>
      <c r="AC342" s="14" t="s">
        <v>48</v>
      </c>
      <c r="AD342" s="14"/>
    </row>
    <row r="343" spans="1:30" ht="80.099999999999994" customHeight="1">
      <c r="A343" s="5">
        <v>56</v>
      </c>
      <c r="B343" s="12">
        <v>2017</v>
      </c>
      <c r="C343" s="12" t="s">
        <v>65</v>
      </c>
      <c r="D343" s="14" t="str">
        <f>'[1]V, inciso o) (OP)'!C188</f>
        <v>DOPI-MUN-RM-DS-AD-056-2017</v>
      </c>
      <c r="E343" s="13">
        <f>'[1]V, inciso o) (OP)'!V188</f>
        <v>42842</v>
      </c>
      <c r="F343" s="14" t="str">
        <f>'[1]V, inciso o) (OP)'!AA188</f>
        <v>Construcción de línea de alejamiento de aguas residuales en la lateral de la carretera a Saltillo, de la calle Casiano Torres Poniente a canal pluvial, en la colonia Villa de Guadalupe, municipio de Zapopan, Jalisco.</v>
      </c>
      <c r="G343" s="14" t="s">
        <v>66</v>
      </c>
      <c r="H343" s="15">
        <f>'[1]V, inciso o) (OP)'!Y188</f>
        <v>1102435.22</v>
      </c>
      <c r="I343" s="14" t="s">
        <v>563</v>
      </c>
      <c r="J343" s="14" t="str">
        <f>'[1]V, inciso o) (OP)'!M188</f>
        <v>ARTURO</v>
      </c>
      <c r="K343" s="12" t="str">
        <f>'[1]V, inciso o) (OP)'!N188</f>
        <v>RANGEL</v>
      </c>
      <c r="L343" s="12" t="str">
        <f>'[1]V, inciso o) (OP)'!O188</f>
        <v>PAEZ</v>
      </c>
      <c r="M343" s="14" t="str">
        <f>'[1]V, inciso o) (OP)'!P188</f>
        <v>CONSTRUCTORA LASA, S.A. DE C.V.</v>
      </c>
      <c r="N343" s="12" t="str">
        <f>'[1]V, inciso o) (OP)'!Q188</f>
        <v>CLA890925ER5</v>
      </c>
      <c r="O343" s="15">
        <f t="shared" si="8"/>
        <v>1102435.22</v>
      </c>
      <c r="P343" s="15">
        <v>984558.25</v>
      </c>
      <c r="Q343" s="12" t="s">
        <v>89</v>
      </c>
      <c r="R343" s="15">
        <f>O343/120</f>
        <v>9186.9601666666658</v>
      </c>
      <c r="S343" s="12" t="s">
        <v>42</v>
      </c>
      <c r="T343" s="17">
        <v>1368</v>
      </c>
      <c r="U343" s="14" t="s">
        <v>43</v>
      </c>
      <c r="V343" s="12" t="s">
        <v>44</v>
      </c>
      <c r="W343" s="13">
        <f>'[1]V, inciso o) (OP)'!AD188</f>
        <v>42842</v>
      </c>
      <c r="X343" s="13">
        <f>'[1]V, inciso o) (OP)'!AE188</f>
        <v>42901</v>
      </c>
      <c r="Y343" s="12" t="s">
        <v>731</v>
      </c>
      <c r="Z343" s="12" t="s">
        <v>337</v>
      </c>
      <c r="AA343" s="12" t="s">
        <v>120</v>
      </c>
      <c r="AB343" s="8" t="s">
        <v>1925</v>
      </c>
      <c r="AC343" s="14" t="s">
        <v>48</v>
      </c>
      <c r="AD343" s="14"/>
    </row>
    <row r="344" spans="1:30" ht="80.099999999999994" customHeight="1">
      <c r="A344" s="5">
        <v>57</v>
      </c>
      <c r="B344" s="12">
        <v>2017</v>
      </c>
      <c r="C344" s="12" t="s">
        <v>65</v>
      </c>
      <c r="D344" s="14" t="str">
        <f>'[1]V, inciso o) (OP)'!C189</f>
        <v>DOPI-MUN-RM-IU-AD-057-2017</v>
      </c>
      <c r="E344" s="13">
        <f>'[1]V, inciso o) (OP)'!V189</f>
        <v>42846</v>
      </c>
      <c r="F344" s="14" t="str">
        <f>'[1]V, inciso o) (OP)'!AA189</f>
        <v>Primera etapa de la renovación de imagen urbana en las localidades de Santa Ana Tepetitlán y San Juan de Ocotán, municipio de Zapopan, Jalisco.</v>
      </c>
      <c r="G344" s="14" t="s">
        <v>66</v>
      </c>
      <c r="H344" s="15">
        <f>'[1]V, inciso o) (OP)'!Y189</f>
        <v>955444.17</v>
      </c>
      <c r="I344" s="14" t="s">
        <v>563</v>
      </c>
      <c r="J344" s="14" t="str">
        <f>'[1]V, inciso o) (OP)'!M189</f>
        <v xml:space="preserve">ALEJANDRO LUIS </v>
      </c>
      <c r="K344" s="12" t="str">
        <f>'[1]V, inciso o) (OP)'!N189</f>
        <v xml:space="preserve">VAIDOVITS </v>
      </c>
      <c r="L344" s="12" t="str">
        <f>'[1]V, inciso o) (OP)'!O189</f>
        <v xml:space="preserve"> SCHNURER</v>
      </c>
      <c r="M344" s="14" t="str">
        <f>'[1]V, inciso o) (OP)'!P189</f>
        <v>PROMACO DE MEXICO, S.A. DE C.V.</v>
      </c>
      <c r="N344" s="12" t="str">
        <f>'[1]V, inciso o) (OP)'!Q189</f>
        <v>PME930817EV7</v>
      </c>
      <c r="O344" s="15">
        <f t="shared" si="8"/>
        <v>955444.17</v>
      </c>
      <c r="P344" s="15">
        <v>893038.40999999992</v>
      </c>
      <c r="Q344" s="12" t="s">
        <v>789</v>
      </c>
      <c r="R344" s="15">
        <f>O344/12250</f>
        <v>77.995442448979588</v>
      </c>
      <c r="S344" s="12" t="s">
        <v>42</v>
      </c>
      <c r="T344" s="17">
        <v>7016</v>
      </c>
      <c r="U344" s="14" t="s">
        <v>43</v>
      </c>
      <c r="V344" s="12" t="s">
        <v>44</v>
      </c>
      <c r="W344" s="13">
        <f>'[1]V, inciso o) (OP)'!AD189</f>
        <v>42849</v>
      </c>
      <c r="X344" s="13">
        <f>'[1]V, inciso o) (OP)'!AE189</f>
        <v>42896</v>
      </c>
      <c r="Y344" s="12" t="s">
        <v>731</v>
      </c>
      <c r="Z344" s="12" t="s">
        <v>337</v>
      </c>
      <c r="AA344" s="12" t="s">
        <v>120</v>
      </c>
      <c r="AB344" s="8" t="s">
        <v>1926</v>
      </c>
      <c r="AC344" s="14" t="s">
        <v>48</v>
      </c>
      <c r="AD344" s="14"/>
    </row>
    <row r="345" spans="1:30" ht="80.099999999999994" customHeight="1">
      <c r="A345" s="5">
        <v>58</v>
      </c>
      <c r="B345" s="12">
        <v>2017</v>
      </c>
      <c r="C345" s="12" t="s">
        <v>65</v>
      </c>
      <c r="D345" s="14" t="str">
        <f>'[1]V, inciso o) (OP)'!C190</f>
        <v>DOPI-MUN-RM-IE-AD-058-2017</v>
      </c>
      <c r="E345" s="13">
        <f>'[1]V, inciso o) (OP)'!V190</f>
        <v>42853</v>
      </c>
      <c r="F345" s="14" t="str">
        <f>'[1]V, inciso o) (OP)'!AA190</f>
        <v>Suministro e instalación de red de electrificación en media y baja tensión en las calle Ciprés Italiano, Gigante, Olivo, Eucalipto, Monte Sumae, Puesta del Sol y Prol. 1 de Mayo en la colonia El Zapote I; y en las calles Prol. 1 de Mayo y Puesta del Sol de la colonia Hogares de Nuevo México, municipio de Zapopan, Jalisco.</v>
      </c>
      <c r="G345" s="14" t="s">
        <v>66</v>
      </c>
      <c r="H345" s="15">
        <f>'[1]V, inciso o) (OP)'!Y190</f>
        <v>1493490.23</v>
      </c>
      <c r="I345" s="14" t="s">
        <v>790</v>
      </c>
      <c r="J345" s="14" t="str">
        <f>'[1]V, inciso o) (OP)'!M190</f>
        <v xml:space="preserve">HÉCTOR ALEJANDRO </v>
      </c>
      <c r="K345" s="12" t="str">
        <f>'[1]V, inciso o) (OP)'!N190</f>
        <v xml:space="preserve">ORTEGA </v>
      </c>
      <c r="L345" s="12" t="str">
        <f>'[1]V, inciso o) (OP)'!O190</f>
        <v>ROSALES</v>
      </c>
      <c r="M345" s="14" t="str">
        <f>'[1]V, inciso o) (OP)'!P190</f>
        <v>IME SERVICIOS Y SUMINISTROS, S.A. DE C.V.</v>
      </c>
      <c r="N345" s="12" t="str">
        <f>'[1]V, inciso o) (OP)'!Q190</f>
        <v>ISS920330811</v>
      </c>
      <c r="O345" s="15">
        <f t="shared" si="8"/>
        <v>1493490.23</v>
      </c>
      <c r="P345" s="15">
        <f>O345</f>
        <v>1493490.23</v>
      </c>
      <c r="Q345" s="12" t="s">
        <v>791</v>
      </c>
      <c r="R345" s="15">
        <f>O345/2800</f>
        <v>533.38936785714282</v>
      </c>
      <c r="S345" s="12" t="s">
        <v>42</v>
      </c>
      <c r="T345" s="17">
        <v>1743</v>
      </c>
      <c r="U345" s="14" t="s">
        <v>43</v>
      </c>
      <c r="V345" s="12" t="s">
        <v>378</v>
      </c>
      <c r="W345" s="13">
        <f>'[1]V, inciso o) (OP)'!AD190</f>
        <v>42857</v>
      </c>
      <c r="X345" s="13">
        <f>'[1]V, inciso o) (OP)'!AE190</f>
        <v>42916</v>
      </c>
      <c r="Y345" s="12" t="s">
        <v>718</v>
      </c>
      <c r="Z345" s="12" t="s">
        <v>142</v>
      </c>
      <c r="AA345" s="12" t="s">
        <v>134</v>
      </c>
      <c r="AB345" s="14" t="s">
        <v>48</v>
      </c>
      <c r="AC345" s="14" t="s">
        <v>48</v>
      </c>
      <c r="AD345" s="14" t="s">
        <v>1571</v>
      </c>
    </row>
    <row r="346" spans="1:30" ht="80.099999999999994" customHeight="1">
      <c r="A346" s="5">
        <v>59</v>
      </c>
      <c r="B346" s="12">
        <v>2017</v>
      </c>
      <c r="C346" s="12" t="s">
        <v>65</v>
      </c>
      <c r="D346" s="14" t="str">
        <f>'[1]V, inciso o) (OP)'!C191</f>
        <v>DOPI-MUN-FORTA-ID-AD-059-2017</v>
      </c>
      <c r="E346" s="13">
        <f>'[1]V, inciso o) (OP)'!V191</f>
        <v>42846</v>
      </c>
      <c r="F346" s="14" t="str">
        <f>'[1]V, inciso o) (OP)'!AA191</f>
        <v>Construcción de Andadores, Recubrimientos y Acabados en la Unidad Deportiva Paseos del Briseño Municipio de Zapopan, Jalisco.</v>
      </c>
      <c r="G346" s="14" t="s">
        <v>707</v>
      </c>
      <c r="H346" s="15">
        <f>'[1]V, inciso o) (OP)'!Y191</f>
        <v>1477840.24</v>
      </c>
      <c r="I346" s="14" t="s">
        <v>792</v>
      </c>
      <c r="J346" s="14" t="str">
        <f>'[1]V, inciso o) (OP)'!M191</f>
        <v xml:space="preserve">EDUARDO </v>
      </c>
      <c r="K346" s="12" t="str">
        <f>'[1]V, inciso o) (OP)'!N191</f>
        <v>MERCADO</v>
      </c>
      <c r="L346" s="12" t="str">
        <f>'[1]V, inciso o) (OP)'!O191</f>
        <v>VAZQUEZ</v>
      </c>
      <c r="M346" s="14" t="str">
        <f>'[1]V, inciso o) (OP)'!P191</f>
        <v>ANITSUJ, S.A. DE C.V.</v>
      </c>
      <c r="N346" s="12" t="str">
        <f>'[1]V, inciso o) (OP)'!Q191</f>
        <v>ANI1102217W2</v>
      </c>
      <c r="O346" s="15">
        <f t="shared" si="8"/>
        <v>1477840.24</v>
      </c>
      <c r="P346" s="15">
        <v>1477840.12</v>
      </c>
      <c r="Q346" s="12" t="s">
        <v>793</v>
      </c>
      <c r="R346" s="15">
        <f>O346/2492</f>
        <v>593.03380417335472</v>
      </c>
      <c r="S346" s="12" t="s">
        <v>42</v>
      </c>
      <c r="T346" s="17">
        <v>4159</v>
      </c>
      <c r="U346" s="14" t="s">
        <v>43</v>
      </c>
      <c r="V346" s="12" t="s">
        <v>44</v>
      </c>
      <c r="W346" s="13">
        <f>'[1]V, inciso o) (OP)'!AD191</f>
        <v>42849</v>
      </c>
      <c r="X346" s="13">
        <f>'[1]V, inciso o) (OP)'!AE191</f>
        <v>42946</v>
      </c>
      <c r="Y346" s="12" t="s">
        <v>794</v>
      </c>
      <c r="Z346" s="12" t="s">
        <v>743</v>
      </c>
      <c r="AA346" s="12" t="s">
        <v>795</v>
      </c>
      <c r="AB346" s="8" t="s">
        <v>1927</v>
      </c>
      <c r="AC346" s="14" t="s">
        <v>48</v>
      </c>
      <c r="AD346" s="14"/>
    </row>
    <row r="347" spans="1:30" ht="80.099999999999994" customHeight="1">
      <c r="A347" s="5">
        <v>60</v>
      </c>
      <c r="B347" s="12">
        <v>2017</v>
      </c>
      <c r="C347" s="12" t="s">
        <v>65</v>
      </c>
      <c r="D347" s="14" t="str">
        <f>'[1]V, inciso o) (OP)'!C192</f>
        <v>DOPI-MUN-FORTA-SERV-AD-060-2017</v>
      </c>
      <c r="E347" s="13">
        <f>'[1]V, inciso o) (OP)'!V192</f>
        <v>42825</v>
      </c>
      <c r="F347" s="14" t="str">
        <f>'[1]V, inciso o) (OP)'!AA192</f>
        <v>Control de calidad de diferentes obras 2017 del municipio de Zapopan, Jalisco, etapa 2.</v>
      </c>
      <c r="G347" s="14" t="s">
        <v>707</v>
      </c>
      <c r="H347" s="15">
        <f>'[1]V, inciso o) (OP)'!Y192</f>
        <v>996523.74</v>
      </c>
      <c r="I347" s="14" t="s">
        <v>124</v>
      </c>
      <c r="J347" s="14" t="str">
        <f>'[1]V, inciso o) (OP)'!M192</f>
        <v>JOSE ALEJANDRO</v>
      </c>
      <c r="K347" s="12" t="str">
        <f>'[1]V, inciso o) (OP)'!N192</f>
        <v>ALVA</v>
      </c>
      <c r="L347" s="12" t="str">
        <f>'[1]V, inciso o) (OP)'!O192</f>
        <v>DELGADO</v>
      </c>
      <c r="M347" s="14" t="str">
        <f>'[1]V, inciso o) (OP)'!P192</f>
        <v>SERVICIOS DE OBRAS CIVILES SERCO, S.A. DE C.V.</v>
      </c>
      <c r="N347" s="12" t="str">
        <f>'[1]V, inciso o) (OP)'!Q192</f>
        <v>SOC150806E69</v>
      </c>
      <c r="O347" s="15">
        <f t="shared" si="8"/>
        <v>996523.74</v>
      </c>
      <c r="P347" s="15">
        <v>996480.05</v>
      </c>
      <c r="Q347" s="12" t="s">
        <v>124</v>
      </c>
      <c r="R347" s="15" t="s">
        <v>124</v>
      </c>
      <c r="S347" s="12" t="s">
        <v>125</v>
      </c>
      <c r="T347" s="17" t="s">
        <v>125</v>
      </c>
      <c r="U347" s="14" t="s">
        <v>43</v>
      </c>
      <c r="V347" s="12" t="s">
        <v>378</v>
      </c>
      <c r="W347" s="13">
        <f>'[1]V, inciso o) (OP)'!AD192</f>
        <v>42828</v>
      </c>
      <c r="X347" s="13">
        <f>'[1]V, inciso o) (OP)'!AE192</f>
        <v>43008</v>
      </c>
      <c r="Y347" s="12" t="s">
        <v>408</v>
      </c>
      <c r="Z347" s="12" t="s">
        <v>409</v>
      </c>
      <c r="AA347" s="12" t="s">
        <v>107</v>
      </c>
      <c r="AB347" s="14" t="s">
        <v>48</v>
      </c>
      <c r="AC347" s="14" t="s">
        <v>48</v>
      </c>
      <c r="AD347" s="14"/>
    </row>
    <row r="348" spans="1:30" ht="80.099999999999994" customHeight="1">
      <c r="A348" s="5">
        <v>61</v>
      </c>
      <c r="B348" s="12">
        <v>2017</v>
      </c>
      <c r="C348" s="12" t="s">
        <v>65</v>
      </c>
      <c r="D348" s="14" t="str">
        <f>'[1]V, inciso o) (OP)'!C193</f>
        <v>DOPI-MUN-RM-PAV-AD-061-2017</v>
      </c>
      <c r="E348" s="13">
        <f>'[1]V, inciso o) (OP)'!V193</f>
        <v>42874</v>
      </c>
      <c r="F348" s="14" t="str">
        <f>'[1]V, inciso o) (OP)'!AA193</f>
        <v>Construcción de pavimento de concreto hidráulico, incluye: agua potable, alcantarillado, guarniciones, banquetas, accesibilidad y servicios complementarios en la Calle Loma del Sol, de Calle Loma Real a Calle Loma del Valle, Colonia Loma Chica Municipio de Zapopan, Jalisco.</v>
      </c>
      <c r="G348" s="14" t="s">
        <v>66</v>
      </c>
      <c r="H348" s="15">
        <f>'[1]V, inciso o) (OP)'!Y193</f>
        <v>1510227.11</v>
      </c>
      <c r="I348" s="14" t="s">
        <v>796</v>
      </c>
      <c r="J348" s="14" t="str">
        <f>'[1]V, inciso o) (OP)'!M193</f>
        <v>HECTOR EUGENIO</v>
      </c>
      <c r="K348" s="12" t="str">
        <f>'[1]V, inciso o) (OP)'!N193</f>
        <v>DE LA TORRE</v>
      </c>
      <c r="L348" s="12" t="str">
        <f>'[1]V, inciso o) (OP)'!O193</f>
        <v>MENCHACA</v>
      </c>
      <c r="M348" s="14" t="str">
        <f>'[1]V, inciso o) (OP)'!P193</f>
        <v>INGENIEROS DE LA TORRE, S.A. DE C.V.</v>
      </c>
      <c r="N348" s="12" t="str">
        <f>'[1]V, inciso o) (OP)'!Q193</f>
        <v>ITO951005HY5</v>
      </c>
      <c r="O348" s="15">
        <f t="shared" si="8"/>
        <v>1510227.11</v>
      </c>
      <c r="P348" s="15">
        <v>1207506.6599999999</v>
      </c>
      <c r="Q348" s="12" t="s">
        <v>610</v>
      </c>
      <c r="R348" s="15">
        <f>O348/1035</f>
        <v>1459.1566280193238</v>
      </c>
      <c r="S348" s="12" t="s">
        <v>42</v>
      </c>
      <c r="T348" s="17">
        <v>1166</v>
      </c>
      <c r="U348" s="14" t="s">
        <v>43</v>
      </c>
      <c r="V348" s="12" t="s">
        <v>378</v>
      </c>
      <c r="W348" s="13">
        <f>'[1]V, inciso o) (OP)'!AD193</f>
        <v>42877</v>
      </c>
      <c r="X348" s="13">
        <f>'[1]V, inciso o) (OP)'!AE193</f>
        <v>42872</v>
      </c>
      <c r="Y348" s="12" t="s">
        <v>336</v>
      </c>
      <c r="Z348" s="12" t="s">
        <v>337</v>
      </c>
      <c r="AA348" s="12" t="s">
        <v>120</v>
      </c>
      <c r="AB348" s="8" t="s">
        <v>1928</v>
      </c>
      <c r="AC348" s="14" t="s">
        <v>48</v>
      </c>
      <c r="AD348" s="14"/>
    </row>
    <row r="349" spans="1:30" ht="80.099999999999994" customHeight="1">
      <c r="A349" s="5">
        <v>62</v>
      </c>
      <c r="B349" s="12">
        <v>2017</v>
      </c>
      <c r="C349" s="12" t="s">
        <v>65</v>
      </c>
      <c r="D349" s="14" t="str">
        <f>'[1]V, inciso o) (OP)'!C194</f>
        <v>DOPI-MUN-RM-PAV-AD-062-2017</v>
      </c>
      <c r="E349" s="13">
        <f>'[1]V, inciso o) (OP)'!V194</f>
        <v>42874</v>
      </c>
      <c r="F349" s="14" t="str">
        <f>'[1]V, inciso o) (OP)'!AA194</f>
        <v>Construcción de pavimento de concreto hidráulico, incluye: agua potable, alcantarillado, guarniciones, banquetas, accesibilidad y servicios complementarios en la Calle María Perfecta Llamas de Calle Lucio Martínez a Calle Febronio Lara, Colonia Villa de Guadalupe, Municipio de Zapopan, Jalisco.</v>
      </c>
      <c r="G349" s="14" t="s">
        <v>66</v>
      </c>
      <c r="H349" s="15">
        <f>'[1]V, inciso o) (OP)'!Y194</f>
        <v>1496365.17</v>
      </c>
      <c r="I349" s="14" t="s">
        <v>797</v>
      </c>
      <c r="J349" s="14" t="str">
        <f>'[1]V, inciso o) (OP)'!M194</f>
        <v>ALBERTO</v>
      </c>
      <c r="K349" s="12" t="str">
        <f>'[1]V, inciso o) (OP)'!N194</f>
        <v>BAÑUELOS</v>
      </c>
      <c r="L349" s="12" t="str">
        <f>'[1]V, inciso o) (OP)'!O194</f>
        <v>GARCIA</v>
      </c>
      <c r="M349" s="14" t="str">
        <f>'[1]V, inciso o) (OP)'!P194</f>
        <v>GRIAL CONSTRUCCIONES, S.A. DE C.V.</v>
      </c>
      <c r="N349" s="12" t="str">
        <f>'[1]V, inciso o) (OP)'!Q194</f>
        <v>GCO100226SU6</v>
      </c>
      <c r="O349" s="15">
        <f t="shared" si="8"/>
        <v>1496365.17</v>
      </c>
      <c r="P349" s="15">
        <v>1496364.17</v>
      </c>
      <c r="Q349" s="12" t="s">
        <v>798</v>
      </c>
      <c r="R349" s="15">
        <f>O349/1029</f>
        <v>1454.1935568513118</v>
      </c>
      <c r="S349" s="12" t="s">
        <v>42</v>
      </c>
      <c r="T349" s="17">
        <v>1543</v>
      </c>
      <c r="U349" s="14" t="s">
        <v>43</v>
      </c>
      <c r="V349" s="12" t="s">
        <v>44</v>
      </c>
      <c r="W349" s="13">
        <f>'[1]V, inciso o) (OP)'!AD194</f>
        <v>42877</v>
      </c>
      <c r="X349" s="13">
        <f>'[1]V, inciso o) (OP)'!AE194</f>
        <v>42993</v>
      </c>
      <c r="Y349" s="12" t="s">
        <v>439</v>
      </c>
      <c r="Z349" s="12" t="s">
        <v>186</v>
      </c>
      <c r="AA349" s="12" t="s">
        <v>92</v>
      </c>
      <c r="AB349" s="8" t="s">
        <v>1929</v>
      </c>
      <c r="AC349" s="14" t="s">
        <v>48</v>
      </c>
      <c r="AD349" s="14"/>
    </row>
    <row r="350" spans="1:30" ht="80.099999999999994" customHeight="1">
      <c r="A350" s="5">
        <v>63</v>
      </c>
      <c r="B350" s="12">
        <v>2017</v>
      </c>
      <c r="C350" s="14" t="s">
        <v>31</v>
      </c>
      <c r="D350" s="14" t="str">
        <f>'[1]V, inciso p) (OP)'!D162</f>
        <v>DOPI-FED-FORTALECE-PAV-LP-063-2017</v>
      </c>
      <c r="E350" s="13">
        <f>'[1]V, inciso p) (OP)'!AD162</f>
        <v>42929</v>
      </c>
      <c r="F350" s="14" t="str">
        <f>'[1]V, inciso p) (OP)'!AL162</f>
        <v>Construcción de la calle Boulevard del Rodeo con concreto hidráulico tramo 1, en las colonias Laureles y Rinconada de la Azalea, en el municipio de Zapopan, Jalisco.</v>
      </c>
      <c r="G350" s="14" t="s">
        <v>416</v>
      </c>
      <c r="H350" s="15">
        <f>'[1]V, inciso p) (OP)'!AJ162</f>
        <v>9130493.5999999996</v>
      </c>
      <c r="I350" s="14" t="str">
        <f>'[1]V, inciso p) (OP)'!AS162</f>
        <v>Colonias Laureles y Rinconada de la Azalea</v>
      </c>
      <c r="J350" s="14" t="str">
        <f>'[1]V, inciso p) (OP)'!T162</f>
        <v>ORNELLA CAROLINA</v>
      </c>
      <c r="K350" s="14" t="str">
        <f>'[1]V, inciso p) (OP)'!U162</f>
        <v>LEGASPI</v>
      </c>
      <c r="L350" s="14" t="str">
        <f>'[1]V, inciso p) (OP)'!V162</f>
        <v>MUÑOZ</v>
      </c>
      <c r="M350" s="14" t="str">
        <f>'[1]V, inciso p) (OP)'!W162</f>
        <v>TRIPOLI EMULSIONES, S.A. DE C.V.</v>
      </c>
      <c r="N350" s="14" t="str">
        <f>'[1]V, inciso p) (OP)'!X162</f>
        <v>TEM141021N31</v>
      </c>
      <c r="O350" s="15">
        <f t="shared" si="8"/>
        <v>9130493.5999999996</v>
      </c>
      <c r="P350" s="15">
        <v>9646602.25</v>
      </c>
      <c r="Q350" s="21" t="s">
        <v>799</v>
      </c>
      <c r="R350" s="22">
        <f>O350/5110</f>
        <v>1786.7893542074364</v>
      </c>
      <c r="S350" s="12" t="s">
        <v>42</v>
      </c>
      <c r="T350" s="17">
        <v>9874</v>
      </c>
      <c r="U350" s="14" t="s">
        <v>43</v>
      </c>
      <c r="V350" s="12" t="s">
        <v>44</v>
      </c>
      <c r="W350" s="13">
        <v>42929</v>
      </c>
      <c r="X350" s="13">
        <v>43078</v>
      </c>
      <c r="Y350" s="12" t="s">
        <v>408</v>
      </c>
      <c r="Z350" s="12" t="s">
        <v>728</v>
      </c>
      <c r="AA350" s="12" t="s">
        <v>316</v>
      </c>
      <c r="AB350" s="14" t="s">
        <v>1371</v>
      </c>
      <c r="AC350" s="14" t="s">
        <v>125</v>
      </c>
      <c r="AD350" s="12"/>
    </row>
    <row r="351" spans="1:30" ht="80.099999999999994" customHeight="1">
      <c r="A351" s="5">
        <v>64</v>
      </c>
      <c r="B351" s="12">
        <v>2017</v>
      </c>
      <c r="C351" s="14" t="s">
        <v>31</v>
      </c>
      <c r="D351" s="14" t="str">
        <f>'[1]V, inciso p) (OP)'!D163</f>
        <v>DOPI-FED-FORTALECE-PAV-LP-064-2017</v>
      </c>
      <c r="E351" s="13">
        <f>'[1]V, inciso p) (OP)'!AD163</f>
        <v>42929</v>
      </c>
      <c r="F351" s="14" t="str">
        <f>'[1]V, inciso p) (OP)'!AL163</f>
        <v>Construcción de la calle Boulevard del Rodeo con concreto hidráulico tramo 2, en las colonias Laureles, El Vigía, Rinconada de la Azalea, en el municipio de Zapopan, Jalisco.</v>
      </c>
      <c r="G351" s="14" t="s">
        <v>416</v>
      </c>
      <c r="H351" s="15">
        <f>'[1]V, inciso p) (OP)'!AJ163</f>
        <v>9223668.6799999997</v>
      </c>
      <c r="I351" s="14" t="str">
        <f>'[1]V, inciso p) (OP)'!AS163</f>
        <v>Colonias Laureles, El Vigía, Rinconada de la Azalea</v>
      </c>
      <c r="J351" s="14" t="str">
        <f>'[1]V, inciso p) (OP)'!T163</f>
        <v>ARTURO</v>
      </c>
      <c r="K351" s="14" t="str">
        <f>'[1]V, inciso p) (OP)'!U163</f>
        <v>SARMIENTO</v>
      </c>
      <c r="L351" s="14" t="str">
        <f>'[1]V, inciso p) (OP)'!V163</f>
        <v>SANCHEZ</v>
      </c>
      <c r="M351" s="14" t="str">
        <f>'[1]V, inciso p) (OP)'!W163</f>
        <v>CONSTRUBRAVO, S.A. DE C.V.</v>
      </c>
      <c r="N351" s="14" t="str">
        <f>'[1]V, inciso p) (OP)'!X163</f>
        <v>CON020208696</v>
      </c>
      <c r="O351" s="15">
        <f t="shared" si="8"/>
        <v>9223668.6799999997</v>
      </c>
      <c r="P351" s="15">
        <v>9551993.8900000006</v>
      </c>
      <c r="Q351" s="21" t="s">
        <v>800</v>
      </c>
      <c r="R351" s="22">
        <f>O351/1780</f>
        <v>5181.8363370786519</v>
      </c>
      <c r="S351" s="12" t="s">
        <v>42</v>
      </c>
      <c r="T351" s="17">
        <v>9874</v>
      </c>
      <c r="U351" s="14" t="s">
        <v>43</v>
      </c>
      <c r="V351" s="12" t="s">
        <v>44</v>
      </c>
      <c r="W351" s="13">
        <v>42929</v>
      </c>
      <c r="X351" s="13">
        <v>43078</v>
      </c>
      <c r="Y351" s="12" t="s">
        <v>408</v>
      </c>
      <c r="Z351" s="12" t="s">
        <v>728</v>
      </c>
      <c r="AA351" s="12" t="s">
        <v>316</v>
      </c>
      <c r="AB351" s="14" t="s">
        <v>1372</v>
      </c>
      <c r="AC351" s="14" t="s">
        <v>125</v>
      </c>
      <c r="AD351" s="12"/>
    </row>
    <row r="352" spans="1:30" ht="80.099999999999994" customHeight="1">
      <c r="A352" s="5">
        <v>65</v>
      </c>
      <c r="B352" s="12">
        <v>2017</v>
      </c>
      <c r="C352" s="14" t="s">
        <v>31</v>
      </c>
      <c r="D352" s="14" t="str">
        <f>'[1]V, inciso p) (OP)'!D164</f>
        <v>DOPI-FED-FORTALECE-PAV-LP-065-2017</v>
      </c>
      <c r="E352" s="13">
        <f>'[1]V, inciso p) (OP)'!AD164</f>
        <v>42929</v>
      </c>
      <c r="F352" s="14" t="str">
        <f>'[1]V, inciso p) (OP)'!AL164</f>
        <v>Construcción de la calle Francisco Villa con concreto hidráulico de calle Abasolo a calle Emiliano Zapata, en la Zona de Santa Ana Tepetitlán (Segunda Etapa), en el municipio de Zapopan, Jalisco.</v>
      </c>
      <c r="G352" s="14" t="s">
        <v>416</v>
      </c>
      <c r="H352" s="15">
        <f>'[1]V, inciso p) (OP)'!AJ164</f>
        <v>4467540.6900000004</v>
      </c>
      <c r="I352" s="14" t="str">
        <f>'[1]V, inciso p) (OP)'!AS164</f>
        <v>Santa Ana Tepetitlán</v>
      </c>
      <c r="J352" s="14" t="str">
        <f>'[1]V, inciso p) (OP)'!T164</f>
        <v>J. GERARDO</v>
      </c>
      <c r="K352" s="14" t="str">
        <f>'[1]V, inciso p) (OP)'!U164</f>
        <v>NICANOR</v>
      </c>
      <c r="L352" s="14" t="str">
        <f>'[1]V, inciso p) (OP)'!V164</f>
        <v>MEJIA MARISCAL</v>
      </c>
      <c r="M352" s="14" t="str">
        <f>'[1]V, inciso p) (OP)'!W164</f>
        <v>INECO CONSTRUYE, S.A. DE C.V.</v>
      </c>
      <c r="N352" s="14" t="str">
        <f>'[1]V, inciso p) (OP)'!X164</f>
        <v>ICO980722M04</v>
      </c>
      <c r="O352" s="15">
        <f t="shared" si="8"/>
        <v>4467540.6900000004</v>
      </c>
      <c r="P352" s="15">
        <f>O352</f>
        <v>4467540.6900000004</v>
      </c>
      <c r="Q352" s="21" t="s">
        <v>801</v>
      </c>
      <c r="R352" s="22">
        <f>O352/2124</f>
        <v>2103.3619067796612</v>
      </c>
      <c r="S352" s="12" t="s">
        <v>42</v>
      </c>
      <c r="T352" s="17">
        <v>3946</v>
      </c>
      <c r="U352" s="14" t="s">
        <v>43</v>
      </c>
      <c r="V352" s="12" t="s">
        <v>378</v>
      </c>
      <c r="W352" s="13">
        <v>42929</v>
      </c>
      <c r="X352" s="13">
        <v>43048</v>
      </c>
      <c r="Y352" s="12" t="s">
        <v>735</v>
      </c>
      <c r="Z352" s="12" t="s">
        <v>236</v>
      </c>
      <c r="AA352" s="12" t="s">
        <v>147</v>
      </c>
      <c r="AB352" s="14" t="s">
        <v>1373</v>
      </c>
      <c r="AC352" s="14" t="s">
        <v>48</v>
      </c>
      <c r="AD352" s="14" t="s">
        <v>1571</v>
      </c>
    </row>
    <row r="353" spans="1:30" ht="80.099999999999994" customHeight="1">
      <c r="A353" s="5">
        <v>66</v>
      </c>
      <c r="B353" s="12">
        <v>2017</v>
      </c>
      <c r="C353" s="14" t="s">
        <v>31</v>
      </c>
      <c r="D353" s="14" t="str">
        <f>'[1]V, inciso p) (OP)'!D165</f>
        <v>DOPI-FED-FORTALECE-PAV-LP-066-2017</v>
      </c>
      <c r="E353" s="13">
        <f>'[1]V, inciso p) (OP)'!AD165</f>
        <v>42929</v>
      </c>
      <c r="F353" s="14" t="str">
        <f>'[1]V, inciso p) (OP)'!AL165</f>
        <v>Construcción de la calle Plata con concreto hidráulico de calle Estaño a Av. Juan Pablo II, en la Zona de San José del Bajío, en el municipio de Zapopan, Jalisco.</v>
      </c>
      <c r="G353" s="14" t="s">
        <v>416</v>
      </c>
      <c r="H353" s="15">
        <f>'[1]V, inciso p) (OP)'!AJ165</f>
        <v>7678994.9500000002</v>
      </c>
      <c r="I353" s="14" t="str">
        <f>'[1]V, inciso p) (OP)'!AS165</f>
        <v>San José del Bajío</v>
      </c>
      <c r="J353" s="14" t="str">
        <f>'[1]V, inciso p) (OP)'!T165</f>
        <v>J. GERARDO</v>
      </c>
      <c r="K353" s="14" t="str">
        <f>'[1]V, inciso p) (OP)'!U165</f>
        <v>NICANOR</v>
      </c>
      <c r="L353" s="14" t="str">
        <f>'[1]V, inciso p) (OP)'!V165</f>
        <v>MEJIA MARISCAL</v>
      </c>
      <c r="M353" s="14" t="str">
        <f>'[1]V, inciso p) (OP)'!W165</f>
        <v>INECO CONSTRUYE, S.A. DE C.V.</v>
      </c>
      <c r="N353" s="14" t="str">
        <f>'[1]V, inciso p) (OP)'!X165</f>
        <v>ICO980722M04</v>
      </c>
      <c r="O353" s="15">
        <f t="shared" si="8"/>
        <v>7678994.9500000002</v>
      </c>
      <c r="P353" s="15">
        <v>7634452.9400000004</v>
      </c>
      <c r="Q353" s="21" t="s">
        <v>802</v>
      </c>
      <c r="R353" s="22">
        <f>O353/3690</f>
        <v>2081.0284417344174</v>
      </c>
      <c r="S353" s="12" t="s">
        <v>42</v>
      </c>
      <c r="T353" s="17">
        <v>4431</v>
      </c>
      <c r="U353" s="14" t="s">
        <v>43</v>
      </c>
      <c r="V353" s="12" t="s">
        <v>378</v>
      </c>
      <c r="W353" s="13">
        <v>42929</v>
      </c>
      <c r="X353" s="13">
        <v>43078</v>
      </c>
      <c r="Y353" s="12" t="s">
        <v>408</v>
      </c>
      <c r="Z353" s="12" t="s">
        <v>728</v>
      </c>
      <c r="AA353" s="12" t="s">
        <v>316</v>
      </c>
      <c r="AB353" s="14" t="s">
        <v>1374</v>
      </c>
      <c r="AC353" s="14" t="s">
        <v>48</v>
      </c>
      <c r="AD353" s="14"/>
    </row>
    <row r="354" spans="1:30" ht="80.099999999999994" customHeight="1">
      <c r="A354" s="5">
        <v>67</v>
      </c>
      <c r="B354" s="12">
        <v>2017</v>
      </c>
      <c r="C354" s="12" t="s">
        <v>65</v>
      </c>
      <c r="D354" s="14" t="str">
        <f>'[1]V, inciso o) (OP)'!C195</f>
        <v>DOPI-MUN-FORTA-EP-AD-067-2017</v>
      </c>
      <c r="E354" s="13">
        <f>'[1]V, inciso o) (OP)'!V195</f>
        <v>42879</v>
      </c>
      <c r="F354" s="14" t="str">
        <f>'[1]V, inciso o) (OP)'!AA195</f>
        <v>Instalación de reja de acero, reubicación de mobiliario existente y trabajos de adecuación en el estanque de retención de aguas pluviales en Santa María del Pueblito, municipio de Zapopan, Jalisco.</v>
      </c>
      <c r="G354" s="14" t="s">
        <v>111</v>
      </c>
      <c r="H354" s="15">
        <f>'[1]V, inciso o) (OP)'!Y195</f>
        <v>1325750.33</v>
      </c>
      <c r="I354" s="14" t="s">
        <v>803</v>
      </c>
      <c r="J354" s="14" t="str">
        <f>'[1]V, inciso o) (OP)'!M195</f>
        <v>HECTOR ANDRES</v>
      </c>
      <c r="K354" s="12" t="str">
        <f>'[1]V, inciso o) (OP)'!N195</f>
        <v>VALADES</v>
      </c>
      <c r="L354" s="12" t="str">
        <f>'[1]V, inciso o) (OP)'!O195</f>
        <v>SANCHEZ</v>
      </c>
      <c r="M354" s="14" t="str">
        <f>'[1]V, inciso o) (OP)'!P195</f>
        <v>CONSTRUMOVA, S.A. P.I. DE C.V.</v>
      </c>
      <c r="N354" s="12" t="str">
        <f>'[1]V, inciso o) (OP)'!Q195</f>
        <v>CON130531FB8</v>
      </c>
      <c r="O354" s="15">
        <f t="shared" si="8"/>
        <v>1325750.33</v>
      </c>
      <c r="P354" s="15">
        <v>1325708.3199999998</v>
      </c>
      <c r="Q354" s="12" t="s">
        <v>804</v>
      </c>
      <c r="R354" s="15">
        <f>O354/500</f>
        <v>2651.5006600000002</v>
      </c>
      <c r="S354" s="12" t="s">
        <v>42</v>
      </c>
      <c r="T354" s="17">
        <v>1332272</v>
      </c>
      <c r="U354" s="14" t="s">
        <v>43</v>
      </c>
      <c r="V354" s="12" t="s">
        <v>44</v>
      </c>
      <c r="W354" s="13">
        <f>'[1]V, inciso o) (OP)'!AD195</f>
        <v>42880</v>
      </c>
      <c r="X354" s="13">
        <f>'[1]V, inciso o) (OP)'!AE195</f>
        <v>42916</v>
      </c>
      <c r="Y354" s="12" t="s">
        <v>470</v>
      </c>
      <c r="Z354" s="12" t="s">
        <v>315</v>
      </c>
      <c r="AA354" s="12" t="s">
        <v>134</v>
      </c>
      <c r="AB354" s="14" t="s">
        <v>48</v>
      </c>
      <c r="AC354" s="14" t="s">
        <v>48</v>
      </c>
      <c r="AD354" s="14"/>
    </row>
    <row r="355" spans="1:30" ht="80.099999999999994" customHeight="1">
      <c r="A355" s="5">
        <v>68</v>
      </c>
      <c r="B355" s="12">
        <v>2017</v>
      </c>
      <c r="C355" s="12" t="s">
        <v>65</v>
      </c>
      <c r="D355" s="14" t="str">
        <f>'[1]V, inciso o) (OP)'!C196</f>
        <v>DOPI-MUN-FORTA-ID-AD-068-2017</v>
      </c>
      <c r="E355" s="13">
        <f>'[1]V, inciso o) (OP)'!V196</f>
        <v>42867</v>
      </c>
      <c r="F355" s="14" t="str">
        <f>'[1]V, inciso o) (OP)'!AA196</f>
        <v>Rehabilitación de infraestructura de servicios en el Centro Acuático Zapopan, Unidad Deportiva Francisco Villa y en la Unidad Deportiva Base Aérea, municipio de Zapopan, Jalisco.</v>
      </c>
      <c r="G355" s="14" t="s">
        <v>111</v>
      </c>
      <c r="H355" s="15">
        <f>'[1]V, inciso o) (OP)'!Y196</f>
        <v>1491328.97</v>
      </c>
      <c r="I355" s="14" t="s">
        <v>805</v>
      </c>
      <c r="J355" s="14" t="str">
        <f>'[1]V, inciso o) (OP)'!M196</f>
        <v>OSCAR LUIS</v>
      </c>
      <c r="K355" s="12" t="str">
        <f>'[1]V, inciso o) (OP)'!N196</f>
        <v>CHAVEZ</v>
      </c>
      <c r="L355" s="12" t="str">
        <f>'[1]V, inciso o) (OP)'!O196</f>
        <v>GONZALEZ</v>
      </c>
      <c r="M355" s="14" t="str">
        <f>'[1]V, inciso o) (OP)'!P196</f>
        <v>EURO TRADE, S.A. DE C.V.</v>
      </c>
      <c r="N355" s="12" t="str">
        <f>'[1]V, inciso o) (OP)'!Q196</f>
        <v>ETR070417NS8</v>
      </c>
      <c r="O355" s="15">
        <f t="shared" ref="O355:O418" si="9">H355</f>
        <v>1491328.97</v>
      </c>
      <c r="P355" s="15">
        <v>1372843.01</v>
      </c>
      <c r="Q355" s="12" t="s">
        <v>806</v>
      </c>
      <c r="R355" s="15">
        <f>O355/6</f>
        <v>248554.82833333334</v>
      </c>
      <c r="S355" s="12" t="s">
        <v>42</v>
      </c>
      <c r="T355" s="17">
        <v>1432</v>
      </c>
      <c r="U355" s="14" t="s">
        <v>43</v>
      </c>
      <c r="V355" s="12" t="s">
        <v>44</v>
      </c>
      <c r="W355" s="13">
        <f>'[1]V, inciso o) (OP)'!AD196</f>
        <v>42870</v>
      </c>
      <c r="X355" s="13">
        <f>'[1]V, inciso o) (OP)'!AE196</f>
        <v>42940</v>
      </c>
      <c r="Y355" s="12" t="s">
        <v>454</v>
      </c>
      <c r="Z355" s="12" t="s">
        <v>455</v>
      </c>
      <c r="AA355" s="12" t="s">
        <v>456</v>
      </c>
      <c r="AB355" s="8" t="s">
        <v>1930</v>
      </c>
      <c r="AC355" s="14" t="s">
        <v>48</v>
      </c>
      <c r="AD355" s="14"/>
    </row>
    <row r="356" spans="1:30" ht="80.099999999999994" customHeight="1">
      <c r="A356" s="5">
        <v>69</v>
      </c>
      <c r="B356" s="12">
        <v>2017</v>
      </c>
      <c r="C356" s="12" t="s">
        <v>65</v>
      </c>
      <c r="D356" s="14" t="str">
        <f>'[1]V, inciso o) (OP)'!C197</f>
        <v>DOPI-MUN-FORTA-CONT-AD-069-2017</v>
      </c>
      <c r="E356" s="13">
        <f>'[1]V, inciso o) (OP)'!V197</f>
        <v>42881</v>
      </c>
      <c r="F356" s="14" t="str">
        <f>'[1]V, inciso o) (OP)'!AA197</f>
        <v>Obras de prevención de inundaciones en la calle Privada Guayabitos, colonia Lomas de Tabachines, municipio de Zapopan, Jalisco.</v>
      </c>
      <c r="G356" s="14" t="s">
        <v>111</v>
      </c>
      <c r="H356" s="15">
        <f>'[1]V, inciso o) (OP)'!Y197</f>
        <v>622364.78</v>
      </c>
      <c r="I356" s="14" t="s">
        <v>807</v>
      </c>
      <c r="J356" s="14" t="str">
        <f>'[1]V, inciso o) (OP)'!M197</f>
        <v>JOSE</v>
      </c>
      <c r="K356" s="12" t="str">
        <f>'[1]V, inciso o) (OP)'!N197</f>
        <v xml:space="preserve">GUILLEN </v>
      </c>
      <c r="L356" s="12" t="str">
        <f>'[1]V, inciso o) (OP)'!O197</f>
        <v xml:space="preserve">DIAZ  </v>
      </c>
      <c r="M356" s="14" t="str">
        <f>'[1]V, inciso o) (OP)'!P197</f>
        <v>SERVICIOS PROFESIONALES PARA LA CONSTRUCCIÓN DE OCCIDENTE, S.A. DE C.V.</v>
      </c>
      <c r="N356" s="12" t="str">
        <f>'[1]V, inciso o) (OP)'!Q197</f>
        <v>SPC050127BR0</v>
      </c>
      <c r="O356" s="15">
        <f t="shared" si="9"/>
        <v>622364.78</v>
      </c>
      <c r="P356" s="15">
        <v>622364.78</v>
      </c>
      <c r="Q356" s="12" t="s">
        <v>808</v>
      </c>
      <c r="R356" s="15">
        <f>O356/960</f>
        <v>648.2966458333334</v>
      </c>
      <c r="S356" s="12" t="s">
        <v>42</v>
      </c>
      <c r="T356" s="17">
        <v>1594</v>
      </c>
      <c r="U356" s="14" t="s">
        <v>43</v>
      </c>
      <c r="V356" s="12" t="s">
        <v>44</v>
      </c>
      <c r="W356" s="13">
        <f>'[1]V, inciso o) (OP)'!AD197</f>
        <v>42884</v>
      </c>
      <c r="X356" s="13">
        <f>'[1]V, inciso o) (OP)'!AE197</f>
        <v>42916</v>
      </c>
      <c r="Y356" s="12" t="s">
        <v>809</v>
      </c>
      <c r="Z356" s="12" t="s">
        <v>810</v>
      </c>
      <c r="AA356" s="12" t="s">
        <v>130</v>
      </c>
      <c r="AB356" s="8" t="s">
        <v>1931</v>
      </c>
      <c r="AC356" s="14" t="s">
        <v>48</v>
      </c>
      <c r="AD356" s="14"/>
    </row>
    <row r="357" spans="1:30" ht="80.099999999999994" customHeight="1">
      <c r="A357" s="5">
        <v>70</v>
      </c>
      <c r="B357" s="12">
        <v>2017</v>
      </c>
      <c r="C357" s="12" t="s">
        <v>65</v>
      </c>
      <c r="D357" s="14" t="str">
        <f>'[1]V, inciso o) (OP)'!C198</f>
        <v>DOPI-MUN-FORTA-CAL-AD-070-2017</v>
      </c>
      <c r="E357" s="13">
        <f>'[1]V, inciso o) (OP)'!V198</f>
        <v>42845</v>
      </c>
      <c r="F357" s="14" t="str">
        <f>'[1]V, inciso o) (OP)'!AA198</f>
        <v>Control de calidad de diferentes obras 2017 del municipio de Zapopan, Jalisco, etapa 3.</v>
      </c>
      <c r="G357" s="14" t="s">
        <v>111</v>
      </c>
      <c r="H357" s="15">
        <f>'[1]V, inciso o) (OP)'!Y198</f>
        <v>754065.98</v>
      </c>
      <c r="I357" s="14" t="s">
        <v>1349</v>
      </c>
      <c r="J357" s="14" t="str">
        <f>'[1]V, inciso o) (OP)'!M198</f>
        <v>JOEL</v>
      </c>
      <c r="K357" s="12" t="str">
        <f>'[1]V, inciso o) (OP)'!N198</f>
        <v>ZULOAGA</v>
      </c>
      <c r="L357" s="12" t="str">
        <f>'[1]V, inciso o) (OP)'!O198</f>
        <v>ACEVES</v>
      </c>
      <c r="M357" s="14" t="str">
        <f>'[1]V, inciso o) (OP)'!P198</f>
        <v>TASUM SOLUCIONES EN CONSTRUCCION, S.A. DE C.V.</v>
      </c>
      <c r="N357" s="12" t="str">
        <f>'[1]V, inciso o) (OP)'!Q198</f>
        <v>TSC100210E48</v>
      </c>
      <c r="O357" s="15">
        <f t="shared" si="9"/>
        <v>754065.98</v>
      </c>
      <c r="P357" s="15">
        <f>O357</f>
        <v>754065.98</v>
      </c>
      <c r="Q357" s="12" t="s">
        <v>630</v>
      </c>
      <c r="R357" s="15">
        <f>O357</f>
        <v>754065.98</v>
      </c>
      <c r="S357" s="12" t="s">
        <v>125</v>
      </c>
      <c r="T357" s="17" t="s">
        <v>125</v>
      </c>
      <c r="U357" s="14" t="s">
        <v>43</v>
      </c>
      <c r="V357" s="12" t="s">
        <v>378</v>
      </c>
      <c r="W357" s="13">
        <f>'[1]V, inciso o) (OP)'!AD198</f>
        <v>42849</v>
      </c>
      <c r="X357" s="13">
        <f>'[1]V, inciso o) (OP)'!AE198</f>
        <v>43013</v>
      </c>
      <c r="Y357" s="12" t="s">
        <v>531</v>
      </c>
      <c r="Z357" s="12" t="s">
        <v>532</v>
      </c>
      <c r="AA357" s="12" t="s">
        <v>533</v>
      </c>
      <c r="AB357" s="8" t="s">
        <v>1932</v>
      </c>
      <c r="AC357" s="14" t="s">
        <v>48</v>
      </c>
      <c r="AD357" s="14" t="s">
        <v>1571</v>
      </c>
    </row>
    <row r="358" spans="1:30" ht="80.099999999999994" customHeight="1">
      <c r="A358" s="5">
        <v>71</v>
      </c>
      <c r="B358" s="12">
        <v>2017</v>
      </c>
      <c r="C358" s="12" t="s">
        <v>65</v>
      </c>
      <c r="D358" s="14" t="str">
        <f>'[1]V, inciso o) (OP)'!C199</f>
        <v>DOPI-MUN-FORTA-PROY-AD-071-2017</v>
      </c>
      <c r="E358" s="13">
        <f>'[1]V, inciso o) (OP)'!V199</f>
        <v>42845</v>
      </c>
      <c r="F358" s="14" t="str">
        <f>'[1]V, inciso o) (OP)'!AA199</f>
        <v>Estudios de mecánica de suelos y diseño de pavimentos de diferentes obras 2017 del municipio de Zapopan, Jalisco, etapa 1.</v>
      </c>
      <c r="G358" s="14" t="s">
        <v>111</v>
      </c>
      <c r="H358" s="15">
        <f>'[1]V, inciso o) (OP)'!Y199</f>
        <v>1002644.28</v>
      </c>
      <c r="I358" s="14" t="s">
        <v>1349</v>
      </c>
      <c r="J358" s="14" t="str">
        <f>'[1]V, inciso o) (OP)'!M199</f>
        <v>JOSE DE JESUS</v>
      </c>
      <c r="K358" s="12" t="str">
        <f>'[1]V, inciso o) (OP)'!N199</f>
        <v xml:space="preserve">CASTILLO </v>
      </c>
      <c r="L358" s="12" t="str">
        <f>'[1]V, inciso o) (OP)'!O199</f>
        <v>CARRILLO</v>
      </c>
      <c r="M358" s="14" t="str">
        <f>'[1]V, inciso o) (OP)'!P199</f>
        <v>MAPA OBRAS Y PAVIMENTOS, S.A. DE C.V.</v>
      </c>
      <c r="N358" s="12" t="str">
        <f>'[1]V, inciso o) (OP)'!Q199</f>
        <v>MOP080610I53</v>
      </c>
      <c r="O358" s="15">
        <f t="shared" si="9"/>
        <v>1002644.28</v>
      </c>
      <c r="P358" s="15">
        <v>1002220.35</v>
      </c>
      <c r="Q358" s="12" t="s">
        <v>630</v>
      </c>
      <c r="R358" s="15">
        <f>O358</f>
        <v>1002644.28</v>
      </c>
      <c r="S358" s="12" t="s">
        <v>125</v>
      </c>
      <c r="T358" s="17" t="s">
        <v>125</v>
      </c>
      <c r="U358" s="14" t="s">
        <v>43</v>
      </c>
      <c r="V358" s="12" t="s">
        <v>378</v>
      </c>
      <c r="W358" s="13">
        <f>'[1]V, inciso o) (OP)'!AD199</f>
        <v>42849</v>
      </c>
      <c r="X358" s="13">
        <f>'[1]V, inciso o) (OP)'!AE199</f>
        <v>43013</v>
      </c>
      <c r="Y358" s="12" t="s">
        <v>365</v>
      </c>
      <c r="Z358" s="12" t="s">
        <v>366</v>
      </c>
      <c r="AA358" s="12" t="s">
        <v>367</v>
      </c>
      <c r="AB358" s="8" t="s">
        <v>1933</v>
      </c>
      <c r="AC358" s="14" t="s">
        <v>48</v>
      </c>
      <c r="AD358" s="14"/>
    </row>
    <row r="359" spans="1:30" ht="80.099999999999994" customHeight="1">
      <c r="A359" s="5">
        <v>72</v>
      </c>
      <c r="B359" s="12">
        <v>2017</v>
      </c>
      <c r="C359" s="12" t="s">
        <v>65</v>
      </c>
      <c r="D359" s="14" t="str">
        <f>'[1]V, inciso o) (OP)'!C200</f>
        <v>DOPI-MUN-FORTA-BAN-AD-072-2017</v>
      </c>
      <c r="E359" s="13">
        <f>'[1]V, inciso o) (OP)'!V200</f>
        <v>42859</v>
      </c>
      <c r="F359" s="14" t="str">
        <f>'[1]V, inciso o) (OP)'!AA200</f>
        <v>Peatonalización, construcción de banquetas, sustitución de guarniciones y bolardos en calle Ingeniero Alberto Mora López, desde la calle Elote a Carretera a Saltillo, zona las Mesas, municipio de Zapopan, Jalisco.</v>
      </c>
      <c r="G359" s="14" t="s">
        <v>111</v>
      </c>
      <c r="H359" s="15">
        <f>'[1]V, inciso o) (OP)'!Y200</f>
        <v>506572.74</v>
      </c>
      <c r="I359" s="14" t="s">
        <v>811</v>
      </c>
      <c r="J359" s="14" t="str">
        <f>'[1]V, inciso o) (OP)'!M200</f>
        <v>ERICK</v>
      </c>
      <c r="K359" s="12" t="str">
        <f>'[1]V, inciso o) (OP)'!N200</f>
        <v>VILLASEÑOR</v>
      </c>
      <c r="L359" s="12" t="str">
        <f>'[1]V, inciso o) (OP)'!O200</f>
        <v>GUTIERREZ</v>
      </c>
      <c r="M359" s="14" t="str">
        <f>'[1]V, inciso o) (OP)'!P200</f>
        <v>PIXIDE CONSTRUCTORA, S.A. DE C.V.</v>
      </c>
      <c r="N359" s="12" t="str">
        <f>'[1]V, inciso o) (OP)'!Q200</f>
        <v>PCO140829425</v>
      </c>
      <c r="O359" s="15">
        <f t="shared" si="9"/>
        <v>506572.74</v>
      </c>
      <c r="P359" s="15">
        <v>506572.74</v>
      </c>
      <c r="Q359" s="12" t="s">
        <v>812</v>
      </c>
      <c r="R359" s="15">
        <f>O359/123</f>
        <v>4118.4775609756098</v>
      </c>
      <c r="S359" s="12" t="s">
        <v>42</v>
      </c>
      <c r="T359" s="17">
        <v>1450</v>
      </c>
      <c r="U359" s="14" t="s">
        <v>43</v>
      </c>
      <c r="V359" s="12" t="s">
        <v>44</v>
      </c>
      <c r="W359" s="13">
        <f>'[1]V, inciso o) (OP)'!AD200</f>
        <v>42863</v>
      </c>
      <c r="X359" s="13">
        <f>'[1]V, inciso o) (OP)'!AE200</f>
        <v>42916</v>
      </c>
      <c r="Y359" s="12" t="s">
        <v>350</v>
      </c>
      <c r="Z359" s="12" t="s">
        <v>351</v>
      </c>
      <c r="AA359" s="12" t="s">
        <v>352</v>
      </c>
      <c r="AB359" s="14" t="s">
        <v>48</v>
      </c>
      <c r="AC359" s="14" t="s">
        <v>48</v>
      </c>
      <c r="AD359" s="14"/>
    </row>
    <row r="360" spans="1:30" ht="80.099999999999994" customHeight="1">
      <c r="A360" s="5">
        <v>73</v>
      </c>
      <c r="B360" s="12">
        <v>2017</v>
      </c>
      <c r="C360" s="12" t="s">
        <v>65</v>
      </c>
      <c r="D360" s="14" t="str">
        <f>'[1]V, inciso o) (OP)'!C201</f>
        <v>DOPI-MUN-FORTA-ID-AD-073-2017</v>
      </c>
      <c r="E360" s="13">
        <f>'[1]V, inciso o) (OP)'!V201</f>
        <v>42853</v>
      </c>
      <c r="F360" s="14" t="str">
        <f>'[1]V, inciso o) (OP)'!AA201</f>
        <v>Construcción de Skatepark en la Unidad Deportiva Miguel de la Madrid, municipio de Zapopan, Jalisco.</v>
      </c>
      <c r="G360" s="14" t="s">
        <v>111</v>
      </c>
      <c r="H360" s="15">
        <f>'[1]V, inciso o) (OP)'!Y201</f>
        <v>621688.56000000006</v>
      </c>
      <c r="I360" s="14" t="s">
        <v>813</v>
      </c>
      <c r="J360" s="14" t="str">
        <f>'[1]V, inciso o) (OP)'!M201</f>
        <v>DAVID</v>
      </c>
      <c r="K360" s="12" t="str">
        <f>'[1]V, inciso o) (OP)'!N201</f>
        <v>LEDESMA</v>
      </c>
      <c r="L360" s="12" t="str">
        <f>'[1]V, inciso o) (OP)'!O201</f>
        <v>MARTIN DEL CAMPO</v>
      </c>
      <c r="M360" s="14" t="str">
        <f>'[1]V, inciso o) (OP)'!P201</f>
        <v>DAVID LEDESMA MARTIN DEL CAMPO</v>
      </c>
      <c r="N360" s="12" t="str">
        <f>'[1]V, inciso o) (OP)'!Q201</f>
        <v>LEMD880217U53</v>
      </c>
      <c r="O360" s="15">
        <f t="shared" si="9"/>
        <v>621688.56000000006</v>
      </c>
      <c r="P360" s="15">
        <f>O360</f>
        <v>621688.56000000006</v>
      </c>
      <c r="Q360" s="12" t="s">
        <v>715</v>
      </c>
      <c r="R360" s="15">
        <f>O360/490</f>
        <v>1268.7521632653063</v>
      </c>
      <c r="S360" s="12" t="s">
        <v>42</v>
      </c>
      <c r="T360" s="17">
        <v>2399</v>
      </c>
      <c r="U360" s="14" t="s">
        <v>43</v>
      </c>
      <c r="V360" s="12" t="s">
        <v>378</v>
      </c>
      <c r="W360" s="13">
        <f>'[1]V, inciso o) (OP)'!AD201</f>
        <v>42857</v>
      </c>
      <c r="X360" s="13">
        <f>'[1]V, inciso o) (OP)'!AE201</f>
        <v>42946</v>
      </c>
      <c r="Y360" s="12" t="s">
        <v>814</v>
      </c>
      <c r="Z360" s="12" t="s">
        <v>236</v>
      </c>
      <c r="AA360" s="12" t="s">
        <v>147</v>
      </c>
      <c r="AB360" s="8" t="s">
        <v>1934</v>
      </c>
      <c r="AC360" s="14" t="s">
        <v>48</v>
      </c>
      <c r="AD360" s="14" t="s">
        <v>1571</v>
      </c>
    </row>
    <row r="361" spans="1:30" ht="80.099999999999994" customHeight="1">
      <c r="A361" s="5">
        <v>74</v>
      </c>
      <c r="B361" s="12">
        <v>2017</v>
      </c>
      <c r="C361" s="12" t="s">
        <v>65</v>
      </c>
      <c r="D361" s="14" t="str">
        <f>'[1]V, inciso o) (OP)'!C202</f>
        <v>DOPI-MUN-FORTA-IM-AD-074-2017</v>
      </c>
      <c r="E361" s="13">
        <f>'[1]V, inciso o) (OP)'!V202</f>
        <v>42886</v>
      </c>
      <c r="F361" s="14" t="str">
        <f>'[1]V, inciso o) (OP)'!AA202</f>
        <v>Construcción de muros de mampostería y obra complementaria en el parque El Polvorín II, municipio de Zapopan, Jalisco.</v>
      </c>
      <c r="G361" s="14" t="s">
        <v>111</v>
      </c>
      <c r="H361" s="15">
        <f>'[1]V, inciso o) (OP)'!Y202</f>
        <v>710320.06</v>
      </c>
      <c r="I361" s="14" t="s">
        <v>140</v>
      </c>
      <c r="J361" s="14" t="str">
        <f>'[1]V, inciso o) (OP)'!M202</f>
        <v>LEOBARDO</v>
      </c>
      <c r="K361" s="12" t="str">
        <f>'[1]V, inciso o) (OP)'!N202</f>
        <v>PRECIADO</v>
      </c>
      <c r="L361" s="12" t="str">
        <f>'[1]V, inciso o) (OP)'!O202</f>
        <v>ZEPEDA</v>
      </c>
      <c r="M361" s="14" t="str">
        <f>'[1]V, inciso o) (OP)'!P202</f>
        <v>CONSORCIO CONSTRUCTOR ADOBES, S.A. DE C.V.</v>
      </c>
      <c r="N361" s="12" t="str">
        <f>'[1]V, inciso o) (OP)'!Q202</f>
        <v>CCA971126QC9</v>
      </c>
      <c r="O361" s="15">
        <f t="shared" si="9"/>
        <v>710320.06</v>
      </c>
      <c r="P361" s="15">
        <v>710320.04</v>
      </c>
      <c r="Q361" s="12" t="s">
        <v>815</v>
      </c>
      <c r="R361" s="15">
        <f>O361/295.7</f>
        <v>2402.1645586743325</v>
      </c>
      <c r="S361" s="12" t="s">
        <v>42</v>
      </c>
      <c r="T361" s="17">
        <v>2614</v>
      </c>
      <c r="U361" s="14" t="s">
        <v>43</v>
      </c>
      <c r="V361" s="12" t="s">
        <v>44</v>
      </c>
      <c r="W361" s="13">
        <f>'[1]V, inciso o) (OP)'!AD202</f>
        <v>42887</v>
      </c>
      <c r="X361" s="13">
        <f>'[1]V, inciso o) (OP)'!AE202</f>
        <v>42931</v>
      </c>
      <c r="Y361" s="12" t="s">
        <v>470</v>
      </c>
      <c r="Z361" s="12" t="s">
        <v>315</v>
      </c>
      <c r="AA361" s="12" t="s">
        <v>134</v>
      </c>
      <c r="AB361" s="8" t="s">
        <v>48</v>
      </c>
      <c r="AC361" s="14" t="s">
        <v>48</v>
      </c>
      <c r="AD361" s="14"/>
    </row>
    <row r="362" spans="1:30" ht="80.099999999999994" customHeight="1">
      <c r="A362" s="5">
        <v>75</v>
      </c>
      <c r="B362" s="12">
        <v>2017</v>
      </c>
      <c r="C362" s="12" t="s">
        <v>65</v>
      </c>
      <c r="D362" s="14" t="str">
        <f>'[1]V, inciso o) (OP)'!C203</f>
        <v>DOPI-MUN-FORTA-PAV-AD-075-2017</v>
      </c>
      <c r="E362" s="13">
        <f>'[1]V, inciso o) (OP)'!V203</f>
        <v>42867</v>
      </c>
      <c r="F362" s="14" t="str">
        <f>'[1]V, inciso o) (OP)'!AA203</f>
        <v>Construcción de pavimento de concreto hidráulico, banquetas, adecuaciones de la red sanitaria e hidráulica, en la Av. D, colonia El Tigre II, municipio de Zapopan, Jalisco, tramo 2.</v>
      </c>
      <c r="G362" s="14" t="s">
        <v>111</v>
      </c>
      <c r="H362" s="15">
        <f>'[1]V, inciso o) (OP)'!Y203</f>
        <v>1394454.07</v>
      </c>
      <c r="I362" s="14" t="s">
        <v>816</v>
      </c>
      <c r="J362" s="14" t="str">
        <f>'[1]V, inciso o) (OP)'!M203</f>
        <v>OFELIA</v>
      </c>
      <c r="K362" s="12" t="str">
        <f>'[1]V, inciso o) (OP)'!N203</f>
        <v>BARRAGAN</v>
      </c>
      <c r="L362" s="12" t="str">
        <f>'[1]V, inciso o) (OP)'!O203</f>
        <v>REYNAGA</v>
      </c>
      <c r="M362" s="14" t="str">
        <f>'[1]V, inciso o) (OP)'!P203</f>
        <v>I+A INGENIERIA Y ARQUITECTURA CONSTRUCCION Y PROYECTOS, S. DE R.L. DE C.V.</v>
      </c>
      <c r="N362" s="12" t="str">
        <f>'[1]V, inciso o) (OP)'!Q203</f>
        <v>IIA160303MFA</v>
      </c>
      <c r="O362" s="15">
        <f t="shared" si="9"/>
        <v>1394454.07</v>
      </c>
      <c r="P362" s="15">
        <v>1394451.17</v>
      </c>
      <c r="Q362" s="12" t="s">
        <v>817</v>
      </c>
      <c r="R362" s="15">
        <f>O362/2604</f>
        <v>535.50463517665128</v>
      </c>
      <c r="S362" s="12" t="s">
        <v>42</v>
      </c>
      <c r="T362" s="17">
        <v>365</v>
      </c>
      <c r="U362" s="14" t="s">
        <v>43</v>
      </c>
      <c r="V362" s="12" t="s">
        <v>378</v>
      </c>
      <c r="W362" s="13">
        <f>'[1]V, inciso o) (OP)'!AD203</f>
        <v>42870</v>
      </c>
      <c r="X362" s="13">
        <f>'[1]V, inciso o) (OP)'!AE203</f>
        <v>42940</v>
      </c>
      <c r="Y362" s="12" t="s">
        <v>385</v>
      </c>
      <c r="Z362" s="12" t="s">
        <v>46</v>
      </c>
      <c r="AA362" s="12" t="s">
        <v>47</v>
      </c>
      <c r="AB362" s="8" t="s">
        <v>1935</v>
      </c>
      <c r="AC362" s="14" t="s">
        <v>48</v>
      </c>
      <c r="AD362" s="14"/>
    </row>
    <row r="363" spans="1:30" ht="80.099999999999994" customHeight="1">
      <c r="A363" s="5">
        <v>76</v>
      </c>
      <c r="B363" s="12">
        <v>2017</v>
      </c>
      <c r="C363" s="12" t="s">
        <v>65</v>
      </c>
      <c r="D363" s="14" t="str">
        <f>'[1]V, inciso o) (OP)'!C204</f>
        <v>DOPI-MUN-FORTA-DS-AD-076-2017</v>
      </c>
      <c r="E363" s="13">
        <f>'[1]V, inciso o) (OP)'!V204</f>
        <v>42842</v>
      </c>
      <c r="F363" s="14" t="str">
        <f>'[1]V, inciso o) (OP)'!AA204</f>
        <v>Sustitución de red de drenaje sanitario en calles de la colonia Lomas de Tabachines I sección, en el municipio de Zapopan, Jalisco, primera etapa.</v>
      </c>
      <c r="G363" s="14" t="s">
        <v>111</v>
      </c>
      <c r="H363" s="15">
        <f>'[1]V, inciso o) (OP)'!Y204</f>
        <v>1714660.23</v>
      </c>
      <c r="I363" s="14" t="s">
        <v>818</v>
      </c>
      <c r="J363" s="14" t="str">
        <f>'[1]V, inciso o) (OP)'!M204</f>
        <v>LUIS ERAZMO</v>
      </c>
      <c r="K363" s="12" t="str">
        <f>'[1]V, inciso o) (OP)'!N204</f>
        <v>DURAN</v>
      </c>
      <c r="L363" s="12" t="str">
        <f>'[1]V, inciso o) (OP)'!O204</f>
        <v>GODINA</v>
      </c>
      <c r="M363" s="14" t="str">
        <f>'[1]V, inciso o) (OP)'!P204</f>
        <v>CONSTRUCTORA Y URBANIZADORA PROYEXEM, S.A. DE C.V.</v>
      </c>
      <c r="N363" s="12" t="str">
        <f>'[1]V, inciso o) (OP)'!Q204</f>
        <v>CUP130507Q85</v>
      </c>
      <c r="O363" s="15">
        <f t="shared" si="9"/>
        <v>1714660.23</v>
      </c>
      <c r="P363" s="15">
        <v>1712836.7000000002</v>
      </c>
      <c r="Q363" s="12" t="s">
        <v>819</v>
      </c>
      <c r="R363" s="15">
        <f>O363/504</f>
        <v>3402.1036309523811</v>
      </c>
      <c r="S363" s="12" t="s">
        <v>42</v>
      </c>
      <c r="T363" s="17">
        <v>284</v>
      </c>
      <c r="U363" s="14" t="s">
        <v>43</v>
      </c>
      <c r="V363" s="12" t="s">
        <v>378</v>
      </c>
      <c r="W363" s="13">
        <f>'[1]V, inciso o) (OP)'!AD204</f>
        <v>42842</v>
      </c>
      <c r="X363" s="13">
        <f>'[1]V, inciso o) (OP)'!AE204</f>
        <v>42931</v>
      </c>
      <c r="Y363" s="12" t="s">
        <v>767</v>
      </c>
      <c r="Z363" s="12" t="s">
        <v>768</v>
      </c>
      <c r="AA363" s="12" t="s">
        <v>820</v>
      </c>
      <c r="AB363" s="16" t="s">
        <v>1592</v>
      </c>
      <c r="AC363" s="14" t="s">
        <v>48</v>
      </c>
      <c r="AD363" s="14"/>
    </row>
    <row r="364" spans="1:30" ht="80.099999999999994" customHeight="1">
      <c r="A364" s="5">
        <v>77</v>
      </c>
      <c r="B364" s="12">
        <v>2017</v>
      </c>
      <c r="C364" s="14" t="s">
        <v>143</v>
      </c>
      <c r="D364" s="14" t="str">
        <f>'[1]V, inciso p) (OP)'!D166</f>
        <v>DOPI-MUN-RM-PAV-CI-077-2017</v>
      </c>
      <c r="E364" s="13">
        <f>'[1]V, inciso p) (OP)'!AD166</f>
        <v>42929</v>
      </c>
      <c r="F364" s="14" t="str">
        <f>'[1]V, inciso p) (OP)'!AL166</f>
        <v>Pavimentación con concreto hidráulico de la Av. Romanos de calle Egipcios a Av. Patria, incluye agua potable, drenaje, guarniciones, banquetas, servicios complementarios y señalética, en la colonia Altamira, primera etapa, municipio de Zapopan, Jalisco.</v>
      </c>
      <c r="G364" s="14" t="s">
        <v>66</v>
      </c>
      <c r="H364" s="15">
        <f>'[1]V, inciso p) (OP)'!AJ166</f>
        <v>3194358.94</v>
      </c>
      <c r="I364" s="14" t="str">
        <f>'[1]V, inciso p) (OP)'!AS166</f>
        <v>Colonia Altamira</v>
      </c>
      <c r="J364" s="14" t="str">
        <f>'[1]V, inciso p) (OP)'!T166</f>
        <v xml:space="preserve">FRANCISCO GUSTAVO </v>
      </c>
      <c r="K364" s="14" t="str">
        <f>'[1]V, inciso p) (OP)'!U166</f>
        <v>ACEVES</v>
      </c>
      <c r="L364" s="14" t="str">
        <f>'[1]V, inciso p) (OP)'!V166</f>
        <v xml:space="preserve">GARZA </v>
      </c>
      <c r="M364" s="14" t="str">
        <f>'[1]V, inciso p) (OP)'!W166</f>
        <v>TAG SOLUCIONES INTEGRALES, S.A. DE C.V.</v>
      </c>
      <c r="N364" s="14" t="str">
        <f>'[1]V, inciso p) (OP)'!X166</f>
        <v>TSI0906015A9</v>
      </c>
      <c r="O364" s="15">
        <f t="shared" si="9"/>
        <v>3194358.94</v>
      </c>
      <c r="P364" s="15">
        <v>3194358.94</v>
      </c>
      <c r="Q364" s="21" t="s">
        <v>821</v>
      </c>
      <c r="R364" s="22">
        <f>O364/1517</f>
        <v>2105.707936717205</v>
      </c>
      <c r="S364" s="12" t="s">
        <v>42</v>
      </c>
      <c r="T364" s="17">
        <v>2341</v>
      </c>
      <c r="U364" s="14" t="s">
        <v>43</v>
      </c>
      <c r="V364" s="12" t="s">
        <v>44</v>
      </c>
      <c r="W364" s="13">
        <v>42929</v>
      </c>
      <c r="X364" s="13">
        <v>43048</v>
      </c>
      <c r="Y364" s="12" t="s">
        <v>822</v>
      </c>
      <c r="Z364" s="12" t="s">
        <v>823</v>
      </c>
      <c r="AA364" s="12" t="s">
        <v>97</v>
      </c>
      <c r="AB364" s="14" t="s">
        <v>1375</v>
      </c>
      <c r="AC364" s="14" t="s">
        <v>125</v>
      </c>
      <c r="AD364" s="14"/>
    </row>
    <row r="365" spans="1:30" ht="80.099999999999994" customHeight="1">
      <c r="A365" s="5">
        <v>78</v>
      </c>
      <c r="B365" s="12">
        <v>2017</v>
      </c>
      <c r="C365" s="14" t="s">
        <v>143</v>
      </c>
      <c r="D365" s="14" t="str">
        <f>'[1]V, inciso p) (OP)'!D167</f>
        <v>DOPI-MUN-FORTA-PAV-CI-078-2017</v>
      </c>
      <c r="E365" s="13">
        <f>'[1]V, inciso p) (OP)'!AD167</f>
        <v>42929</v>
      </c>
      <c r="F365" s="14" t="str">
        <f>'[1]V, inciso p) (OP)'!AL167</f>
        <v>Pavimentación con concreto hidráulico de calle Juan del Carmen, de calle Urano a calle Obreros de Cananea, incluye agua potable, drenaje, guarniciones, banquetas, servicios complementarios y señalética, en la colonia La Palmita, primera etapa, municipio de Zapopan, Jalisco.</v>
      </c>
      <c r="G365" s="14" t="s">
        <v>707</v>
      </c>
      <c r="H365" s="15">
        <f>'[1]V, inciso p) (OP)'!AJ167</f>
        <v>3194999.16</v>
      </c>
      <c r="I365" s="14" t="str">
        <f>'[1]V, inciso p) (OP)'!AS167</f>
        <v>Colonia La Palmita</v>
      </c>
      <c r="J365" s="14" t="str">
        <f>'[1]V, inciso p) (OP)'!T167</f>
        <v>J. JESÚS</v>
      </c>
      <c r="K365" s="14" t="str">
        <f>'[1]V, inciso p) (OP)'!U167</f>
        <v>NUÑEZ</v>
      </c>
      <c r="L365" s="14" t="str">
        <f>'[1]V, inciso p) (OP)'!V167</f>
        <v>GUTIÉRREZ</v>
      </c>
      <c r="M365" s="14" t="str">
        <f>'[1]V, inciso p) (OP)'!W167</f>
        <v>CERRO VIEJO CONSTRUCCIONES, S.A. DE C.V.</v>
      </c>
      <c r="N365" s="14" t="str">
        <f>'[1]V, inciso p) (OP)'!X167</f>
        <v>CVC110114429</v>
      </c>
      <c r="O365" s="15">
        <f t="shared" si="9"/>
        <v>3194999.16</v>
      </c>
      <c r="P365" s="15">
        <f>O365</f>
        <v>3194999.16</v>
      </c>
      <c r="Q365" s="21" t="s">
        <v>824</v>
      </c>
      <c r="R365" s="22">
        <f>O365/1422</f>
        <v>2246.8348523206751</v>
      </c>
      <c r="S365" s="12" t="s">
        <v>42</v>
      </c>
      <c r="T365" s="17">
        <v>4778</v>
      </c>
      <c r="U365" s="14" t="s">
        <v>43</v>
      </c>
      <c r="V365" s="12" t="s">
        <v>378</v>
      </c>
      <c r="W365" s="13">
        <v>42929</v>
      </c>
      <c r="X365" s="13">
        <v>43048</v>
      </c>
      <c r="Y365" s="12" t="s">
        <v>444</v>
      </c>
      <c r="Z365" s="12" t="s">
        <v>445</v>
      </c>
      <c r="AA365" s="12" t="s">
        <v>367</v>
      </c>
      <c r="AB365" s="14" t="s">
        <v>1376</v>
      </c>
      <c r="AC365" s="14" t="s">
        <v>48</v>
      </c>
      <c r="AD365" s="14" t="s">
        <v>1571</v>
      </c>
    </row>
    <row r="366" spans="1:30" ht="80.099999999999994" customHeight="1">
      <c r="A366" s="5">
        <v>79</v>
      </c>
      <c r="B366" s="12">
        <v>2017</v>
      </c>
      <c r="C366" s="14" t="s">
        <v>143</v>
      </c>
      <c r="D366" s="14" t="str">
        <f>'[1]V, inciso p) (OP)'!D168</f>
        <v>DOPI-MUN-RM-PAV-CI-079-2017</v>
      </c>
      <c r="E366" s="13">
        <f>'[1]V, inciso p) (OP)'!AD168</f>
        <v>42929</v>
      </c>
      <c r="F366" s="14" t="str">
        <f>'[1]V, inciso p) (OP)'!AL168</f>
        <v>Construcción de la Lateral Oriente sobre Periférico Poniente, de calle San Juan a Av. Central, en la colonia Ciudad Granja, primera etapa, municipio de Zapopan, Jalisco.</v>
      </c>
      <c r="G366" s="14" t="s">
        <v>66</v>
      </c>
      <c r="H366" s="15">
        <f>'[1]V, inciso p) (OP)'!AJ168</f>
        <v>2392943.7799999998</v>
      </c>
      <c r="I366" s="14" t="str">
        <f>'[1]V, inciso p) (OP)'!AS168</f>
        <v>Colonia Ciudad Granja</v>
      </c>
      <c r="J366" s="14" t="str">
        <f>'[1]V, inciso p) (OP)'!T168</f>
        <v>VICTOR MANUEL</v>
      </c>
      <c r="K366" s="14" t="str">
        <f>'[1]V, inciso p) (OP)'!U168</f>
        <v>JAUREGUI</v>
      </c>
      <c r="L366" s="14" t="str">
        <f>'[1]V, inciso p) (OP)'!V168</f>
        <v>TORRES</v>
      </c>
      <c r="M366" s="14" t="str">
        <f>'[1]V, inciso p) (OP)'!W168</f>
        <v>CONSTRUCTORA ERLORT Y ASOCIADOS, S.A. DE C.V.</v>
      </c>
      <c r="N366" s="14" t="str">
        <f>'[1]V, inciso p) (OP)'!X168</f>
        <v>CEA070208SB1</v>
      </c>
      <c r="O366" s="15">
        <f t="shared" si="9"/>
        <v>2392943.7799999998</v>
      </c>
      <c r="P366" s="15">
        <f>O366</f>
        <v>2392943.7799999998</v>
      </c>
      <c r="Q366" s="21" t="s">
        <v>825</v>
      </c>
      <c r="R366" s="22">
        <f>O366/419</f>
        <v>5711.0830071599039</v>
      </c>
      <c r="S366" s="12" t="s">
        <v>42</v>
      </c>
      <c r="T366" s="17">
        <v>8739</v>
      </c>
      <c r="U366" s="14" t="s">
        <v>43</v>
      </c>
      <c r="V366" s="12" t="s">
        <v>378</v>
      </c>
      <c r="W366" s="13">
        <v>42929</v>
      </c>
      <c r="X366" s="13">
        <v>43048</v>
      </c>
      <c r="Y366" s="12" t="s">
        <v>826</v>
      </c>
      <c r="Z366" s="12" t="s">
        <v>827</v>
      </c>
      <c r="AA366" s="12" t="s">
        <v>47</v>
      </c>
      <c r="AB366" s="14" t="s">
        <v>1377</v>
      </c>
      <c r="AC366" s="14" t="s">
        <v>48</v>
      </c>
      <c r="AD366" s="14" t="s">
        <v>1571</v>
      </c>
    </row>
    <row r="367" spans="1:30" ht="80.099999999999994" customHeight="1">
      <c r="A367" s="5">
        <v>82</v>
      </c>
      <c r="B367" s="12">
        <v>2017</v>
      </c>
      <c r="C367" s="14" t="s">
        <v>143</v>
      </c>
      <c r="D367" s="14" t="str">
        <f>'[1]V, inciso p) (OP)'!D169</f>
        <v>DOPI-MUN-RM-PAV-CI-082-2017</v>
      </c>
      <c r="E367" s="13">
        <f>'[1]V, inciso p) (OP)'!AD169</f>
        <v>42929</v>
      </c>
      <c r="F367" s="14" t="str">
        <f>'[1]V, inciso p) (OP)'!AL169</f>
        <v>Pavimentación con mezcla asfáltica de calle Belisario Domínguez -Paseo de la Primavera, de privada Mariano Otero a Prol. Guadalupe, en las colonias Mariano Otero y Arenales Tapatíos, primera etapa, municipio de Zapopan, Jalisco.</v>
      </c>
      <c r="G367" s="14" t="s">
        <v>66</v>
      </c>
      <c r="H367" s="15">
        <f>'[1]V, inciso p) (OP)'!AJ169</f>
        <v>1996321.71</v>
      </c>
      <c r="I367" s="14" t="str">
        <f>'[1]V, inciso p) (OP)'!AS169</f>
        <v>Colonias Mariano Otero y Arenales Tapatíos</v>
      </c>
      <c r="J367" s="14" t="str">
        <f>'[1]V, inciso p) (OP)'!T169</f>
        <v>JUAN PABLO</v>
      </c>
      <c r="K367" s="14" t="str">
        <f>'[1]V, inciso p) (OP)'!U169</f>
        <v>VERA</v>
      </c>
      <c r="L367" s="14" t="str">
        <f>'[1]V, inciso p) (OP)'!V169</f>
        <v>TAVARES</v>
      </c>
      <c r="M367" s="14" t="str">
        <f>'[1]V, inciso p) (OP)'!W169</f>
        <v>LIZETTE CONSTRUCCIONES, S.A. DE C.V.</v>
      </c>
      <c r="N367" s="14" t="str">
        <f>'[1]V, inciso p) (OP)'!X169</f>
        <v>LCO080228DN2</v>
      </c>
      <c r="O367" s="15">
        <f t="shared" si="9"/>
        <v>1996321.71</v>
      </c>
      <c r="P367" s="15">
        <f>O367</f>
        <v>1996321.71</v>
      </c>
      <c r="Q367" s="21" t="s">
        <v>828</v>
      </c>
      <c r="R367" s="22">
        <f>O367/5106</f>
        <v>390.97565804935368</v>
      </c>
      <c r="S367" s="12" t="s">
        <v>42</v>
      </c>
      <c r="T367" s="17">
        <v>7395</v>
      </c>
      <c r="U367" s="14" t="s">
        <v>43</v>
      </c>
      <c r="V367" s="12" t="s">
        <v>378</v>
      </c>
      <c r="W367" s="13">
        <v>42929</v>
      </c>
      <c r="X367" s="13">
        <v>43018</v>
      </c>
      <c r="Y367" s="12" t="s">
        <v>735</v>
      </c>
      <c r="Z367" s="12" t="s">
        <v>236</v>
      </c>
      <c r="AA367" s="12" t="s">
        <v>147</v>
      </c>
      <c r="AB367" s="14" t="s">
        <v>1378</v>
      </c>
      <c r="AC367" s="14" t="s">
        <v>48</v>
      </c>
      <c r="AD367" s="14" t="s">
        <v>1571</v>
      </c>
    </row>
    <row r="368" spans="1:30" ht="80.099999999999994" customHeight="1">
      <c r="A368" s="5">
        <v>84</v>
      </c>
      <c r="B368" s="12">
        <v>2017</v>
      </c>
      <c r="C368" s="14" t="s">
        <v>143</v>
      </c>
      <c r="D368" s="14" t="str">
        <f>'[1]V, inciso p) (OP)'!D170</f>
        <v>DOPI-MUN-R33-DS-CI-084-2017</v>
      </c>
      <c r="E368" s="13">
        <f>'[1]V, inciso p) (OP)'!AD170</f>
        <v>42929</v>
      </c>
      <c r="F368" s="14" t="str">
        <f>'[1]V, inciso p) (OP)'!AL170</f>
        <v>Construcción de red de drenaje y agua potable en privada Montes de Oca, calle Fernando Montes de Oca, Privada Juan Escutia y calle Juan Escutia, en la colonia Prados de Santa Lucia, municipio de Zapopan, Jalisco.</v>
      </c>
      <c r="G368" s="14" t="s">
        <v>516</v>
      </c>
      <c r="H368" s="15">
        <f>'[1]V, inciso p) (OP)'!AJ170</f>
        <v>2201617.29</v>
      </c>
      <c r="I368" s="14" t="str">
        <f>'[1]V, inciso p) (OP)'!AS170</f>
        <v>Colonia Prados de Santa Lucia</v>
      </c>
      <c r="J368" s="14" t="str">
        <f>'[1]V, inciso p) (OP)'!T170</f>
        <v>JAVIER</v>
      </c>
      <c r="K368" s="14" t="str">
        <f>'[1]V, inciso p) (OP)'!U170</f>
        <v xml:space="preserve">ÁVILA </v>
      </c>
      <c r="L368" s="14" t="str">
        <f>'[1]V, inciso p) (OP)'!V170</f>
        <v>FLORES</v>
      </c>
      <c r="M368" s="14" t="str">
        <f>'[1]V, inciso p) (OP)'!W170</f>
        <v>SAVHO CONSULTORÍA Y CONSTRUCCIÓN, S.A. DE C.V.</v>
      </c>
      <c r="N368" s="14" t="str">
        <f>'[1]V, inciso p) (OP)'!X170</f>
        <v>SCC060622HZ3</v>
      </c>
      <c r="O368" s="15">
        <f t="shared" si="9"/>
        <v>2201617.29</v>
      </c>
      <c r="P368" s="15">
        <v>1389594.62</v>
      </c>
      <c r="Q368" s="21" t="s">
        <v>829</v>
      </c>
      <c r="R368" s="22">
        <f>O368/400</f>
        <v>5504.0432250000003</v>
      </c>
      <c r="S368" s="12" t="s">
        <v>42</v>
      </c>
      <c r="T368" s="17">
        <v>605</v>
      </c>
      <c r="U368" s="14" t="s">
        <v>43</v>
      </c>
      <c r="V368" s="12" t="s">
        <v>44</v>
      </c>
      <c r="W368" s="13">
        <v>42929</v>
      </c>
      <c r="X368" s="13">
        <v>43018</v>
      </c>
      <c r="Y368" s="12" t="s">
        <v>830</v>
      </c>
      <c r="Z368" s="12" t="s">
        <v>831</v>
      </c>
      <c r="AA368" s="12" t="s">
        <v>134</v>
      </c>
      <c r="AB368" s="14" t="s">
        <v>1379</v>
      </c>
      <c r="AC368" s="14" t="s">
        <v>125</v>
      </c>
      <c r="AD368" s="14"/>
    </row>
    <row r="369" spans="1:30" ht="80.099999999999994" customHeight="1">
      <c r="A369" s="5">
        <v>86</v>
      </c>
      <c r="B369" s="12">
        <v>2017</v>
      </c>
      <c r="C369" s="14" t="s">
        <v>143</v>
      </c>
      <c r="D369" s="14" t="str">
        <f>'[1]V, inciso p) (OP)'!D171</f>
        <v>DOPI-MUN-R33-DS-CI-086-2017</v>
      </c>
      <c r="E369" s="13">
        <f>'[1]V, inciso p) (OP)'!AD171</f>
        <v>42929</v>
      </c>
      <c r="F369" s="14" t="str">
        <f>'[1]V, inciso p) (OP)'!AL171</f>
        <v>Construcción de red de Drenaje y Agua Potable en la Calle San Francisco Tesistán y calles adyacentes, en la colonia Valle de la Providencia (La Cuchilla), municipio de Zapopan, Jalisco.</v>
      </c>
      <c r="G369" s="14" t="s">
        <v>516</v>
      </c>
      <c r="H369" s="15">
        <f>'[1]V, inciso p) (OP)'!AJ171</f>
        <v>7905004.8799999999</v>
      </c>
      <c r="I369" s="14" t="str">
        <f>'[1]V, inciso p) (OP)'!AS171</f>
        <v>Colonia Valle de la Providencia (La Cuchilla)</v>
      </c>
      <c r="J369" s="14" t="str">
        <f>'[1]V, inciso p) (OP)'!T171</f>
        <v xml:space="preserve">EDUARDO </v>
      </c>
      <c r="K369" s="14" t="str">
        <f>'[1]V, inciso p) (OP)'!U171</f>
        <v>ROMERO</v>
      </c>
      <c r="L369" s="14" t="str">
        <f>'[1]V, inciso p) (OP)'!V171</f>
        <v>LUGO</v>
      </c>
      <c r="M369" s="14" t="str">
        <f>'[1]V, inciso p) (OP)'!W171</f>
        <v>RS OBRAS Y SERVICIOS S.A. DE C.V.</v>
      </c>
      <c r="N369" s="14" t="str">
        <f>'[1]V, inciso p) (OP)'!X171</f>
        <v>ROS120904PV9</v>
      </c>
      <c r="O369" s="15">
        <f t="shared" si="9"/>
        <v>7905004.8799999999</v>
      </c>
      <c r="P369" s="15">
        <v>7893946.5099999998</v>
      </c>
      <c r="Q369" s="21" t="s">
        <v>832</v>
      </c>
      <c r="R369" s="22">
        <f>O369/1670</f>
        <v>4733.5358562874253</v>
      </c>
      <c r="S369" s="12" t="s">
        <v>42</v>
      </c>
      <c r="T369" s="17">
        <v>1538</v>
      </c>
      <c r="U369" s="14" t="s">
        <v>43</v>
      </c>
      <c r="V369" s="12" t="s">
        <v>378</v>
      </c>
      <c r="W369" s="13">
        <v>42929</v>
      </c>
      <c r="X369" s="13">
        <v>43048</v>
      </c>
      <c r="Y369" s="12" t="s">
        <v>794</v>
      </c>
      <c r="Z369" s="12" t="s">
        <v>833</v>
      </c>
      <c r="AA369" s="12" t="s">
        <v>191</v>
      </c>
      <c r="AB369" s="14" t="s">
        <v>1380</v>
      </c>
      <c r="AC369" s="14" t="s">
        <v>48</v>
      </c>
      <c r="AD369" s="14"/>
    </row>
    <row r="370" spans="1:30" ht="80.099999999999994" customHeight="1">
      <c r="A370" s="5">
        <v>87</v>
      </c>
      <c r="B370" s="12">
        <v>2017</v>
      </c>
      <c r="C370" s="14" t="s">
        <v>143</v>
      </c>
      <c r="D370" s="14" t="str">
        <f>'[1]V, inciso p) (OP)'!D172</f>
        <v>DOPI-MUN-R33-DS-CI-087-2017</v>
      </c>
      <c r="E370" s="13">
        <f>'[1]V, inciso p) (OP)'!AD172</f>
        <v>42929</v>
      </c>
      <c r="F370" s="14" t="str">
        <f>'[1]V, inciso p) (OP)'!AL172</f>
        <v>Construcción de red de drenaje y agua potable en las calles: Prados de las Torres, Prados de Nextipac, Prados del Maíz I y II Sección, calle los Pinos, en la colonia Prados de Nextipac, municipio de Zapopan, Jalisco.</v>
      </c>
      <c r="G370" s="14" t="s">
        <v>516</v>
      </c>
      <c r="H370" s="15">
        <f>'[1]V, inciso p) (OP)'!AJ172</f>
        <v>3180001.46</v>
      </c>
      <c r="I370" s="14" t="str">
        <f>'[1]V, inciso p) (OP)'!AS172</f>
        <v>Colonia Prados de Nextipac</v>
      </c>
      <c r="J370" s="14" t="str">
        <f>'[1]V, inciso p) (OP)'!T172</f>
        <v>ARTURO</v>
      </c>
      <c r="K370" s="14" t="str">
        <f>'[1]V, inciso p) (OP)'!U172</f>
        <v>RANGEL</v>
      </c>
      <c r="L370" s="14" t="str">
        <f>'[1]V, inciso p) (OP)'!V172</f>
        <v>PAEZ</v>
      </c>
      <c r="M370" s="14" t="str">
        <f>'[1]V, inciso p) (OP)'!W172</f>
        <v>CONSTRUCTORA LASA, S.A. DE C.V.</v>
      </c>
      <c r="N370" s="14" t="str">
        <f>'[1]V, inciso p) (OP)'!X172</f>
        <v>CLA890925ER5</v>
      </c>
      <c r="O370" s="15">
        <f t="shared" si="9"/>
        <v>3180001.46</v>
      </c>
      <c r="P370" s="15">
        <v>2000642.13</v>
      </c>
      <c r="Q370" s="21" t="s">
        <v>834</v>
      </c>
      <c r="R370" s="22">
        <f>O370/555</f>
        <v>5729.73236036036</v>
      </c>
      <c r="S370" s="12" t="s">
        <v>42</v>
      </c>
      <c r="T370" s="17">
        <v>246</v>
      </c>
      <c r="U370" s="14" t="s">
        <v>43</v>
      </c>
      <c r="V370" s="12" t="s">
        <v>378</v>
      </c>
      <c r="W370" s="13">
        <v>42929</v>
      </c>
      <c r="X370" s="13">
        <v>43018</v>
      </c>
      <c r="Y370" s="12" t="s">
        <v>830</v>
      </c>
      <c r="Z370" s="12" t="s">
        <v>831</v>
      </c>
      <c r="AA370" s="12" t="s">
        <v>134</v>
      </c>
      <c r="AB370" s="14" t="s">
        <v>1381</v>
      </c>
      <c r="AC370" s="14" t="s">
        <v>48</v>
      </c>
      <c r="AD370" s="14"/>
    </row>
    <row r="371" spans="1:30" ht="80.099999999999994" customHeight="1">
      <c r="A371" s="5">
        <v>88</v>
      </c>
      <c r="B371" s="12">
        <v>2017</v>
      </c>
      <c r="C371" s="14" t="s">
        <v>143</v>
      </c>
      <c r="D371" s="14" t="str">
        <f>'[1]V, inciso p) (OP)'!D173</f>
        <v>DOPI-MUN-R33-PAV-CI-088-2017</v>
      </c>
      <c r="E371" s="13">
        <f>'[1]V, inciso p) (OP)'!AD173</f>
        <v>42929</v>
      </c>
      <c r="F371" s="14" t="str">
        <f>'[1]V, inciso p) (OP)'!AL173</f>
        <v>Pavimentación de las calles: Hacienda Escondida de Ingreso a San Miguel, San Miguel de Tampico a San Rafael, Tampico de San Miguel a San José, San José de Hacienda San Rafael a Tampico, San Rafael de Hacienda San Miguel a San José, Primera etapa, en la colonia Hacienda Juárez, municipio de Zapopan, Jalisco.</v>
      </c>
      <c r="G371" s="14" t="s">
        <v>516</v>
      </c>
      <c r="H371" s="15">
        <f>'[1]V, inciso p) (OP)'!AJ173</f>
        <v>4192091.6</v>
      </c>
      <c r="I371" s="14" t="str">
        <f>'[1]V, inciso p) (OP)'!AS173</f>
        <v>Colonia Hacienda Juárez</v>
      </c>
      <c r="J371" s="14" t="str">
        <f>'[1]V, inciso p) (OP)'!T173</f>
        <v>JOSÉ LUIS</v>
      </c>
      <c r="K371" s="14" t="str">
        <f>'[1]V, inciso p) (OP)'!U173</f>
        <v>GIL</v>
      </c>
      <c r="L371" s="14" t="str">
        <f>'[1]V, inciso p) (OP)'!V173</f>
        <v>ARROYO</v>
      </c>
      <c r="M371" s="14" t="str">
        <f>'[1]V, inciso p) (OP)'!W173</f>
        <v>CONSTRUCCIÓNES PÉREZ Y GIL, S.A. DE C.V.</v>
      </c>
      <c r="N371" s="14" t="str">
        <f>'[1]V, inciso p) (OP)'!X173</f>
        <v>CPG861118QF1</v>
      </c>
      <c r="O371" s="15">
        <f t="shared" si="9"/>
        <v>4192091.6</v>
      </c>
      <c r="P371" s="15">
        <v>3943322.71</v>
      </c>
      <c r="Q371" s="21" t="s">
        <v>835</v>
      </c>
      <c r="R371" s="22">
        <f>O371/1360</f>
        <v>3082.4202941176472</v>
      </c>
      <c r="S371" s="12" t="s">
        <v>42</v>
      </c>
      <c r="T371" s="17">
        <v>1873</v>
      </c>
      <c r="U371" s="14" t="s">
        <v>43</v>
      </c>
      <c r="V371" s="12" t="s">
        <v>378</v>
      </c>
      <c r="W371" s="13">
        <v>42929</v>
      </c>
      <c r="X371" s="13">
        <v>43048</v>
      </c>
      <c r="Y371" s="12" t="s">
        <v>830</v>
      </c>
      <c r="Z371" s="12" t="s">
        <v>831</v>
      </c>
      <c r="AA371" s="12" t="s">
        <v>134</v>
      </c>
      <c r="AB371" s="14" t="s">
        <v>1382</v>
      </c>
      <c r="AC371" s="14" t="s">
        <v>48</v>
      </c>
      <c r="AD371" s="14"/>
    </row>
    <row r="372" spans="1:30" ht="80.099999999999994" customHeight="1">
      <c r="A372" s="5">
        <v>89</v>
      </c>
      <c r="B372" s="12">
        <v>2017</v>
      </c>
      <c r="C372" s="14" t="s">
        <v>143</v>
      </c>
      <c r="D372" s="14" t="str">
        <f>'[1]V, inciso p) (OP)'!D174</f>
        <v>DOPI-MUN-R33-PAV-CI-089-2017</v>
      </c>
      <c r="E372" s="13">
        <f>'[1]V, inciso p) (OP)'!AD174</f>
        <v>42929</v>
      </c>
      <c r="F372" s="14" t="str">
        <f>'[1]V, inciso p) (OP)'!AL174</f>
        <v>Pavimentación de Las Calles:  Eucalipto de 25 de Mayo a Monte Sumae, Casuarinas, Ciprés Italiano de Eucalipto a Monte Sumae, Los Pinos de 16 de Septiembre a Monte Sumae, Monte Sumae de Ciprés Italiano a Zapote, Zapote de 16 de Septiembre a Monte Sumae, priv. Pinos 1 y 2, Primera etapa, en la colonia Predio El Zapote, municipio de Zapopan, Jalisco.</v>
      </c>
      <c r="G372" s="14" t="s">
        <v>516</v>
      </c>
      <c r="H372" s="15">
        <f>'[1]V, inciso p) (OP)'!AJ174</f>
        <v>5339997.92</v>
      </c>
      <c r="I372" s="14" t="str">
        <f>'[1]V, inciso p) (OP)'!AS174</f>
        <v>Colonia Predio El Zapote</v>
      </c>
      <c r="J372" s="14" t="str">
        <f>'[1]V, inciso p) (OP)'!T174</f>
        <v>CLARISSA GABRIELA</v>
      </c>
      <c r="K372" s="14" t="str">
        <f>'[1]V, inciso p) (OP)'!U174</f>
        <v>VALDEZ</v>
      </c>
      <c r="L372" s="14" t="str">
        <f>'[1]V, inciso p) (OP)'!V174</f>
        <v>MANJARREZ</v>
      </c>
      <c r="M372" s="14" t="str">
        <f>'[1]V, inciso p) (OP)'!W174</f>
        <v>TEKTON GRUPO EMPRESARIAL, S.A. DE C.V.</v>
      </c>
      <c r="N372" s="14" t="str">
        <f>'[1]V, inciso p) (OP)'!X174</f>
        <v>TGE101215JI6</v>
      </c>
      <c r="O372" s="15">
        <f t="shared" si="9"/>
        <v>5339997.92</v>
      </c>
      <c r="P372" s="15">
        <v>5339872.83</v>
      </c>
      <c r="Q372" s="21" t="s">
        <v>836</v>
      </c>
      <c r="R372" s="22">
        <f>O372/1712</f>
        <v>3119.157663551402</v>
      </c>
      <c r="S372" s="12" t="s">
        <v>42</v>
      </c>
      <c r="T372" s="17">
        <v>2037</v>
      </c>
      <c r="U372" s="14" t="s">
        <v>43</v>
      </c>
      <c r="V372" s="12" t="s">
        <v>44</v>
      </c>
      <c r="W372" s="13">
        <v>42929</v>
      </c>
      <c r="X372" s="13">
        <v>43048</v>
      </c>
      <c r="Y372" s="12" t="s">
        <v>794</v>
      </c>
      <c r="Z372" s="12" t="s">
        <v>833</v>
      </c>
      <c r="AA372" s="12" t="s">
        <v>191</v>
      </c>
      <c r="AB372" s="14" t="s">
        <v>1383</v>
      </c>
      <c r="AC372" s="14" t="s">
        <v>125</v>
      </c>
      <c r="AD372" s="14"/>
    </row>
    <row r="373" spans="1:30" ht="80.099999999999994" customHeight="1">
      <c r="A373" s="5">
        <v>90</v>
      </c>
      <c r="B373" s="12">
        <v>2017</v>
      </c>
      <c r="C373" s="14" t="s">
        <v>143</v>
      </c>
      <c r="D373" s="14" t="str">
        <f>'[1]V, inciso p) (OP)'!D175</f>
        <v>DOPI-MUN-R33-DS-CI-090-2017</v>
      </c>
      <c r="E373" s="13">
        <f>'[1]V, inciso p) (OP)'!AD175</f>
        <v>42929</v>
      </c>
      <c r="F373" s="14" t="str">
        <f>'[1]V, inciso p) (OP)'!AL175</f>
        <v>Construcción de red de drenaje y agua potable en la calle Eucalipto, calle Puesta del Sol, calle La Presa y calle Jaime Prieto, en la colonia Valle de Los Robles, municipio de Zapopan, Jalisco.</v>
      </c>
      <c r="G373" s="14" t="s">
        <v>516</v>
      </c>
      <c r="H373" s="15">
        <f>'[1]V, inciso p) (OP)'!AJ175</f>
        <v>3367258.31</v>
      </c>
      <c r="I373" s="14" t="str">
        <f>'[1]V, inciso p) (OP)'!AS175</f>
        <v>Colonia Valle de Los Robles</v>
      </c>
      <c r="J373" s="14" t="str">
        <f>'[1]V, inciso p) (OP)'!T175</f>
        <v>FRANCISCO JAVIER</v>
      </c>
      <c r="K373" s="14" t="str">
        <f>'[1]V, inciso p) (OP)'!U175</f>
        <v>DIAZ</v>
      </c>
      <c r="L373" s="14" t="str">
        <f>'[1]V, inciso p) (OP)'!V175</f>
        <v>RUIZ</v>
      </c>
      <c r="M373" s="14" t="str">
        <f>'[1]V, inciso p) (OP)'!W175</f>
        <v>CONSTRUCTORA DIRU, S.A. DE C.V.</v>
      </c>
      <c r="N373" s="14" t="str">
        <f>'[1]V, inciso p) (OP)'!X175</f>
        <v>CDI950714B79</v>
      </c>
      <c r="O373" s="15">
        <f t="shared" si="9"/>
        <v>3367258.31</v>
      </c>
      <c r="P373" s="15">
        <v>1796830.6999999997</v>
      </c>
      <c r="Q373" s="21" t="s">
        <v>829</v>
      </c>
      <c r="R373" s="22">
        <f>O373/400</f>
        <v>8418.1457750000009</v>
      </c>
      <c r="S373" s="12" t="s">
        <v>42</v>
      </c>
      <c r="T373" s="17">
        <v>237</v>
      </c>
      <c r="U373" s="14" t="s">
        <v>43</v>
      </c>
      <c r="V373" s="12" t="s">
        <v>44</v>
      </c>
      <c r="W373" s="13">
        <v>42929</v>
      </c>
      <c r="X373" s="13">
        <v>43039</v>
      </c>
      <c r="Y373" s="12" t="s">
        <v>794</v>
      </c>
      <c r="Z373" s="12" t="s">
        <v>833</v>
      </c>
      <c r="AA373" s="12" t="s">
        <v>191</v>
      </c>
      <c r="AB373" s="14" t="s">
        <v>1384</v>
      </c>
      <c r="AC373" s="14" t="s">
        <v>125</v>
      </c>
      <c r="AD373" s="14"/>
    </row>
    <row r="374" spans="1:30" ht="80.099999999999994" customHeight="1">
      <c r="A374" s="5">
        <v>91</v>
      </c>
      <c r="B374" s="12">
        <v>2017</v>
      </c>
      <c r="C374" s="14" t="s">
        <v>143</v>
      </c>
      <c r="D374" s="14" t="str">
        <f>'[1]V, inciso p) (OP)'!D176</f>
        <v>DOPI-MUN-R33-DS-CI-091-2017</v>
      </c>
      <c r="E374" s="13">
        <f>'[1]V, inciso p) (OP)'!AD176</f>
        <v>42929</v>
      </c>
      <c r="F374" s="14" t="str">
        <f>'[1]V, inciso p) (OP)'!AL176</f>
        <v>Construcción de red de alcantarillado y agua potable en la calle San Jorge, calle San Miguel, calle San Rafael y calles Adyacentes, en la colonia La Limera, municipio de Zapopan, Jalisco.</v>
      </c>
      <c r="G374" s="14" t="s">
        <v>516</v>
      </c>
      <c r="H374" s="15">
        <f>'[1]V, inciso p) (OP)'!AJ176</f>
        <v>5792979.8799999999</v>
      </c>
      <c r="I374" s="14" t="str">
        <f>'[1]V, inciso p) (OP)'!AS176</f>
        <v>Colonia La Limera</v>
      </c>
      <c r="J374" s="14" t="str">
        <f>'[1]V, inciso p) (OP)'!T176</f>
        <v xml:space="preserve"> MARTHA </v>
      </c>
      <c r="K374" s="14" t="str">
        <f>'[1]V, inciso p) (OP)'!U176</f>
        <v>JIMENEZ</v>
      </c>
      <c r="L374" s="14" t="str">
        <f>'[1]V, inciso p) (OP)'!V176</f>
        <v>LOPEZ</v>
      </c>
      <c r="M374" s="14" t="str">
        <f>'[1]V, inciso p) (OP)'!W176</f>
        <v>INMOBILIARIA BOCHUM S. DE R.L. DE C.V.</v>
      </c>
      <c r="N374" s="14" t="str">
        <f>'[1]V, inciso p) (OP)'!X176</f>
        <v>IBO090918ET9</v>
      </c>
      <c r="O374" s="15">
        <f t="shared" si="9"/>
        <v>5792979.8799999999</v>
      </c>
      <c r="P374" s="15">
        <v>5792757.6599999992</v>
      </c>
      <c r="Q374" s="21" t="s">
        <v>837</v>
      </c>
      <c r="R374" s="22">
        <f>O374/945</f>
        <v>6130.1374391534391</v>
      </c>
      <c r="S374" s="12" t="s">
        <v>42</v>
      </c>
      <c r="T374" s="17">
        <v>329</v>
      </c>
      <c r="U374" s="14" t="s">
        <v>43</v>
      </c>
      <c r="V374" s="12" t="s">
        <v>378</v>
      </c>
      <c r="W374" s="13">
        <v>42929</v>
      </c>
      <c r="X374" s="13">
        <v>43039</v>
      </c>
      <c r="Y374" s="12" t="s">
        <v>794</v>
      </c>
      <c r="Z374" s="12" t="s">
        <v>833</v>
      </c>
      <c r="AA374" s="12" t="s">
        <v>191</v>
      </c>
      <c r="AB374" s="14" t="s">
        <v>1385</v>
      </c>
      <c r="AC374" s="14" t="s">
        <v>48</v>
      </c>
      <c r="AD374" s="14"/>
    </row>
    <row r="375" spans="1:30" ht="80.099999999999994" customHeight="1">
      <c r="A375" s="5">
        <v>92</v>
      </c>
      <c r="B375" s="12">
        <v>2017</v>
      </c>
      <c r="C375" s="14" t="s">
        <v>143</v>
      </c>
      <c r="D375" s="14" t="str">
        <f>'[1]V, inciso p) (OP)'!D177</f>
        <v>DOPI-MUN-R33-IE-CI-092-2017</v>
      </c>
      <c r="E375" s="13">
        <f>'[1]V, inciso p) (OP)'!AD177</f>
        <v>42929</v>
      </c>
      <c r="F375" s="14" t="str">
        <f>'[1]V, inciso p) (OP)'!AL177</f>
        <v>Red electrificación y servicios complementarios en la calle 1 de Noviembre, calle Naranjo, calle Mandarina, calle Limón, calle Fresa, privada Sin Nombre y calle Capulín, en la colonia Zapote II, municipio de Zapopan, Jalisco.</v>
      </c>
      <c r="G375" s="14" t="s">
        <v>516</v>
      </c>
      <c r="H375" s="15">
        <f>'[1]V, inciso p) (OP)'!AJ177</f>
        <v>1850002.03</v>
      </c>
      <c r="I375" s="14" t="str">
        <f>'[1]V, inciso p) (OP)'!AS177</f>
        <v>Colonia Zapote II</v>
      </c>
      <c r="J375" s="14" t="str">
        <f>'[1]V, inciso p) (OP)'!T177</f>
        <v>VICTOR</v>
      </c>
      <c r="K375" s="14" t="str">
        <f>'[1]V, inciso p) (OP)'!U177</f>
        <v>ZAYAS</v>
      </c>
      <c r="L375" s="14" t="str">
        <f>'[1]V, inciso p) (OP)'!V177</f>
        <v>RIQUELME</v>
      </c>
      <c r="M375" s="14" t="str">
        <f>'[1]V, inciso p) (OP)'!W177</f>
        <v>GEMINIS INTERNACIONAL CONSTRUCTORA, S.A. DE C.V.</v>
      </c>
      <c r="N375" s="14" t="str">
        <f>'[1]V, inciso p) (OP)'!X177</f>
        <v>GIC810323RA6</v>
      </c>
      <c r="O375" s="15">
        <f t="shared" si="9"/>
        <v>1850002.03</v>
      </c>
      <c r="P375" s="15">
        <f>O375</f>
        <v>1850002.03</v>
      </c>
      <c r="Q375" s="21" t="s">
        <v>838</v>
      </c>
      <c r="R375" s="22">
        <f>O375/31</f>
        <v>59677.484838709679</v>
      </c>
      <c r="S375" s="12" t="s">
        <v>42</v>
      </c>
      <c r="T375" s="17">
        <v>1487</v>
      </c>
      <c r="U375" s="14" t="s">
        <v>43</v>
      </c>
      <c r="V375" s="12" t="s">
        <v>378</v>
      </c>
      <c r="W375" s="13">
        <v>42929</v>
      </c>
      <c r="X375" s="13">
        <v>43048</v>
      </c>
      <c r="Y375" s="12" t="s">
        <v>408</v>
      </c>
      <c r="Z375" s="12" t="s">
        <v>301</v>
      </c>
      <c r="AA375" s="12" t="s">
        <v>518</v>
      </c>
      <c r="AB375" s="14" t="s">
        <v>1386</v>
      </c>
      <c r="AC375" s="14" t="s">
        <v>48</v>
      </c>
      <c r="AD375" s="14" t="s">
        <v>1571</v>
      </c>
    </row>
    <row r="376" spans="1:30" ht="80.099999999999994" customHeight="1">
      <c r="A376" s="5">
        <v>93</v>
      </c>
      <c r="B376" s="12">
        <v>2017</v>
      </c>
      <c r="C376" s="14" t="s">
        <v>143</v>
      </c>
      <c r="D376" s="14" t="str">
        <f>'[1]V, inciso p) (OP)'!D178</f>
        <v>DOPI-MUN-R33-AP-CI-093-2017</v>
      </c>
      <c r="E376" s="13">
        <f>'[1]V, inciso p) (OP)'!AD178</f>
        <v>42929</v>
      </c>
      <c r="F376" s="14" t="str">
        <f>'[1]V, inciso p) (OP)'!AL178</f>
        <v>Perforación de pozo profundo, en la colonia Copalita Poblado, municipio de Zapopan, Jalisco.</v>
      </c>
      <c r="G376" s="14" t="s">
        <v>516</v>
      </c>
      <c r="H376" s="15">
        <f>'[1]V, inciso p) (OP)'!AJ178</f>
        <v>6213192.5999999996</v>
      </c>
      <c r="I376" s="14" t="str">
        <f>'[1]V, inciso p) (OP)'!AS178</f>
        <v>Colonia Copalita Poblado</v>
      </c>
      <c r="J376" s="14" t="str">
        <f>'[1]V, inciso p) (OP)'!T178</f>
        <v>KARLA MARIANA</v>
      </c>
      <c r="K376" s="14" t="str">
        <f>'[1]V, inciso p) (OP)'!U178</f>
        <v>MENDEZ</v>
      </c>
      <c r="L376" s="14" t="str">
        <f>'[1]V, inciso p) (OP)'!V178</f>
        <v>RODRIGUEZ</v>
      </c>
      <c r="M376" s="14" t="str">
        <f>'[1]V, inciso p) (OP)'!W178</f>
        <v>GRUPO LA FUENTE, S.A. DE C.V.</v>
      </c>
      <c r="N376" s="14" t="str">
        <f>'[1]V, inciso p) (OP)'!X178</f>
        <v>GFU021009BC1</v>
      </c>
      <c r="O376" s="15">
        <f t="shared" si="9"/>
        <v>6213192.5999999996</v>
      </c>
      <c r="P376" s="15">
        <v>5169637.7374</v>
      </c>
      <c r="Q376" s="21" t="s">
        <v>839</v>
      </c>
      <c r="R376" s="22">
        <f>O376/350</f>
        <v>17751.978857142854</v>
      </c>
      <c r="S376" s="12" t="s">
        <v>42</v>
      </c>
      <c r="T376" s="17">
        <v>205</v>
      </c>
      <c r="U376" s="14" t="s">
        <v>43</v>
      </c>
      <c r="V376" s="12" t="s">
        <v>44</v>
      </c>
      <c r="W376" s="13">
        <v>42929</v>
      </c>
      <c r="X376" s="13">
        <v>43078</v>
      </c>
      <c r="Y376" s="12" t="s">
        <v>468</v>
      </c>
      <c r="Z376" s="12" t="s">
        <v>307</v>
      </c>
      <c r="AA376" s="12" t="s">
        <v>308</v>
      </c>
      <c r="AB376" s="14" t="s">
        <v>1387</v>
      </c>
      <c r="AC376" s="14" t="s">
        <v>125</v>
      </c>
      <c r="AD376" s="14"/>
    </row>
    <row r="377" spans="1:30" s="1" customFormat="1" ht="80.099999999999994" customHeight="1">
      <c r="A377" s="5">
        <v>94</v>
      </c>
      <c r="B377" s="12">
        <v>2017</v>
      </c>
      <c r="C377" s="12" t="s">
        <v>65</v>
      </c>
      <c r="D377" s="14" t="str">
        <f>'[1]V, inciso o) (OP)'!C205</f>
        <v>DOPI-MUN-FORTA-PROY-AD-094-2017</v>
      </c>
      <c r="E377" s="13">
        <f>'[1]V, inciso o) (OP)'!V205</f>
        <v>42886</v>
      </c>
      <c r="F377" s="14" t="str">
        <f>'[1]V, inciso o) (OP)'!AA205</f>
        <v>Estudios básicos topográficos para diferentes obras 2017, frente 1, del municipio de Zapopan, Jalisco.</v>
      </c>
      <c r="G377" s="14" t="s">
        <v>111</v>
      </c>
      <c r="H377" s="15">
        <f>'[1]V, inciso o) (OP)'!Y205</f>
        <v>1110450.23</v>
      </c>
      <c r="I377" s="14" t="s">
        <v>1349</v>
      </c>
      <c r="J377" s="14" t="str">
        <f>'[1]V, inciso o) (OP)'!M205</f>
        <v>PATRICIA</v>
      </c>
      <c r="K377" s="14" t="str">
        <f>'[1]V, inciso o) (OP)'!N205</f>
        <v>NAMUR</v>
      </c>
      <c r="L377" s="14" t="str">
        <f>'[1]V, inciso o) (OP)'!O205</f>
        <v>MARTÍNEZ</v>
      </c>
      <c r="M377" s="14" t="str">
        <f>'[1]V, inciso o) (OP)'!P205</f>
        <v>SERVICIOS TOPOGRAFICOS ESPECIALIZADOS, S.A. DE C.V.</v>
      </c>
      <c r="N377" s="14" t="str">
        <f>'[1]V, inciso o) (OP)'!Q205</f>
        <v>STE990210U51</v>
      </c>
      <c r="O377" s="15">
        <f t="shared" si="9"/>
        <v>1110450.23</v>
      </c>
      <c r="P377" s="15">
        <v>1110450.22</v>
      </c>
      <c r="Q377" s="12" t="s">
        <v>840</v>
      </c>
      <c r="R377" s="15">
        <f>O377/505839</f>
        <v>2.1952641650801934</v>
      </c>
      <c r="S377" s="12" t="s">
        <v>125</v>
      </c>
      <c r="T377" s="17" t="s">
        <v>125</v>
      </c>
      <c r="U377" s="14" t="s">
        <v>43</v>
      </c>
      <c r="V377" s="12" t="s">
        <v>378</v>
      </c>
      <c r="W377" s="13">
        <f>'[1]V, inciso o) (OP)'!AD205</f>
        <v>42887</v>
      </c>
      <c r="X377" s="13">
        <f>'[1]V, inciso o) (OP)'!AE205</f>
        <v>43039</v>
      </c>
      <c r="Y377" s="12" t="s">
        <v>363</v>
      </c>
      <c r="Z377" s="12" t="s">
        <v>604</v>
      </c>
      <c r="AA377" s="12" t="s">
        <v>139</v>
      </c>
      <c r="AB377" s="8" t="s">
        <v>1936</v>
      </c>
      <c r="AC377" s="14" t="s">
        <v>48</v>
      </c>
      <c r="AD377" s="14"/>
    </row>
    <row r="378" spans="1:30" s="1" customFormat="1" ht="80.099999999999994" customHeight="1">
      <c r="A378" s="5">
        <v>95</v>
      </c>
      <c r="B378" s="12">
        <v>2017</v>
      </c>
      <c r="C378" s="14" t="s">
        <v>143</v>
      </c>
      <c r="D378" s="14" t="str">
        <f>'[1]V, inciso p) (OP)'!D179</f>
        <v>DOPI-MUN-R33R-DS-CI-095-2017</v>
      </c>
      <c r="E378" s="13">
        <f>'[1]V, inciso p) (OP)'!AD179</f>
        <v>42985</v>
      </c>
      <c r="F378" s="14" t="str">
        <f>'[1]V, inciso p) (OP)'!AL179</f>
        <v>Construcción de red de drenaje en las calles: Daniel Macías, Andrés Jiménez, 12 de Octubre y Quirino Rivera en la colonia Villa de Guadalupe, municipio de Zapopan, Jalisco.</v>
      </c>
      <c r="G378" s="14" t="s">
        <v>841</v>
      </c>
      <c r="H378" s="15">
        <f>'[1]V, inciso p) (OP)'!AJ179</f>
        <v>3643505.99</v>
      </c>
      <c r="I378" s="14" t="str">
        <f>'[1]V, inciso p) (OP)'!AS179</f>
        <v>Col. Villa de Guadalupe</v>
      </c>
      <c r="J378" s="14" t="str">
        <f>'[1]V, inciso p) (OP)'!T179</f>
        <v>MELESIO</v>
      </c>
      <c r="K378" s="14" t="str">
        <f>'[1]V, inciso p) (OP)'!U179</f>
        <v>HERNÁNDEZ</v>
      </c>
      <c r="L378" s="14" t="str">
        <f>'[1]V, inciso p) (OP)'!V179</f>
        <v>MARTÍNEZ</v>
      </c>
      <c r="M378" s="14" t="str">
        <f>'[1]V, inciso p) (OP)'!W179</f>
        <v>CONSTRUCTORA VICO, S.A. DE C.V.</v>
      </c>
      <c r="N378" s="14" t="str">
        <f>'[1]V, inciso p) (OP)'!X179</f>
        <v>CVI980213UM6</v>
      </c>
      <c r="O378" s="15">
        <f t="shared" si="9"/>
        <v>3643505.99</v>
      </c>
      <c r="P378" s="15">
        <v>3643497.41</v>
      </c>
      <c r="Q378" s="12" t="s">
        <v>842</v>
      </c>
      <c r="R378" s="15">
        <f>O378/663</f>
        <v>5495.484147812972</v>
      </c>
      <c r="S378" s="12" t="s">
        <v>42</v>
      </c>
      <c r="T378" s="17">
        <v>356</v>
      </c>
      <c r="U378" s="14" t="s">
        <v>43</v>
      </c>
      <c r="V378" s="12" t="s">
        <v>44</v>
      </c>
      <c r="W378" s="13">
        <f>'[1]V, inciso p) (OP)'!AM179</f>
        <v>42986</v>
      </c>
      <c r="X378" s="13">
        <f>'[1]V, inciso p) (OP)'!AN179</f>
        <v>43060</v>
      </c>
      <c r="Y378" s="12" t="s">
        <v>767</v>
      </c>
      <c r="Z378" s="12" t="s">
        <v>843</v>
      </c>
      <c r="AA378" s="12" t="s">
        <v>769</v>
      </c>
      <c r="AB378" s="14" t="s">
        <v>1388</v>
      </c>
      <c r="AC378" s="14" t="s">
        <v>125</v>
      </c>
      <c r="AD378" s="14"/>
    </row>
    <row r="379" spans="1:30" ht="80.099999999999994" customHeight="1">
      <c r="A379" s="5">
        <v>96</v>
      </c>
      <c r="B379" s="12">
        <v>2017</v>
      </c>
      <c r="C379" s="14" t="s">
        <v>143</v>
      </c>
      <c r="D379" s="14" t="str">
        <f>'[1]V, inciso p) (OP)'!D180</f>
        <v>DOPI-MUN-R33-DS-CI-096-2017</v>
      </c>
      <c r="E379" s="13">
        <f>'[1]V, inciso p) (OP)'!AD180</f>
        <v>42929</v>
      </c>
      <c r="F379" s="14" t="str">
        <f>'[1]V, inciso p) (OP)'!AL180</f>
        <v>Construcción de Red de Drenaje y Agua potable en las calles de la Colonia Zapote II, municipio de Zapopan, Jalisco.</v>
      </c>
      <c r="G379" s="14" t="s">
        <v>516</v>
      </c>
      <c r="H379" s="15">
        <f>'[1]V, inciso p) (OP)'!AJ180</f>
        <v>4802027.43</v>
      </c>
      <c r="I379" s="14" t="str">
        <f>'[1]V, inciso p) (OP)'!AS180</f>
        <v>Colonia Zapote II</v>
      </c>
      <c r="J379" s="14" t="str">
        <f>'[1]V, inciso p) (OP)'!T180</f>
        <v xml:space="preserve"> BERNARDO </v>
      </c>
      <c r="K379" s="14" t="str">
        <f>'[1]V, inciso p) (OP)'!U180</f>
        <v xml:space="preserve">SAENZ </v>
      </c>
      <c r="L379" s="14" t="str">
        <f>'[1]V, inciso p) (OP)'!V180</f>
        <v>BARBA</v>
      </c>
      <c r="M379" s="14" t="str">
        <f>'[1]V, inciso p) (OP)'!W180</f>
        <v>GRUPO EDIFICADOR MAYAB, S.A. DE C.V.</v>
      </c>
      <c r="N379" s="14" t="str">
        <f>'[1]V, inciso p) (OP)'!X180</f>
        <v>GEM070112PX8</v>
      </c>
      <c r="O379" s="15">
        <f t="shared" si="9"/>
        <v>4802027.43</v>
      </c>
      <c r="P379" s="15">
        <v>4801871.43</v>
      </c>
      <c r="Q379" s="21" t="s">
        <v>844</v>
      </c>
      <c r="R379" s="22">
        <f>O379/715</f>
        <v>6716.122279720279</v>
      </c>
      <c r="S379" s="12" t="s">
        <v>42</v>
      </c>
      <c r="T379" s="17">
        <v>318</v>
      </c>
      <c r="U379" s="14" t="s">
        <v>43</v>
      </c>
      <c r="V379" s="12" t="s">
        <v>378</v>
      </c>
      <c r="W379" s="13">
        <v>42929</v>
      </c>
      <c r="X379" s="13">
        <v>43039</v>
      </c>
      <c r="Y379" s="12" t="s">
        <v>794</v>
      </c>
      <c r="Z379" s="12" t="s">
        <v>833</v>
      </c>
      <c r="AA379" s="12" t="s">
        <v>191</v>
      </c>
      <c r="AB379" s="14" t="s">
        <v>1389</v>
      </c>
      <c r="AC379" s="14" t="s">
        <v>48</v>
      </c>
      <c r="AD379" s="14"/>
    </row>
    <row r="380" spans="1:30" ht="80.099999999999994" customHeight="1">
      <c r="A380" s="5">
        <v>97</v>
      </c>
      <c r="B380" s="12">
        <v>2017</v>
      </c>
      <c r="C380" s="14" t="s">
        <v>143</v>
      </c>
      <c r="D380" s="14" t="str">
        <f>'[1]V, inciso p) (OP)'!D181</f>
        <v>DOPI-MUN-R33R-DS-CI-097-2017</v>
      </c>
      <c r="E380" s="13">
        <f>'[1]V, inciso p) (OP)'!AD181</f>
        <v>42985</v>
      </c>
      <c r="F380" s="14" t="str">
        <f>'[1]V, inciso p) (OP)'!AL181</f>
        <v>Mejoramiento de Arroyo Seco entre las calles Puerto Tampico y Tezontle y rehabilitación de colector de aguas negras en la colonia Miramar Poniente, municipio de Zapopan, Jalisco.</v>
      </c>
      <c r="G380" s="14" t="s">
        <v>841</v>
      </c>
      <c r="H380" s="15">
        <f>'[1]V, inciso p) (OP)'!AJ181</f>
        <v>2995983.72</v>
      </c>
      <c r="I380" s="14" t="str">
        <f>'[1]V, inciso p) (OP)'!AS181</f>
        <v>Colonia Miramar Poniente</v>
      </c>
      <c r="J380" s="14" t="str">
        <f>'[1]V, inciso p) (OP)'!T181</f>
        <v>ELBA</v>
      </c>
      <c r="K380" s="14" t="str">
        <f>'[1]V, inciso p) (OP)'!U181</f>
        <v xml:space="preserve">GONZÁLEZ </v>
      </c>
      <c r="L380" s="14" t="str">
        <f>'[1]V, inciso p) (OP)'!V181</f>
        <v>AGUIRRE</v>
      </c>
      <c r="M380" s="14" t="str">
        <f>'[1]V, inciso p) (OP)'!W181</f>
        <v>GA URBANIZACIÓN, S.A. DE C.V.</v>
      </c>
      <c r="N380" s="14" t="str">
        <f>'[1]V, inciso p) (OP)'!X181</f>
        <v>GUR120612P22</v>
      </c>
      <c r="O380" s="15">
        <f t="shared" si="9"/>
        <v>2995983.72</v>
      </c>
      <c r="P380" s="15">
        <v>2995983.4400000004</v>
      </c>
      <c r="Q380" s="21" t="s">
        <v>845</v>
      </c>
      <c r="R380" s="22">
        <f>O380/155</f>
        <v>19328.927225806452</v>
      </c>
      <c r="S380" s="12" t="s">
        <v>42</v>
      </c>
      <c r="T380" s="17">
        <v>96</v>
      </c>
      <c r="U380" s="14" t="s">
        <v>43</v>
      </c>
      <c r="V380" s="12" t="s">
        <v>44</v>
      </c>
      <c r="W380" s="13">
        <f>'[1]V, inciso p) (OP)'!AM181</f>
        <v>42986</v>
      </c>
      <c r="X380" s="13">
        <f>'[1]V, inciso p) (OP)'!AN181</f>
        <v>43060</v>
      </c>
      <c r="Y380" s="12" t="s">
        <v>822</v>
      </c>
      <c r="Z380" s="12" t="s">
        <v>823</v>
      </c>
      <c r="AA380" s="12" t="s">
        <v>97</v>
      </c>
      <c r="AB380" s="14" t="s">
        <v>1390</v>
      </c>
      <c r="AC380" s="14" t="s">
        <v>125</v>
      </c>
      <c r="AD380" s="14"/>
    </row>
    <row r="381" spans="1:30" ht="80.099999999999994" customHeight="1">
      <c r="A381" s="5">
        <v>98</v>
      </c>
      <c r="B381" s="12">
        <v>2017</v>
      </c>
      <c r="C381" s="14" t="s">
        <v>143</v>
      </c>
      <c r="D381" s="14" t="str">
        <f>'[1]V, inciso p) (OP)'!D182</f>
        <v>DOPI-MUN-RM-PAV-CI-098-2017</v>
      </c>
      <c r="E381" s="13">
        <f>'[1]V, inciso p) (OP)'!AD182</f>
        <v>42929</v>
      </c>
      <c r="F381" s="14" t="str">
        <f>'[1]V, inciso p) (OP)'!AL182</f>
        <v>Obra de pavimentación complementaria a solución vial de López Mateos y Periférico Sur, municipio de Zapopan, Jalisco.</v>
      </c>
      <c r="G381" s="14" t="s">
        <v>66</v>
      </c>
      <c r="H381" s="15">
        <f>'[1]V, inciso p) (OP)'!AJ182</f>
        <v>5097355.1500000004</v>
      </c>
      <c r="I381" s="14" t="str">
        <f>'[1]V, inciso p) (OP)'!AS182</f>
        <v>Colonias La Calma, Loma Bonita y Las Aguilas</v>
      </c>
      <c r="J381" s="14" t="str">
        <f>'[1]V, inciso p) (OP)'!T182</f>
        <v>ANDRES EDUARDO</v>
      </c>
      <c r="K381" s="14" t="str">
        <f>'[1]V, inciso p) (OP)'!U182</f>
        <v>ACEVES</v>
      </c>
      <c r="L381" s="14" t="str">
        <f>'[1]V, inciso p) (OP)'!V182</f>
        <v>CASTAÑEDA</v>
      </c>
      <c r="M381" s="14" t="str">
        <f>'[1]V, inciso p) (OP)'!W182</f>
        <v>SECRI CONSTRUCTORA, S.A. DE C.V.</v>
      </c>
      <c r="N381" s="14" t="str">
        <f>'[1]V, inciso p) (OP)'!X182</f>
        <v>SCO100609EVA</v>
      </c>
      <c r="O381" s="15">
        <f t="shared" si="9"/>
        <v>5097355.1500000004</v>
      </c>
      <c r="P381" s="15">
        <v>4987684.67</v>
      </c>
      <c r="Q381" s="21" t="s">
        <v>846</v>
      </c>
      <c r="R381" s="22">
        <f>O381/812</f>
        <v>6277.5309729064047</v>
      </c>
      <c r="S381" s="12" t="s">
        <v>42</v>
      </c>
      <c r="T381" s="17">
        <v>1332272</v>
      </c>
      <c r="U381" s="14" t="s">
        <v>43</v>
      </c>
      <c r="V381" s="12" t="s">
        <v>44</v>
      </c>
      <c r="W381" s="13">
        <v>42929</v>
      </c>
      <c r="X381" s="13">
        <v>42988</v>
      </c>
      <c r="Y381" s="12" t="s">
        <v>794</v>
      </c>
      <c r="Z381" s="12" t="s">
        <v>743</v>
      </c>
      <c r="AA381" s="12" t="s">
        <v>847</v>
      </c>
      <c r="AB381" s="14" t="s">
        <v>1391</v>
      </c>
      <c r="AC381" s="14" t="s">
        <v>125</v>
      </c>
      <c r="AD381" s="14"/>
    </row>
    <row r="382" spans="1:30" ht="80.099999999999994" customHeight="1">
      <c r="A382" s="5">
        <v>99</v>
      </c>
      <c r="B382" s="12">
        <v>2017</v>
      </c>
      <c r="C382" s="14" t="s">
        <v>143</v>
      </c>
      <c r="D382" s="14" t="str">
        <f>'[1]V, inciso p) (OP)'!D183</f>
        <v>DOPI-FED-FORTALECE-PAV-CI-099-2017</v>
      </c>
      <c r="E382" s="13">
        <f>'[1]V, inciso p) (OP)'!AD183</f>
        <v>42929</v>
      </c>
      <c r="F382" s="14" t="str">
        <f>'[1]V, inciso p) (OP)'!AL183</f>
        <v>Reencarpetamiento de la calle Prolongación Pino Suárez con asfalto, de Periférico a Boulevard del Rodeo, tramo 1, en la Colonia el Vigía, en el municipio de Zapopan, Jalisco.</v>
      </c>
      <c r="G382" s="14" t="s">
        <v>416</v>
      </c>
      <c r="H382" s="15">
        <f>'[1]V, inciso p) (OP)'!AJ183</f>
        <v>4135072.71</v>
      </c>
      <c r="I382" s="14" t="str">
        <f>'[1]V, inciso p) (OP)'!AS183</f>
        <v>Colonia el Vigía</v>
      </c>
      <c r="J382" s="14" t="str">
        <f>'[1]V, inciso p) (OP)'!T183</f>
        <v>JOEL</v>
      </c>
      <c r="K382" s="14" t="str">
        <f>'[1]V, inciso p) (OP)'!U183</f>
        <v>ZULOAGA</v>
      </c>
      <c r="L382" s="14" t="str">
        <f>'[1]V, inciso p) (OP)'!V183</f>
        <v>ACEVES</v>
      </c>
      <c r="M382" s="14" t="str">
        <f>'[1]V, inciso p) (OP)'!W183</f>
        <v>TASUM SOLUCIONES EN CONSTRUCCION, S.A. DE C.V.</v>
      </c>
      <c r="N382" s="14" t="str">
        <f>'[1]V, inciso p) (OP)'!X183</f>
        <v>TSC100210E48</v>
      </c>
      <c r="O382" s="15">
        <f t="shared" si="9"/>
        <v>4135072.71</v>
      </c>
      <c r="P382" s="15">
        <v>3943438.52</v>
      </c>
      <c r="Q382" s="21" t="s">
        <v>848</v>
      </c>
      <c r="R382" s="22">
        <f>O382/7080</f>
        <v>584.04981779661011</v>
      </c>
      <c r="S382" s="12" t="s">
        <v>42</v>
      </c>
      <c r="T382" s="17">
        <v>6413</v>
      </c>
      <c r="U382" s="14" t="s">
        <v>43</v>
      </c>
      <c r="V382" s="12" t="s">
        <v>44</v>
      </c>
      <c r="W382" s="13">
        <v>42929</v>
      </c>
      <c r="X382" s="13">
        <v>43003</v>
      </c>
      <c r="Y382" s="12" t="s">
        <v>418</v>
      </c>
      <c r="Z382" s="12" t="s">
        <v>419</v>
      </c>
      <c r="AA382" s="12" t="s">
        <v>420</v>
      </c>
      <c r="AB382" s="14" t="s">
        <v>1392</v>
      </c>
      <c r="AC382" s="14" t="s">
        <v>125</v>
      </c>
      <c r="AD382" s="12"/>
    </row>
    <row r="383" spans="1:30" ht="80.099999999999994" customHeight="1">
      <c r="A383" s="5">
        <v>100</v>
      </c>
      <c r="B383" s="12">
        <v>2017</v>
      </c>
      <c r="C383" s="14" t="s">
        <v>143</v>
      </c>
      <c r="D383" s="14" t="str">
        <f>'[1]V, inciso p) (OP)'!D184</f>
        <v>DOPI-FED-FORTALECE-PAV-CI-100-2017</v>
      </c>
      <c r="E383" s="13">
        <f>'[1]V, inciso p) (OP)'!AD184</f>
        <v>42929</v>
      </c>
      <c r="F383" s="14" t="str">
        <f>'[1]V, inciso p) (OP)'!AL184</f>
        <v>Reencarpetamiento de la calle Melchor Ocampo con asfalto, de Periférico a Boulevard del Rodeo, tramo 1, en la colonia el Vigía, en el municipio de Zapopan, Jalisco.</v>
      </c>
      <c r="G383" s="14" t="s">
        <v>416</v>
      </c>
      <c r="H383" s="15">
        <f>'[1]V, inciso p) (OP)'!AJ184</f>
        <v>2865645.34</v>
      </c>
      <c r="I383" s="14" t="str">
        <f>'[1]V, inciso p) (OP)'!AS184</f>
        <v>Colonia el Vigía</v>
      </c>
      <c r="J383" s="14" t="str">
        <f>'[1]V, inciso p) (OP)'!T184</f>
        <v xml:space="preserve">ARTURO </v>
      </c>
      <c r="K383" s="14" t="str">
        <f>'[1]V, inciso p) (OP)'!U184</f>
        <v>MONTUFAR</v>
      </c>
      <c r="L383" s="14" t="str">
        <f>'[1]V, inciso p) (OP)'!V184</f>
        <v>NUÑEZ</v>
      </c>
      <c r="M383" s="14" t="str">
        <f>'[1]V, inciso p) (OP)'!W184</f>
        <v>VELERO PAVIMENTACION Y CONSTRUCCION S.A. DE C.V.</v>
      </c>
      <c r="N383" s="14" t="str">
        <f>'[1]V, inciso p) (OP)'!X184</f>
        <v>VPC0012148K0</v>
      </c>
      <c r="O383" s="15">
        <f t="shared" si="9"/>
        <v>2865645.34</v>
      </c>
      <c r="P383" s="15">
        <f>O383</f>
        <v>2865645.34</v>
      </c>
      <c r="Q383" s="21" t="s">
        <v>849</v>
      </c>
      <c r="R383" s="22">
        <f>O383/5225</f>
        <v>548.44886889952147</v>
      </c>
      <c r="S383" s="12" t="s">
        <v>42</v>
      </c>
      <c r="T383" s="17">
        <v>6594</v>
      </c>
      <c r="U383" s="14" t="s">
        <v>43</v>
      </c>
      <c r="V383" s="12" t="s">
        <v>378</v>
      </c>
      <c r="W383" s="13">
        <v>42929</v>
      </c>
      <c r="X383" s="13">
        <v>43003</v>
      </c>
      <c r="Y383" s="12" t="s">
        <v>418</v>
      </c>
      <c r="Z383" s="12" t="s">
        <v>419</v>
      </c>
      <c r="AA383" s="12" t="s">
        <v>420</v>
      </c>
      <c r="AB383" s="14" t="s">
        <v>1393</v>
      </c>
      <c r="AC383" s="14" t="s">
        <v>48</v>
      </c>
      <c r="AD383" s="14" t="s">
        <v>1571</v>
      </c>
    </row>
    <row r="384" spans="1:30" ht="80.099999999999994" customHeight="1">
      <c r="A384" s="5">
        <v>101</v>
      </c>
      <c r="B384" s="12">
        <v>2017</v>
      </c>
      <c r="C384" s="14" t="s">
        <v>143</v>
      </c>
      <c r="D384" s="14" t="str">
        <f>'[1]V, inciso p) (OP)'!D185</f>
        <v>DOPI-FED-FORTALECE-PAV-CI-101-2017</v>
      </c>
      <c r="E384" s="13">
        <f>'[1]V, inciso p) (OP)'!AD185</f>
        <v>42929</v>
      </c>
      <c r="F384" s="14" t="str">
        <f>'[1]V, inciso p) (OP)'!AL185</f>
        <v>Construcción de la primera etapa (Reencarpetado) de Av. Acueducto, de Calzada Federalistas a Av. Guadalajara, en la colonia Real del Valle, en el municipio de Zapopan, Jalisco.</v>
      </c>
      <c r="G384" s="14" t="s">
        <v>416</v>
      </c>
      <c r="H384" s="15">
        <f>'[1]V, inciso p) (OP)'!AJ185</f>
        <v>6345107.8499999996</v>
      </c>
      <c r="I384" s="14" t="str">
        <f>'[1]V, inciso p) (OP)'!AS185</f>
        <v>Colonia Real del Valle</v>
      </c>
      <c r="J384" s="14" t="str">
        <f>'[1]V, inciso p) (OP)'!T185</f>
        <v>GUILLERMO</v>
      </c>
      <c r="K384" s="14" t="str">
        <f>'[1]V, inciso p) (OP)'!U185</f>
        <v>LARA</v>
      </c>
      <c r="L384" s="14" t="str">
        <f>'[1]V, inciso p) (OP)'!V185</f>
        <v>VARGAS</v>
      </c>
      <c r="M384" s="14" t="str">
        <f>'[1]V, inciso p) (OP)'!W185</f>
        <v>DESARROLLADORA GLAR, S.A. DE C.V.</v>
      </c>
      <c r="N384" s="14" t="str">
        <f>'[1]V, inciso p) (OP)'!X185</f>
        <v>DGL060620SUA</v>
      </c>
      <c r="O384" s="15">
        <f t="shared" si="9"/>
        <v>6345107.8499999996</v>
      </c>
      <c r="P384" s="15">
        <v>6856820.5</v>
      </c>
      <c r="Q384" s="21" t="s">
        <v>850</v>
      </c>
      <c r="R384" s="22">
        <f>O384/8317</f>
        <v>762.90824215462305</v>
      </c>
      <c r="S384" s="12" t="s">
        <v>42</v>
      </c>
      <c r="T384" s="17">
        <v>8045</v>
      </c>
      <c r="U384" s="14" t="s">
        <v>43</v>
      </c>
      <c r="V384" s="12" t="s">
        <v>44</v>
      </c>
      <c r="W384" s="13">
        <v>42929</v>
      </c>
      <c r="X384" s="13">
        <v>43003</v>
      </c>
      <c r="Y384" s="12" t="s">
        <v>365</v>
      </c>
      <c r="Z384" s="12" t="s">
        <v>366</v>
      </c>
      <c r="AA384" s="12" t="s">
        <v>367</v>
      </c>
      <c r="AB384" s="14" t="s">
        <v>1394</v>
      </c>
      <c r="AC384" s="14" t="s">
        <v>125</v>
      </c>
      <c r="AD384" s="12"/>
    </row>
    <row r="385" spans="1:30" ht="80.099999999999994" customHeight="1">
      <c r="A385" s="5">
        <v>102</v>
      </c>
      <c r="B385" s="12">
        <v>2017</v>
      </c>
      <c r="C385" s="14" t="s">
        <v>143</v>
      </c>
      <c r="D385" s="14" t="str">
        <f>'[1]V, inciso p) (OP)'!D186</f>
        <v>DOPI-FED-FORTALECE-PAV-CI-102-2017</v>
      </c>
      <c r="E385" s="13">
        <f>'[1]V, inciso p) (OP)'!AD186</f>
        <v>42929</v>
      </c>
      <c r="F385" s="14" t="str">
        <f>'[1]V, inciso p) (OP)'!AL186</f>
        <v>Construcción de la calle Prolongación Acueducto con asfalto de Calzada Federalistas (Av. del Valle) a Calzada Federalistas, en la Zona de Santa Margarita (Segunda Etapa), en el municipio de Zapopan, Jalisco.</v>
      </c>
      <c r="G385" s="14" t="s">
        <v>416</v>
      </c>
      <c r="H385" s="15">
        <f>'[1]V, inciso p) (OP)'!AJ186</f>
        <v>6700005.75</v>
      </c>
      <c r="I385" s="14" t="str">
        <f>'[1]V, inciso p) (OP)'!AS186</f>
        <v>Colonia Santa Margarita</v>
      </c>
      <c r="J385" s="14" t="str">
        <f>'[1]V, inciso p) (OP)'!T186</f>
        <v>JOSE ANTONIO</v>
      </c>
      <c r="K385" s="14" t="str">
        <f>'[1]V, inciso p) (OP)'!U186</f>
        <v>ALVAREZ</v>
      </c>
      <c r="L385" s="14" t="str">
        <f>'[1]V, inciso p) (OP)'!V186</f>
        <v>GARCIA</v>
      </c>
      <c r="M385" s="14" t="str">
        <f>'[1]V, inciso p) (OP)'!W186</f>
        <v>URCOMA 1970, S.A. DE C.V.</v>
      </c>
      <c r="N385" s="14" t="str">
        <f>'[1]V, inciso p) (OP)'!X186</f>
        <v>UMN160125869</v>
      </c>
      <c r="O385" s="15">
        <f t="shared" si="9"/>
        <v>6700005.75</v>
      </c>
      <c r="P385" s="15">
        <f>O385</f>
        <v>6700005.75</v>
      </c>
      <c r="Q385" s="21" t="s">
        <v>851</v>
      </c>
      <c r="R385" s="22">
        <f>O385/7420</f>
        <v>902.9657345013477</v>
      </c>
      <c r="S385" s="12" t="s">
        <v>42</v>
      </c>
      <c r="T385" s="17">
        <v>8045</v>
      </c>
      <c r="U385" s="14" t="s">
        <v>43</v>
      </c>
      <c r="V385" s="12" t="s">
        <v>378</v>
      </c>
      <c r="W385" s="13">
        <v>42929</v>
      </c>
      <c r="X385" s="13">
        <v>43003</v>
      </c>
      <c r="Y385" s="12" t="s">
        <v>365</v>
      </c>
      <c r="Z385" s="12" t="s">
        <v>366</v>
      </c>
      <c r="AA385" s="12" t="s">
        <v>367</v>
      </c>
      <c r="AB385" s="14" t="s">
        <v>1395</v>
      </c>
      <c r="AC385" s="14" t="s">
        <v>48</v>
      </c>
      <c r="AD385" s="14" t="s">
        <v>1571</v>
      </c>
    </row>
    <row r="386" spans="1:30" ht="80.099999999999994" customHeight="1">
      <c r="A386" s="5">
        <v>103</v>
      </c>
      <c r="B386" s="12">
        <v>2017</v>
      </c>
      <c r="C386" s="14" t="s">
        <v>31</v>
      </c>
      <c r="D386" s="14" t="str">
        <f>'[1]V, inciso p) (OP)'!D187</f>
        <v>DOPI-FED-PR-PAV-LP-103-2017</v>
      </c>
      <c r="E386" s="13">
        <f>'[1]V, inciso p) (OP)'!AD187</f>
        <v>42972</v>
      </c>
      <c r="F386" s="14" t="str">
        <f>'[1]V, inciso p) (OP)'!AL187</f>
        <v>Construcción de la calle Deli con concreto hidráulico de calle Ozomatli a calle Acatl, en la zona de la Mesa Colorada (segunda etapa), en el municipio de Zapopan, Jalisco.</v>
      </c>
      <c r="G386" s="14" t="s">
        <v>416</v>
      </c>
      <c r="H386" s="15">
        <f>'[1]V, inciso p) (OP)'!AJ187</f>
        <v>3543836.9</v>
      </c>
      <c r="I386" s="14" t="str">
        <f>'[1]V, inciso p) (OP)'!AS187</f>
        <v>Col. Mesa Colorada</v>
      </c>
      <c r="J386" s="14" t="str">
        <f>'[1]V, inciso p) (OP)'!T187</f>
        <v>CARLOS ALBERTO</v>
      </c>
      <c r="K386" s="14" t="str">
        <f>'[1]V, inciso p) (OP)'!U187</f>
        <v>VALENCIA</v>
      </c>
      <c r="L386" s="14" t="str">
        <f>'[1]V, inciso p) (OP)'!V187</f>
        <v>MENCHACA</v>
      </c>
      <c r="M386" s="14" t="str">
        <f>'[1]V, inciso p) (OP)'!W187</f>
        <v>CONSTRUCTORA AUTLENSE, S.A. DE C.V.</v>
      </c>
      <c r="N386" s="14" t="str">
        <f>'[1]V, inciso p) (OP)'!X187</f>
        <v>CAU980304DC0</v>
      </c>
      <c r="O386" s="15">
        <f t="shared" si="9"/>
        <v>3543836.9</v>
      </c>
      <c r="P386" s="15">
        <v>2978440.92</v>
      </c>
      <c r="Q386" s="21" t="s">
        <v>852</v>
      </c>
      <c r="R386" s="22">
        <f>O386/1734</f>
        <v>2043.73523644752</v>
      </c>
      <c r="S386" s="12" t="s">
        <v>42</v>
      </c>
      <c r="T386" s="17">
        <v>1243</v>
      </c>
      <c r="U386" s="14" t="s">
        <v>43</v>
      </c>
      <c r="V386" s="12" t="s">
        <v>378</v>
      </c>
      <c r="W386" s="13">
        <f>'[1]V, inciso p) (OP)'!AM187</f>
        <v>42973</v>
      </c>
      <c r="X386" s="13">
        <f>'[1]V, inciso p) (OP)'!AN187</f>
        <v>43095</v>
      </c>
      <c r="Y386" s="12" t="s">
        <v>350</v>
      </c>
      <c r="Z386" s="12" t="s">
        <v>351</v>
      </c>
      <c r="AA386" s="12" t="s">
        <v>352</v>
      </c>
      <c r="AB386" s="14" t="s">
        <v>1396</v>
      </c>
      <c r="AC386" s="14" t="s">
        <v>48</v>
      </c>
      <c r="AD386" s="14"/>
    </row>
    <row r="387" spans="1:30" ht="80.099999999999994" customHeight="1">
      <c r="A387" s="5">
        <v>104</v>
      </c>
      <c r="B387" s="12">
        <v>2017</v>
      </c>
      <c r="C387" s="14" t="s">
        <v>31</v>
      </c>
      <c r="D387" s="14" t="str">
        <f>'[1]V, inciso p) (OP)'!D188</f>
        <v>DOPI-FED-PR-PAV-LP-104-2017</v>
      </c>
      <c r="E387" s="13">
        <f>'[1]V, inciso p) (OP)'!AD188</f>
        <v>42972</v>
      </c>
      <c r="F387" s="14" t="str">
        <f>'[1]V, inciso p) (OP)'!AL188</f>
        <v>Construcción de la calle Ocampo con concreto hidráulico de Av. Aviación a calle Independencia, en la zona de San Juan de Ocotan (segunda etapa), en el municipio de Zapopan, Jalisco.</v>
      </c>
      <c r="G387" s="14" t="s">
        <v>416</v>
      </c>
      <c r="H387" s="15">
        <f>'[1]V, inciso p) (OP)'!AJ188</f>
        <v>4507662.9800000004</v>
      </c>
      <c r="I387" s="14" t="str">
        <f>'[1]V, inciso p) (OP)'!AS188</f>
        <v>San Juan de Ocotán</v>
      </c>
      <c r="J387" s="14" t="str">
        <f>'[1]V, inciso p) (OP)'!T188</f>
        <v>JUAN JOSÉ</v>
      </c>
      <c r="K387" s="14" t="str">
        <f>'[1]V, inciso p) (OP)'!U188</f>
        <v>GUTIÉRREZ</v>
      </c>
      <c r="L387" s="14" t="str">
        <f>'[1]V, inciso p) (OP)'!V188</f>
        <v>CONTRERAS</v>
      </c>
      <c r="M387" s="14" t="str">
        <f>'[1]V, inciso p) (OP)'!W188</f>
        <v>RENCOIST CONSTRUCCIÓNES, S.A. DE C.V.</v>
      </c>
      <c r="N387" s="14" t="str">
        <f>'[1]V, inciso p) (OP)'!X188</f>
        <v>RCO130920JX9</v>
      </c>
      <c r="O387" s="15">
        <f t="shared" si="9"/>
        <v>4507662.9800000004</v>
      </c>
      <c r="P387" s="15">
        <v>4944901.95</v>
      </c>
      <c r="Q387" s="21" t="s">
        <v>853</v>
      </c>
      <c r="R387" s="22">
        <f>O387/2120</f>
        <v>2126.2561226415096</v>
      </c>
      <c r="S387" s="12" t="s">
        <v>42</v>
      </c>
      <c r="T387" s="17">
        <v>3651</v>
      </c>
      <c r="U387" s="14" t="s">
        <v>43</v>
      </c>
      <c r="V387" s="12" t="s">
        <v>44</v>
      </c>
      <c r="W387" s="13">
        <f>'[1]V, inciso p) (OP)'!AM188</f>
        <v>42972</v>
      </c>
      <c r="X387" s="13">
        <f>'[1]V, inciso p) (OP)'!AN188</f>
        <v>43110</v>
      </c>
      <c r="Y387" s="12" t="s">
        <v>854</v>
      </c>
      <c r="Z387" s="12" t="s">
        <v>583</v>
      </c>
      <c r="AA387" s="12" t="s">
        <v>584</v>
      </c>
      <c r="AB387" s="14" t="s">
        <v>1397</v>
      </c>
      <c r="AC387" s="14" t="s">
        <v>125</v>
      </c>
      <c r="AD387" s="12"/>
    </row>
    <row r="388" spans="1:30" ht="80.099999999999994" customHeight="1">
      <c r="A388" s="5">
        <v>105</v>
      </c>
      <c r="B388" s="12">
        <v>2017</v>
      </c>
      <c r="C388" s="14" t="s">
        <v>31</v>
      </c>
      <c r="D388" s="14" t="str">
        <f>'[1]V, inciso p) (OP)'!D189</f>
        <v>DOPI-FED-PR-PAV-LP-105-2017</v>
      </c>
      <c r="E388" s="13">
        <f>'[1]V, inciso p) (OP)'!AD189</f>
        <v>42972</v>
      </c>
      <c r="F388" s="14" t="str">
        <f>'[1]V, inciso p) (OP)'!AL189</f>
        <v>Pavimentación con concreto hidráulico de la lateral de Avenida Vallarta, entre la Avenida Juan Palomar y Arias y Anillo Periférico, en el municipio de Zapopan, Jalisco.</v>
      </c>
      <c r="G388" s="14" t="s">
        <v>416</v>
      </c>
      <c r="H388" s="15">
        <f>'[1]V, inciso p) (OP)'!AJ189</f>
        <v>6135004.7999999998</v>
      </c>
      <c r="I388" s="14" t="str">
        <f>'[1]V, inciso p) (OP)'!AS189</f>
        <v>Col. Rinconada del Bosque</v>
      </c>
      <c r="J388" s="14" t="str">
        <f>'[1]V, inciso p) (OP)'!T189</f>
        <v>SERGIO CESAR</v>
      </c>
      <c r="K388" s="14" t="str">
        <f>'[1]V, inciso p) (OP)'!U189</f>
        <v>DÍAZ</v>
      </c>
      <c r="L388" s="14" t="str">
        <f>'[1]V, inciso p) (OP)'!V189</f>
        <v>QUIROZ</v>
      </c>
      <c r="M388" s="14" t="str">
        <f>'[1]V, inciso p) (OP)'!W189</f>
        <v>TRANSCRETO S.A. DE C.V.</v>
      </c>
      <c r="N388" s="14" t="str">
        <f>'[1]V, inciso p) (OP)'!X189</f>
        <v>TRA750528286</v>
      </c>
      <c r="O388" s="15">
        <f t="shared" si="9"/>
        <v>6135004.7999999998</v>
      </c>
      <c r="P388" s="15">
        <f>O388</f>
        <v>6135004.7999999998</v>
      </c>
      <c r="Q388" s="21" t="s">
        <v>855</v>
      </c>
      <c r="R388" s="22">
        <f>O388/4746</f>
        <v>1292.6685208596712</v>
      </c>
      <c r="S388" s="12" t="s">
        <v>42</v>
      </c>
      <c r="T388" s="17">
        <v>1332272</v>
      </c>
      <c r="U388" s="14" t="s">
        <v>43</v>
      </c>
      <c r="V388" s="12" t="s">
        <v>378</v>
      </c>
      <c r="W388" s="13">
        <f>'[1]V, inciso p) (OP)'!AM189</f>
        <v>42973</v>
      </c>
      <c r="X388" s="13">
        <f>'[1]V, inciso p) (OP)'!AN189</f>
        <v>43095</v>
      </c>
      <c r="Y388" s="12" t="s">
        <v>385</v>
      </c>
      <c r="Z388" s="12" t="s">
        <v>46</v>
      </c>
      <c r="AA388" s="12" t="s">
        <v>47</v>
      </c>
      <c r="AB388" s="14" t="s">
        <v>1398</v>
      </c>
      <c r="AC388" s="14" t="s">
        <v>48</v>
      </c>
      <c r="AD388" s="14" t="s">
        <v>1571</v>
      </c>
    </row>
    <row r="389" spans="1:30" ht="80.099999999999994" customHeight="1">
      <c r="A389" s="5">
        <v>106</v>
      </c>
      <c r="B389" s="12">
        <v>2017</v>
      </c>
      <c r="C389" s="14" t="s">
        <v>31</v>
      </c>
      <c r="D389" s="14" t="str">
        <f>'[1]V, inciso p) (OP)'!D190</f>
        <v>DOPI-FED-PR-PAV-LP-106-2017</v>
      </c>
      <c r="E389" s="13">
        <f>'[1]V, inciso p) (OP)'!AD190</f>
        <v>42972</v>
      </c>
      <c r="F389" s="14" t="str">
        <f>'[1]V, inciso p) (OP)'!AL190</f>
        <v>Construcción de la calle Ing. Alberto Mora López con concreto hidráulico de calle Elote a calle Ing. Alfonso Padilla, en la zona de la Mesa Colorada (segunda etapa), en el municipio de Zapopan, Jalisco.</v>
      </c>
      <c r="G389" s="14" t="s">
        <v>416</v>
      </c>
      <c r="H389" s="15">
        <f>'[1]V, inciso p) (OP)'!AJ190</f>
        <v>1074481.03</v>
      </c>
      <c r="I389" s="14" t="str">
        <f>'[1]V, inciso p) (OP)'!AS190</f>
        <v>Col. Mesa Colorada</v>
      </c>
      <c r="J389" s="14" t="str">
        <f>'[1]V, inciso p) (OP)'!T190</f>
        <v>JAVIER</v>
      </c>
      <c r="K389" s="14" t="str">
        <f>'[1]V, inciso p) (OP)'!U190</f>
        <v>CAÑEDO</v>
      </c>
      <c r="L389" s="14" t="str">
        <f>'[1]V, inciso p) (OP)'!V190</f>
        <v>ORTEGA</v>
      </c>
      <c r="M389" s="14" t="str">
        <f>'[1]V, inciso p) (OP)'!W190</f>
        <v>CONSTRUCCIONES TECNICAS DE OCCIDENTE, S.A. DE C.V.</v>
      </c>
      <c r="N389" s="14" t="str">
        <f>'[1]V, inciso p) (OP)'!X190</f>
        <v>CTO061116F61</v>
      </c>
      <c r="O389" s="15">
        <f t="shared" si="9"/>
        <v>1074481.03</v>
      </c>
      <c r="P389" s="15">
        <v>1167018.1000000001</v>
      </c>
      <c r="Q389" s="21" t="s">
        <v>856</v>
      </c>
      <c r="R389" s="22">
        <f>O389/441</f>
        <v>2436.4649206349209</v>
      </c>
      <c r="S389" s="12" t="s">
        <v>42</v>
      </c>
      <c r="T389" s="17">
        <v>1433</v>
      </c>
      <c r="U389" s="14" t="s">
        <v>43</v>
      </c>
      <c r="V389" s="12" t="s">
        <v>44</v>
      </c>
      <c r="W389" s="13">
        <f>'[1]V, inciso p) (OP)'!AM190</f>
        <v>42973</v>
      </c>
      <c r="X389" s="13">
        <f>'[1]V, inciso p) (OP)'!AN190</f>
        <v>43095</v>
      </c>
      <c r="Y389" s="12" t="s">
        <v>350</v>
      </c>
      <c r="Z389" s="12" t="s">
        <v>351</v>
      </c>
      <c r="AA389" s="12" t="s">
        <v>352</v>
      </c>
      <c r="AB389" s="14" t="s">
        <v>1399</v>
      </c>
      <c r="AC389" s="14" t="s">
        <v>125</v>
      </c>
      <c r="AD389" s="12"/>
    </row>
    <row r="390" spans="1:30" ht="80.099999999999994" customHeight="1">
      <c r="A390" s="5">
        <v>107</v>
      </c>
      <c r="B390" s="12">
        <v>2017</v>
      </c>
      <c r="C390" s="14" t="s">
        <v>31</v>
      </c>
      <c r="D390" s="14" t="str">
        <f>'[1]V, inciso p) (OP)'!D191</f>
        <v>DOPI-FED-PR-PAV-LP-107-2017</v>
      </c>
      <c r="E390" s="13">
        <f>'[1]V, inciso p) (OP)'!AD191</f>
        <v>42972</v>
      </c>
      <c r="F390" s="14" t="str">
        <f>'[1]V, inciso p) (OP)'!AL191</f>
        <v>Construcción de la calle Prolongación Acueducto con concreto hidráulico de Av. Santa Margarita a Av. Santa Esther, en la zona de Santa Margarita (segunda etapa), en el municipio de Zapopan, Jalisco.</v>
      </c>
      <c r="G390" s="14" t="s">
        <v>416</v>
      </c>
      <c r="H390" s="15">
        <f>'[1]V, inciso p) (OP)'!AJ191</f>
        <v>8061619.2000000002</v>
      </c>
      <c r="I390" s="14" t="str">
        <f>'[1]V, inciso p) (OP)'!AS191</f>
        <v>Col. Santa Margarita</v>
      </c>
      <c r="J390" s="14" t="str">
        <f>'[1]V, inciso p) (OP)'!T191</f>
        <v>CARLOS IGNACIO</v>
      </c>
      <c r="K390" s="14" t="str">
        <f>'[1]V, inciso p) (OP)'!U191</f>
        <v>CURIEL</v>
      </c>
      <c r="L390" s="14" t="str">
        <f>'[1]V, inciso p) (OP)'!V191</f>
        <v>DUEÑAS</v>
      </c>
      <c r="M390" s="14" t="str">
        <f>'[1]V, inciso p) (OP)'!W191</f>
        <v>CONSTRUCTORA CECUCHI, S.A. DE C.V.</v>
      </c>
      <c r="N390" s="14" t="str">
        <f>'[1]V, inciso p) (OP)'!X191</f>
        <v>CCE130723IR7</v>
      </c>
      <c r="O390" s="15">
        <f t="shared" si="9"/>
        <v>8061619.2000000002</v>
      </c>
      <c r="P390" s="15">
        <v>8344304.7599999998</v>
      </c>
      <c r="Q390" s="21" t="s">
        <v>857</v>
      </c>
      <c r="R390" s="22">
        <f>O390/3145</f>
        <v>2563.3129411764708</v>
      </c>
      <c r="S390" s="12" t="s">
        <v>42</v>
      </c>
      <c r="T390" s="17">
        <v>12665</v>
      </c>
      <c r="U390" s="14" t="s">
        <v>43</v>
      </c>
      <c r="V390" s="12" t="s">
        <v>44</v>
      </c>
      <c r="W390" s="13">
        <f>'[1]V, inciso p) (OP)'!AM191</f>
        <v>42973</v>
      </c>
      <c r="X390" s="13">
        <f>'[1]V, inciso p) (OP)'!AN191</f>
        <v>43095</v>
      </c>
      <c r="Y390" s="12" t="s">
        <v>365</v>
      </c>
      <c r="Z390" s="12" t="s">
        <v>366</v>
      </c>
      <c r="AA390" s="12" t="s">
        <v>367</v>
      </c>
      <c r="AB390" s="14" t="s">
        <v>1400</v>
      </c>
      <c r="AC390" s="14" t="s">
        <v>125</v>
      </c>
      <c r="AD390" s="12"/>
    </row>
    <row r="391" spans="1:30" ht="80.099999999999994" customHeight="1">
      <c r="A391" s="5">
        <v>108</v>
      </c>
      <c r="B391" s="12">
        <v>2017</v>
      </c>
      <c r="C391" s="14" t="s">
        <v>31</v>
      </c>
      <c r="D391" s="14" t="str">
        <f>'[1]V, inciso p) (OP)'!D192</f>
        <v>DOPI-FED-PR-PAV-LP-108-2017</v>
      </c>
      <c r="E391" s="13">
        <f>'[1]V, inciso p) (OP)'!AD192</f>
        <v>42972</v>
      </c>
      <c r="F391" s="14" t="str">
        <f>'[1]V, inciso p) (OP)'!AL192</f>
        <v>Construcción de la calle Ozomatli con concreto hidráulico de calle Cholollan a calle Deli, en la zona de la Mesa Colorada (segunda etapa), en el municipio de Zapopan, Jalisco.</v>
      </c>
      <c r="G391" s="14" t="s">
        <v>416</v>
      </c>
      <c r="H391" s="15">
        <f>'[1]V, inciso p) (OP)'!AJ192</f>
        <v>5305113.72</v>
      </c>
      <c r="I391" s="14" t="str">
        <f>'[1]V, inciso p) (OP)'!AS192</f>
        <v>Col. Mesa Colorada</v>
      </c>
      <c r="J391" s="14" t="str">
        <f>'[1]V, inciso p) (OP)'!T192</f>
        <v>ARTURO</v>
      </c>
      <c r="K391" s="14" t="str">
        <f>'[1]V, inciso p) (OP)'!U192</f>
        <v>SARMIENTO</v>
      </c>
      <c r="L391" s="14" t="str">
        <f>'[1]V, inciso p) (OP)'!V192</f>
        <v>SÁNCHEZ</v>
      </c>
      <c r="M391" s="14" t="str">
        <f>'[1]V, inciso p) (OP)'!W192</f>
        <v>CONSTRUBRAVO, S.A. DE C.V.</v>
      </c>
      <c r="N391" s="14" t="str">
        <f>'[1]V, inciso p) (OP)'!X192</f>
        <v>CON020208696</v>
      </c>
      <c r="O391" s="15">
        <f t="shared" si="9"/>
        <v>5305113.72</v>
      </c>
      <c r="P391" s="15">
        <v>5545096.7400000002</v>
      </c>
      <c r="Q391" s="21" t="s">
        <v>858</v>
      </c>
      <c r="R391" s="22">
        <f>O391/2112</f>
        <v>2511.8909659090909</v>
      </c>
      <c r="S391" s="12" t="s">
        <v>42</v>
      </c>
      <c r="T391" s="17">
        <v>2036</v>
      </c>
      <c r="U391" s="14" t="s">
        <v>43</v>
      </c>
      <c r="V391" s="12" t="s">
        <v>44</v>
      </c>
      <c r="W391" s="13">
        <f>'[1]V, inciso p) (OP)'!AM192</f>
        <v>42973</v>
      </c>
      <c r="X391" s="13">
        <f>'[1]V, inciso p) (OP)'!AN192</f>
        <v>43095</v>
      </c>
      <c r="Y391" s="12" t="s">
        <v>350</v>
      </c>
      <c r="Z391" s="12" t="s">
        <v>351</v>
      </c>
      <c r="AA391" s="12" t="s">
        <v>352</v>
      </c>
      <c r="AB391" s="14" t="s">
        <v>1401</v>
      </c>
      <c r="AC391" s="14" t="s">
        <v>125</v>
      </c>
      <c r="AD391" s="12"/>
    </row>
    <row r="392" spans="1:30" ht="80.099999999999994" customHeight="1">
      <c r="A392" s="5">
        <v>109</v>
      </c>
      <c r="B392" s="12">
        <v>2017</v>
      </c>
      <c r="C392" s="14" t="s">
        <v>31</v>
      </c>
      <c r="D392" s="14" t="str">
        <f>'[1]V, inciso p) (OP)'!D193</f>
        <v>DOPI-FED-PR-PAV-LP-109-2017</v>
      </c>
      <c r="E392" s="13">
        <f>'[1]V, inciso p) (OP)'!AD193</f>
        <v>42972</v>
      </c>
      <c r="F392" s="14" t="str">
        <f>'[1]V, inciso p) (OP)'!AL193</f>
        <v>Construcción de la calle Ocampo con concreto hidráulico de calle Independencia a calle Parral, en la zona de San Juan de Ocotan (segunda etapa), en el municipio de Zapopan, Jalisco.</v>
      </c>
      <c r="G392" s="14" t="s">
        <v>416</v>
      </c>
      <c r="H392" s="15">
        <f>'[1]V, inciso p) (OP)'!AJ193</f>
        <v>4728157.01</v>
      </c>
      <c r="I392" s="14" t="str">
        <f>'[1]V, inciso p) (OP)'!AS193</f>
        <v>San Juan de Ocotán</v>
      </c>
      <c r="J392" s="14" t="str">
        <f>'[1]V, inciso p) (OP)'!T193</f>
        <v>FRANCISCO JAVIER</v>
      </c>
      <c r="K392" s="14" t="str">
        <f>'[1]V, inciso p) (OP)'!U193</f>
        <v>DÍAZ</v>
      </c>
      <c r="L392" s="14" t="str">
        <f>'[1]V, inciso p) (OP)'!V193</f>
        <v>RUÍZ</v>
      </c>
      <c r="M392" s="14" t="str">
        <f>'[1]V, inciso p) (OP)'!W193</f>
        <v>CONSTRUCTORA DIRU, S.A. DE C.V.</v>
      </c>
      <c r="N392" s="14" t="str">
        <f>'[1]V, inciso p) (OP)'!X193</f>
        <v>CDI950714B79</v>
      </c>
      <c r="O392" s="15">
        <f t="shared" si="9"/>
        <v>4728157.01</v>
      </c>
      <c r="P392" s="15">
        <v>4945095.41</v>
      </c>
      <c r="Q392" s="21" t="s">
        <v>859</v>
      </c>
      <c r="R392" s="22">
        <f>O392/2238</f>
        <v>2112.6706925826629</v>
      </c>
      <c r="S392" s="12" t="s">
        <v>42</v>
      </c>
      <c r="T392" s="17">
        <f>T387</f>
        <v>3651</v>
      </c>
      <c r="U392" s="14" t="s">
        <v>43</v>
      </c>
      <c r="V392" s="12" t="s">
        <v>44</v>
      </c>
      <c r="W392" s="13">
        <f>'[1]V, inciso p) (OP)'!AM193</f>
        <v>42973</v>
      </c>
      <c r="X392" s="13">
        <f>'[1]V, inciso p) (OP)'!AN193</f>
        <v>43095</v>
      </c>
      <c r="Y392" s="12" t="s">
        <v>854</v>
      </c>
      <c r="Z392" s="12" t="s">
        <v>583</v>
      </c>
      <c r="AA392" s="12" t="s">
        <v>584</v>
      </c>
      <c r="AB392" s="14" t="s">
        <v>1402</v>
      </c>
      <c r="AC392" s="14" t="s">
        <v>125</v>
      </c>
      <c r="AD392" s="14"/>
    </row>
    <row r="393" spans="1:30" ht="80.099999999999994" customHeight="1">
      <c r="A393" s="5">
        <v>110</v>
      </c>
      <c r="B393" s="12">
        <v>2017</v>
      </c>
      <c r="C393" s="14" t="s">
        <v>31</v>
      </c>
      <c r="D393" s="14" t="str">
        <f>'[1]V, inciso p) (OP)'!D194</f>
        <v>DOPI-FED-PR-PAV-LP-110-2017</v>
      </c>
      <c r="E393" s="13">
        <f>'[1]V, inciso p) (OP)'!AD194</f>
        <v>42972</v>
      </c>
      <c r="F393" s="14" t="str">
        <f>'[1]V, inciso p) (OP)'!AL194</f>
        <v>Construcción de la calle Tulipanes con concreto hidráulico de Prolongación Acueducto a Av. Santa Margarita, en la zona de Santa Margarita (segunda etapa), en el municipio de Zapopan, Jalisco.</v>
      </c>
      <c r="G393" s="14" t="s">
        <v>416</v>
      </c>
      <c r="H393" s="15">
        <f>'[1]V, inciso p) (OP)'!AJ194</f>
        <v>4477432.29</v>
      </c>
      <c r="I393" s="14" t="str">
        <f>'[1]V, inciso p) (OP)'!AS194</f>
        <v>Col. Santa Margarita</v>
      </c>
      <c r="J393" s="14" t="str">
        <f>'[1]V, inciso p) (OP)'!T194</f>
        <v>HAYDEE LILIANA</v>
      </c>
      <c r="K393" s="14" t="str">
        <f>'[1]V, inciso p) (OP)'!U194</f>
        <v>AGUILAR</v>
      </c>
      <c r="L393" s="14" t="str">
        <f>'[1]V, inciso p) (OP)'!V194</f>
        <v>CASSIAN</v>
      </c>
      <c r="M393" s="14" t="str">
        <f>'[1]V, inciso p) (OP)'!W194</f>
        <v>EDIFICA 2001, S.A. DE C.V.</v>
      </c>
      <c r="N393" s="14" t="str">
        <f>'[1]V, inciso p) (OP)'!X194</f>
        <v>EDM970225I68</v>
      </c>
      <c r="O393" s="15">
        <f t="shared" si="9"/>
        <v>4477432.29</v>
      </c>
      <c r="P393" s="15">
        <v>3943001.55</v>
      </c>
      <c r="Q393" s="21" t="s">
        <v>860</v>
      </c>
      <c r="R393" s="22">
        <f>O393/1973</f>
        <v>2269.3524024328435</v>
      </c>
      <c r="S393" s="12" t="s">
        <v>42</v>
      </c>
      <c r="T393" s="17">
        <v>7422</v>
      </c>
      <c r="U393" s="14" t="s">
        <v>43</v>
      </c>
      <c r="V393" s="12" t="s">
        <v>44</v>
      </c>
      <c r="W393" s="13">
        <f>'[1]V, inciso p) (OP)'!AM194</f>
        <v>42973</v>
      </c>
      <c r="X393" s="13">
        <f>'[1]V, inciso p) (OP)'!AN194</f>
        <v>43095</v>
      </c>
      <c r="Y393" s="12" t="s">
        <v>365</v>
      </c>
      <c r="Z393" s="12" t="s">
        <v>366</v>
      </c>
      <c r="AA393" s="12" t="s">
        <v>367</v>
      </c>
      <c r="AB393" s="14"/>
      <c r="AC393" s="14" t="s">
        <v>125</v>
      </c>
      <c r="AD393" s="14"/>
    </row>
    <row r="394" spans="1:30" ht="80.099999999999994" customHeight="1">
      <c r="A394" s="5">
        <v>111</v>
      </c>
      <c r="B394" s="12">
        <v>2017</v>
      </c>
      <c r="C394" s="14" t="s">
        <v>31</v>
      </c>
      <c r="D394" s="14" t="str">
        <f>'[1]V, inciso p) (OP)'!D195</f>
        <v>DOPI-FED-PR-PAV-LP-111-2017</v>
      </c>
      <c r="E394" s="13">
        <f>'[1]V, inciso p) (OP)'!AD195</f>
        <v>42972</v>
      </c>
      <c r="F394" s="14" t="str">
        <f>'[1]V, inciso p) (OP)'!AL195</f>
        <v>Construcción de la calle Magnolia con concreto hidráulico de Prolongación Acueducto a Av. Santa Margarita, en la zona de Santa Margarita (segunda etapa), en el municipio de Zapopan, Jalisco.</v>
      </c>
      <c r="G394" s="14" t="s">
        <v>416</v>
      </c>
      <c r="H394" s="15">
        <f>'[1]V, inciso p) (OP)'!AJ195</f>
        <v>6757768.5199999996</v>
      </c>
      <c r="I394" s="14" t="str">
        <f>'[1]V, inciso p) (OP)'!AS195</f>
        <v>Col. Santa Margarita</v>
      </c>
      <c r="J394" s="14" t="str">
        <f>'[1]V, inciso p) (OP)'!T195</f>
        <v>ANDRÉS EDUARDO</v>
      </c>
      <c r="K394" s="14" t="str">
        <f>'[1]V, inciso p) (OP)'!U195</f>
        <v>ACEVES</v>
      </c>
      <c r="L394" s="14" t="str">
        <f>'[1]V, inciso p) (OP)'!V195</f>
        <v>CASTAÑEDA</v>
      </c>
      <c r="M394" s="14" t="str">
        <f>'[1]V, inciso p) (OP)'!W195</f>
        <v>SECRI CONSTRUCTORA, S.A. DE C.V.</v>
      </c>
      <c r="N394" s="14" t="str">
        <f>'[1]V, inciso p) (OP)'!X195</f>
        <v>SCO100609EVA</v>
      </c>
      <c r="O394" s="15">
        <f t="shared" si="9"/>
        <v>6757768.5199999996</v>
      </c>
      <c r="P394" s="15">
        <v>5097419.46</v>
      </c>
      <c r="Q394" s="21" t="s">
        <v>861</v>
      </c>
      <c r="R394" s="22">
        <f>O394/3358</f>
        <v>2012.4385110184633</v>
      </c>
      <c r="S394" s="12" t="s">
        <v>42</v>
      </c>
      <c r="T394" s="17">
        <v>8369</v>
      </c>
      <c r="U394" s="14" t="s">
        <v>43</v>
      </c>
      <c r="V394" s="12" t="s">
        <v>44</v>
      </c>
      <c r="W394" s="13">
        <f>'[1]V, inciso p) (OP)'!AM195</f>
        <v>42973</v>
      </c>
      <c r="X394" s="13">
        <f>'[1]V, inciso p) (OP)'!AN195</f>
        <v>43095</v>
      </c>
      <c r="Y394" s="12" t="s">
        <v>365</v>
      </c>
      <c r="Z394" s="12" t="s">
        <v>366</v>
      </c>
      <c r="AA394" s="12" t="s">
        <v>367</v>
      </c>
      <c r="AB394" s="14" t="s">
        <v>1403</v>
      </c>
      <c r="AC394" s="14" t="s">
        <v>125</v>
      </c>
      <c r="AD394" s="14"/>
    </row>
    <row r="395" spans="1:30" ht="80.099999999999994" customHeight="1">
      <c r="A395" s="5">
        <v>112</v>
      </c>
      <c r="B395" s="12">
        <v>2017</v>
      </c>
      <c r="C395" s="14" t="s">
        <v>143</v>
      </c>
      <c r="D395" s="14" t="str">
        <f>'[1]V, inciso p) (OP)'!D196</f>
        <v>DOPI-MUN-R33R-DS-CI-112-2017</v>
      </c>
      <c r="E395" s="13">
        <f>'[1]V, inciso p) (OP)'!AD196</f>
        <v>42985</v>
      </c>
      <c r="F395" s="14" t="s">
        <v>862</v>
      </c>
      <c r="G395" s="14" t="s">
        <v>841</v>
      </c>
      <c r="H395" s="15">
        <f>'[1]V, inciso p) (OP)'!AJ196</f>
        <v>2089350.02</v>
      </c>
      <c r="I395" s="14" t="str">
        <f>'[1]V, inciso p) (OP)'!AS196</f>
        <v>Colonia Pedregal de Milpillas</v>
      </c>
      <c r="J395" s="14" t="str">
        <f>'[1]V, inciso p) (OP)'!T196</f>
        <v>ERICK</v>
      </c>
      <c r="K395" s="14" t="str">
        <f>'[1]V, inciso p) (OP)'!U196</f>
        <v>VILLASEÑOR</v>
      </c>
      <c r="L395" s="14" t="str">
        <f>'[1]V, inciso p) (OP)'!V196</f>
        <v>GUTIÉRREZ</v>
      </c>
      <c r="M395" s="14" t="str">
        <f>'[1]V, inciso p) (OP)'!W196</f>
        <v>PIXIDE CONSTRUCTORA, S.A. DE C.V.</v>
      </c>
      <c r="N395" s="14" t="str">
        <f>'[1]V, inciso p) (OP)'!X196</f>
        <v>PCO140829425</v>
      </c>
      <c r="O395" s="15">
        <f t="shared" si="9"/>
        <v>2089350.02</v>
      </c>
      <c r="P395" s="15">
        <v>2089349.9900000002</v>
      </c>
      <c r="Q395" s="21" t="s">
        <v>863</v>
      </c>
      <c r="R395" s="22">
        <f>O395/536</f>
        <v>3898.0410820895522</v>
      </c>
      <c r="S395" s="12" t="s">
        <v>42</v>
      </c>
      <c r="T395" s="17">
        <v>110</v>
      </c>
      <c r="U395" s="14" t="s">
        <v>43</v>
      </c>
      <c r="V395" s="12" t="s">
        <v>44</v>
      </c>
      <c r="W395" s="13">
        <f>'[1]V, inciso p) (OP)'!AM196</f>
        <v>42986</v>
      </c>
      <c r="X395" s="13">
        <f>'[1]V, inciso p) (OP)'!AN196</f>
        <v>43060</v>
      </c>
      <c r="Y395" s="12" t="s">
        <v>468</v>
      </c>
      <c r="Z395" s="12" t="s">
        <v>307</v>
      </c>
      <c r="AA395" s="12" t="s">
        <v>308</v>
      </c>
      <c r="AB395" s="14" t="s">
        <v>1404</v>
      </c>
      <c r="AC395" s="14" t="s">
        <v>125</v>
      </c>
      <c r="AD395" s="14"/>
    </row>
    <row r="396" spans="1:30" ht="80.099999999999994" customHeight="1">
      <c r="A396" s="5">
        <v>113</v>
      </c>
      <c r="B396" s="12">
        <v>2017</v>
      </c>
      <c r="C396" s="14" t="s">
        <v>143</v>
      </c>
      <c r="D396" s="14" t="str">
        <f>'[1]V, inciso p) (OP)'!D197</f>
        <v>DOPI-MUN-R33R-IH-CI-113-2017</v>
      </c>
      <c r="E396" s="13">
        <f>'[1]V, inciso p) (OP)'!AD197</f>
        <v>42985</v>
      </c>
      <c r="F396" s="14" t="s">
        <v>864</v>
      </c>
      <c r="G396" s="14" t="s">
        <v>841</v>
      </c>
      <c r="H396" s="15">
        <f>'[1]V, inciso p) (OP)'!AJ197</f>
        <v>2233095.61</v>
      </c>
      <c r="I396" s="14" t="str">
        <f>'[1]V, inciso p) (OP)'!AS197</f>
        <v>Colonia Revolución</v>
      </c>
      <c r="J396" s="14" t="str">
        <f>'[1]V, inciso p) (OP)'!T197</f>
        <v>ADALBERTO</v>
      </c>
      <c r="K396" s="14" t="str">
        <f>'[1]V, inciso p) (OP)'!U197</f>
        <v>MEDINA</v>
      </c>
      <c r="L396" s="14" t="str">
        <f>'[1]V, inciso p) (OP)'!V197</f>
        <v>MORALES</v>
      </c>
      <c r="M396" s="14" t="str">
        <f>'[1]V, inciso p) (OP)'!W197</f>
        <v>URDEM, S.A. DE C.V.</v>
      </c>
      <c r="N396" s="14" t="str">
        <f>'[1]V, inciso p) (OP)'!X197</f>
        <v>URD130830U21</v>
      </c>
      <c r="O396" s="15">
        <f t="shared" si="9"/>
        <v>2233095.61</v>
      </c>
      <c r="P396" s="15">
        <v>2161706.77</v>
      </c>
      <c r="Q396" s="21" t="s">
        <v>865</v>
      </c>
      <c r="R396" s="22">
        <f>O396/384</f>
        <v>5815.353151041666</v>
      </c>
      <c r="S396" s="12" t="s">
        <v>42</v>
      </c>
      <c r="T396" s="17">
        <v>136</v>
      </c>
      <c r="U396" s="14" t="s">
        <v>43</v>
      </c>
      <c r="V396" s="12" t="s">
        <v>378</v>
      </c>
      <c r="W396" s="13">
        <f>'[1]V, inciso p) (OP)'!AM197</f>
        <v>42986</v>
      </c>
      <c r="X396" s="13">
        <f>'[1]V, inciso p) (OP)'!AN197</f>
        <v>43060</v>
      </c>
      <c r="Y396" s="12" t="s">
        <v>830</v>
      </c>
      <c r="Z396" s="12" t="s">
        <v>831</v>
      </c>
      <c r="AA396" s="12" t="s">
        <v>134</v>
      </c>
      <c r="AB396" s="14" t="s">
        <v>1405</v>
      </c>
      <c r="AC396" s="14" t="s">
        <v>48</v>
      </c>
      <c r="AD396" s="14"/>
    </row>
    <row r="397" spans="1:30" ht="80.099999999999994" customHeight="1">
      <c r="A397" s="5">
        <v>114</v>
      </c>
      <c r="B397" s="12">
        <v>2017</v>
      </c>
      <c r="C397" s="14" t="s">
        <v>31</v>
      </c>
      <c r="D397" s="14" t="str">
        <f>'[1]V, inciso p) (OP)'!D198</f>
        <v>DOPI-EST-FOCOCI-IU-LP-114-2017</v>
      </c>
      <c r="E397" s="13">
        <f>'[1]V, inciso p) (OP)'!AD198</f>
        <v>42972</v>
      </c>
      <c r="F397" s="14" t="str">
        <f>'[1]V, inciso p) (OP)'!AL198</f>
        <v>Construcción de Centro Comunitario San Juan de Ocotán, en el municipio de Zapopan, Jalisco.</v>
      </c>
      <c r="G397" s="14" t="s">
        <v>437</v>
      </c>
      <c r="H397" s="15">
        <f>'[1]V, inciso p) (OP)'!AJ198</f>
        <v>8779696.0700000003</v>
      </c>
      <c r="I397" s="14" t="str">
        <f>'[1]V, inciso p) (OP)'!AS198</f>
        <v>San Juan de Ocotán</v>
      </c>
      <c r="J397" s="14" t="str">
        <f>'[1]V, inciso p) (OP)'!T198</f>
        <v>JOSÉ ANTONIO</v>
      </c>
      <c r="K397" s="14" t="str">
        <f>'[1]V, inciso p) (OP)'!U198</f>
        <v>CISNEROS</v>
      </c>
      <c r="L397" s="14" t="str">
        <f>'[1]V, inciso p) (OP)'!V198</f>
        <v>CASTILLO</v>
      </c>
      <c r="M397" s="14" t="str">
        <f>'[1]V, inciso p) (OP)'!W198</f>
        <v>AXIOMA PROYECTOS E INGENIERIA, S.A. DE C.V.</v>
      </c>
      <c r="N397" s="14" t="str">
        <f>'[1]V, inciso p) (OP)'!X198</f>
        <v>APE111122MI0</v>
      </c>
      <c r="O397" s="15">
        <f t="shared" si="9"/>
        <v>8779696.0700000003</v>
      </c>
      <c r="P397" s="15">
        <v>9799999</v>
      </c>
      <c r="Q397" s="21" t="s">
        <v>866</v>
      </c>
      <c r="R397" s="22">
        <f>O397/1316</f>
        <v>6671.5015729483284</v>
      </c>
      <c r="S397" s="12" t="s">
        <v>42</v>
      </c>
      <c r="T397" s="17">
        <v>28652</v>
      </c>
      <c r="U397" s="14" t="s">
        <v>43</v>
      </c>
      <c r="V397" s="12" t="s">
        <v>44</v>
      </c>
      <c r="W397" s="13">
        <f>'[1]V, inciso p) (OP)'!AM198</f>
        <v>42972</v>
      </c>
      <c r="X397" s="13">
        <f>'[1]V, inciso p) (OP)'!AN198</f>
        <v>43077</v>
      </c>
      <c r="Y397" s="12" t="s">
        <v>718</v>
      </c>
      <c r="Z397" s="12" t="s">
        <v>867</v>
      </c>
      <c r="AA397" s="12" t="s">
        <v>134</v>
      </c>
      <c r="AB397" s="14" t="s">
        <v>1406</v>
      </c>
      <c r="AC397" s="14" t="s">
        <v>125</v>
      </c>
      <c r="AD397" s="12"/>
    </row>
    <row r="398" spans="1:30" ht="80.099999999999994" customHeight="1">
      <c r="A398" s="5">
        <v>115</v>
      </c>
      <c r="B398" s="12">
        <v>2017</v>
      </c>
      <c r="C398" s="14" t="s">
        <v>31</v>
      </c>
      <c r="D398" s="14" t="str">
        <f>'[1]V, inciso p) (OP)'!D199</f>
        <v>DOPI-EST-CM-PAV-LP-115-2017</v>
      </c>
      <c r="E398" s="13">
        <f>'[1]V, inciso p) (OP)'!AD199</f>
        <v>42972</v>
      </c>
      <c r="F398" s="14" t="str">
        <f>'[1]V, inciso p) (OP)'!AL199</f>
        <v>Renovación urbana en área habitacional y de zona comercial de solución vial Parres Arias, en el municipio de Zapopan, Jalisco, frente 1.</v>
      </c>
      <c r="G398" s="14" t="s">
        <v>437</v>
      </c>
      <c r="H398" s="15">
        <f>'[1]V, inciso p) (OP)'!AJ199</f>
        <v>15421203.91</v>
      </c>
      <c r="I398" s="14" t="str">
        <f>'[1]V, inciso p) (OP)'!AS199</f>
        <v>Parque Industrial Los Belenes</v>
      </c>
      <c r="J398" s="14" t="str">
        <f>'[1]V, inciso p) (OP)'!T199</f>
        <v>IGNACIO JAVIER</v>
      </c>
      <c r="K398" s="14" t="str">
        <f>'[1]V, inciso p) (OP)'!U199</f>
        <v>CURIEL</v>
      </c>
      <c r="L398" s="14" t="str">
        <f>'[1]V, inciso p) (OP)'!V199</f>
        <v>DUEÑAS</v>
      </c>
      <c r="M398" s="14" t="str">
        <f>'[1]V, inciso p) (OP)'!W199</f>
        <v>TC CONSTRUCCIÓN Y MANTENIMIENTO, S.A. DE C.V.</v>
      </c>
      <c r="N398" s="14" t="str">
        <f>'[1]V, inciso p) (OP)'!X199</f>
        <v>TCM100915HA1</v>
      </c>
      <c r="O398" s="15">
        <f t="shared" si="9"/>
        <v>15421203.91</v>
      </c>
      <c r="P398" s="15">
        <f>O398</f>
        <v>15421203.91</v>
      </c>
      <c r="Q398" s="21" t="s">
        <v>868</v>
      </c>
      <c r="R398" s="22">
        <f>O398/957</f>
        <v>16114.110668756532</v>
      </c>
      <c r="S398" s="12" t="s">
        <v>42</v>
      </c>
      <c r="T398" s="17">
        <v>1332272</v>
      </c>
      <c r="U398" s="14" t="s">
        <v>43</v>
      </c>
      <c r="V398" s="12" t="s">
        <v>378</v>
      </c>
      <c r="W398" s="13">
        <f>'[1]V, inciso p) (OP)'!AM199</f>
        <v>42972</v>
      </c>
      <c r="X398" s="13">
        <f>'[1]V, inciso p) (OP)'!AN199</f>
        <v>43093</v>
      </c>
      <c r="Y398" s="12" t="s">
        <v>869</v>
      </c>
      <c r="Z398" s="12" t="s">
        <v>743</v>
      </c>
      <c r="AA398" s="12" t="s">
        <v>744</v>
      </c>
      <c r="AB398" s="14" t="s">
        <v>1407</v>
      </c>
      <c r="AC398" s="14" t="s">
        <v>48</v>
      </c>
      <c r="AD398" s="14" t="s">
        <v>1571</v>
      </c>
    </row>
    <row r="399" spans="1:30" ht="80.099999999999994" customHeight="1">
      <c r="A399" s="5">
        <v>116</v>
      </c>
      <c r="B399" s="12">
        <v>2017</v>
      </c>
      <c r="C399" s="14" t="s">
        <v>31</v>
      </c>
      <c r="D399" s="14" t="str">
        <f>'[1]V, inciso p) (OP)'!D200</f>
        <v>DOPI-EST-CM-PAV-LP-116-2017</v>
      </c>
      <c r="E399" s="13">
        <f>'[1]V, inciso p) (OP)'!AD200</f>
        <v>42972</v>
      </c>
      <c r="F399" s="14" t="str">
        <f>'[1]V, inciso p) (OP)'!AL200</f>
        <v>Renovación urbana en área habitacional y de zona comercial de solución vial Parres Arias, en el municipio de Zapopan, Jalisco, frente 2.</v>
      </c>
      <c r="G399" s="14" t="s">
        <v>437</v>
      </c>
      <c r="H399" s="15">
        <f>'[1]V, inciso p) (OP)'!AJ200</f>
        <v>15180002.890000001</v>
      </c>
      <c r="I399" s="14" t="str">
        <f>'[1]V, inciso p) (OP)'!AS200</f>
        <v>Parque Industrial Los Belenes</v>
      </c>
      <c r="J399" s="14" t="str">
        <f>'[1]V, inciso p) (OP)'!T200</f>
        <v>RODRIGO</v>
      </c>
      <c r="K399" s="14" t="str">
        <f>'[1]V, inciso p) (OP)'!U200</f>
        <v>RAMOS</v>
      </c>
      <c r="L399" s="14" t="str">
        <f>'[1]V, inciso p) (OP)'!V200</f>
        <v>GARIBI</v>
      </c>
      <c r="M399" s="14" t="str">
        <f>'[1]V, inciso p) (OP)'!W200</f>
        <v>CINCO CONTEMPORANEA, S.A. DE C.V.</v>
      </c>
      <c r="N399" s="14" t="str">
        <f>'[1]V, inciso p) (OP)'!X200</f>
        <v>CCO990211T64</v>
      </c>
      <c r="O399" s="15">
        <f t="shared" si="9"/>
        <v>15180002.890000001</v>
      </c>
      <c r="P399" s="15">
        <f>O399</f>
        <v>15180002.890000001</v>
      </c>
      <c r="Q399" s="21" t="s">
        <v>868</v>
      </c>
      <c r="R399" s="22">
        <f>O399/957</f>
        <v>15862.071985370951</v>
      </c>
      <c r="S399" s="12" t="s">
        <v>42</v>
      </c>
      <c r="T399" s="17">
        <v>1332272</v>
      </c>
      <c r="U399" s="14" t="s">
        <v>43</v>
      </c>
      <c r="V399" s="12" t="s">
        <v>378</v>
      </c>
      <c r="W399" s="13">
        <f>'[1]V, inciso p) (OP)'!AM200</f>
        <v>42972</v>
      </c>
      <c r="X399" s="13">
        <f>'[1]V, inciso p) (OP)'!AN200</f>
        <v>43093</v>
      </c>
      <c r="Y399" s="12" t="s">
        <v>869</v>
      </c>
      <c r="Z399" s="12" t="s">
        <v>743</v>
      </c>
      <c r="AA399" s="12" t="s">
        <v>744</v>
      </c>
      <c r="AB399" s="14" t="s">
        <v>1408</v>
      </c>
      <c r="AC399" s="14" t="s">
        <v>48</v>
      </c>
      <c r="AD399" s="14" t="s">
        <v>1571</v>
      </c>
    </row>
    <row r="400" spans="1:30" ht="80.099999999999994" customHeight="1">
      <c r="A400" s="5">
        <v>117</v>
      </c>
      <c r="B400" s="12">
        <v>2017</v>
      </c>
      <c r="C400" s="14" t="s">
        <v>143</v>
      </c>
      <c r="D400" s="14" t="str">
        <f>'[1]V, inciso p) (OP)'!D201</f>
        <v>DOPI-MUN-R33R-DS-CI-117-2017</v>
      </c>
      <c r="E400" s="13">
        <f>'[1]V, inciso p) (OP)'!AD201</f>
        <v>42985</v>
      </c>
      <c r="F400" s="14" t="s">
        <v>870</v>
      </c>
      <c r="G400" s="14" t="s">
        <v>841</v>
      </c>
      <c r="H400" s="15">
        <f>'[1]V, inciso p) (OP)'!AJ201</f>
        <v>4243025.28</v>
      </c>
      <c r="I400" s="14" t="str">
        <f>'[1]V, inciso p) (OP)'!AS201</f>
        <v>Colonia Colinas del Rio</v>
      </c>
      <c r="J400" s="14" t="str">
        <f>'[1]V, inciso p) (OP)'!T201</f>
        <v>VICTOR</v>
      </c>
      <c r="K400" s="14" t="str">
        <f>'[1]V, inciso p) (OP)'!U201</f>
        <v>ZAYAS</v>
      </c>
      <c r="L400" s="14" t="str">
        <f>'[1]V, inciso p) (OP)'!V201</f>
        <v>RIQUELME</v>
      </c>
      <c r="M400" s="14" t="str">
        <f>'[1]V, inciso p) (OP)'!W201</f>
        <v>GEMINIS INTERNACIONAL CONSTRUCTORA, S.A. DE C.V.</v>
      </c>
      <c r="N400" s="14" t="str">
        <f>'[1]V, inciso p) (OP)'!X201</f>
        <v>GIC810323RA6</v>
      </c>
      <c r="O400" s="15">
        <f t="shared" si="9"/>
        <v>4243025.28</v>
      </c>
      <c r="P400" s="15">
        <v>4243025.28</v>
      </c>
      <c r="Q400" s="21" t="s">
        <v>871</v>
      </c>
      <c r="R400" s="22">
        <f>O400/1100</f>
        <v>3857.2957090909094</v>
      </c>
      <c r="S400" s="12" t="s">
        <v>42</v>
      </c>
      <c r="T400" s="17">
        <v>265</v>
      </c>
      <c r="U400" s="14" t="s">
        <v>43</v>
      </c>
      <c r="V400" s="12" t="s">
        <v>44</v>
      </c>
      <c r="W400" s="13">
        <f>'[1]V, inciso p) (OP)'!AM201</f>
        <v>42986</v>
      </c>
      <c r="X400" s="13">
        <f>'[1]V, inciso p) (OP)'!AN201</f>
        <v>43083</v>
      </c>
      <c r="Y400" s="12" t="s">
        <v>794</v>
      </c>
      <c r="Z400" s="12" t="s">
        <v>833</v>
      </c>
      <c r="AA400" s="12" t="s">
        <v>191</v>
      </c>
      <c r="AB400" s="14" t="s">
        <v>1409</v>
      </c>
      <c r="AC400" s="14" t="s">
        <v>125</v>
      </c>
      <c r="AD400" s="14"/>
    </row>
    <row r="401" spans="1:30" ht="80.099999999999994" customHeight="1">
      <c r="A401" s="5">
        <v>118</v>
      </c>
      <c r="B401" s="12">
        <v>2017</v>
      </c>
      <c r="C401" s="14" t="s">
        <v>143</v>
      </c>
      <c r="D401" s="14" t="str">
        <f>'[1]V, inciso p) (OP)'!D202</f>
        <v>DOPI-MUN-R33R-PAV-CI-118-2017</v>
      </c>
      <c r="E401" s="13">
        <f>'[1]V, inciso p) (OP)'!AD202</f>
        <v>42985</v>
      </c>
      <c r="F401" s="14" t="s">
        <v>872</v>
      </c>
      <c r="G401" s="14" t="s">
        <v>841</v>
      </c>
      <c r="H401" s="15">
        <f>'[1]V, inciso p) (OP)'!AJ202</f>
        <v>3570586.87</v>
      </c>
      <c r="I401" s="14" t="str">
        <f>'[1]V, inciso p) (OP)'!AS202</f>
        <v>Colonia El Fresno</v>
      </c>
      <c r="J401" s="14" t="str">
        <f>'[1]V, inciso p) (OP)'!T202</f>
        <v>AARON</v>
      </c>
      <c r="K401" s="14" t="str">
        <f>'[1]V, inciso p) (OP)'!U202</f>
        <v>AMARAL</v>
      </c>
      <c r="L401" s="14" t="str">
        <f>'[1]V, inciso p) (OP)'!V202</f>
        <v>LÓPEZ</v>
      </c>
      <c r="M401" s="14" t="str">
        <f>'[1]V, inciso p) (OP)'!W202</f>
        <v>GLOBAL CONSTRUCCIÓNES Y CONSULTORIA, S.A. DE C.V.</v>
      </c>
      <c r="N401" s="14" t="str">
        <f>'[1]V, inciso p) (OP)'!X202</f>
        <v>GCC1102098R8</v>
      </c>
      <c r="O401" s="15">
        <f t="shared" si="9"/>
        <v>3570586.87</v>
      </c>
      <c r="P401" s="15">
        <v>3555612.3899999997</v>
      </c>
      <c r="Q401" s="21" t="s">
        <v>873</v>
      </c>
      <c r="R401" s="22">
        <f>O401/1703</f>
        <v>2096.6452554315915</v>
      </c>
      <c r="S401" s="12" t="s">
        <v>42</v>
      </c>
      <c r="T401" s="17">
        <v>364</v>
      </c>
      <c r="U401" s="14" t="s">
        <v>43</v>
      </c>
      <c r="V401" s="12" t="s">
        <v>378</v>
      </c>
      <c r="W401" s="13">
        <f>'[1]V, inciso p) (OP)'!AM202</f>
        <v>42986</v>
      </c>
      <c r="X401" s="13">
        <f>'[1]V, inciso p) (OP)'!AN202</f>
        <v>43075</v>
      </c>
      <c r="Y401" s="12" t="s">
        <v>830</v>
      </c>
      <c r="Z401" s="12" t="s">
        <v>831</v>
      </c>
      <c r="AA401" s="12" t="s">
        <v>134</v>
      </c>
      <c r="AB401" s="14" t="s">
        <v>1410</v>
      </c>
      <c r="AC401" s="14" t="s">
        <v>48</v>
      </c>
      <c r="AD401" s="14"/>
    </row>
    <row r="402" spans="1:30" ht="80.099999999999994" customHeight="1">
      <c r="A402" s="5">
        <v>119</v>
      </c>
      <c r="B402" s="12">
        <v>2017</v>
      </c>
      <c r="C402" s="12" t="s">
        <v>65</v>
      </c>
      <c r="D402" s="14" t="str">
        <f>'[1]V, inciso o) (OP)'!C206</f>
        <v>DOPI-MUN-FORTA-BAN-AD-119-2017</v>
      </c>
      <c r="E402" s="13">
        <f>'[1]V, inciso o) (OP)'!V206</f>
        <v>42899</v>
      </c>
      <c r="F402" s="14" t="str">
        <f>'[1]V, inciso o) (OP)'!AA206</f>
        <v>Peatonalización, construcción de banquetas, sustitución de guarniciones, bolardos y obra complementaria en el estacionamiento en el Hospital General de Zapopan, Municipio de Zapopan, Jalisco.</v>
      </c>
      <c r="G402" s="14" t="s">
        <v>707</v>
      </c>
      <c r="H402" s="15">
        <f>'[1]V, inciso o) (OP)'!Y206</f>
        <v>1702315.57</v>
      </c>
      <c r="I402" s="14" t="s">
        <v>121</v>
      </c>
      <c r="J402" s="14" t="str">
        <f>'[1]V, inciso o) (OP)'!M206</f>
        <v xml:space="preserve">Eduardo </v>
      </c>
      <c r="K402" s="12" t="str">
        <f>'[1]V, inciso o) (OP)'!N206</f>
        <v>Plascencia</v>
      </c>
      <c r="L402" s="12" t="str">
        <f>'[1]V, inciso o) (OP)'!O206</f>
        <v>Macias</v>
      </c>
      <c r="M402" s="14" t="str">
        <f>'[1]V, inciso o) (OP)'!P206</f>
        <v>Constructora y Edificadora Plasma, S.A. de C.V.</v>
      </c>
      <c r="N402" s="12" t="str">
        <f>'[1]V, inciso o) (OP)'!Q206</f>
        <v>CEP080129EK6</v>
      </c>
      <c r="O402" s="15">
        <f t="shared" si="9"/>
        <v>1702315.57</v>
      </c>
      <c r="P402" s="15">
        <v>1526358.5</v>
      </c>
      <c r="Q402" s="12" t="s">
        <v>874</v>
      </c>
      <c r="R402" s="15">
        <f>O402/774</f>
        <v>2199.3741214470283</v>
      </c>
      <c r="S402" s="12" t="s">
        <v>42</v>
      </c>
      <c r="T402" s="17">
        <v>1332272</v>
      </c>
      <c r="U402" s="14" t="s">
        <v>43</v>
      </c>
      <c r="V402" s="12" t="s">
        <v>44</v>
      </c>
      <c r="W402" s="13">
        <f>'[1]V, inciso o) (OP)'!AD206</f>
        <v>42900</v>
      </c>
      <c r="X402" s="13">
        <f>'[1]V, inciso o) (OP)'!AE206</f>
        <v>42942</v>
      </c>
      <c r="Y402" s="12" t="s">
        <v>875</v>
      </c>
      <c r="Z402" s="12" t="s">
        <v>876</v>
      </c>
      <c r="AA402" s="12" t="s">
        <v>877</v>
      </c>
      <c r="AB402" s="8" t="s">
        <v>1937</v>
      </c>
      <c r="AC402" s="14" t="s">
        <v>48</v>
      </c>
      <c r="AD402" s="14"/>
    </row>
    <row r="403" spans="1:30" ht="80.099999999999994" customHeight="1">
      <c r="A403" s="5">
        <v>120</v>
      </c>
      <c r="B403" s="12">
        <v>2017</v>
      </c>
      <c r="C403" s="12" t="s">
        <v>65</v>
      </c>
      <c r="D403" s="14" t="str">
        <f>'[1]V, inciso o) (OP)'!C207</f>
        <v>DOPI-MUN-RM-BACHEO-AD-120-2017</v>
      </c>
      <c r="E403" s="13">
        <f>'[1]V, inciso o) (OP)'!V207</f>
        <v>42919</v>
      </c>
      <c r="F403" s="14" t="str">
        <f>'[1]V, inciso o) (OP)'!AA207</f>
        <v>Programa emergente de bacheo, renivelaciones y sellado en vialidades, Zona Centro, Frente 1, municipio de Zapopan, Jalisco.</v>
      </c>
      <c r="G403" s="14" t="s">
        <v>66</v>
      </c>
      <c r="H403" s="15">
        <f>'[1]V, inciso o) (OP)'!Y207</f>
        <v>1715234.39</v>
      </c>
      <c r="I403" s="14" t="s">
        <v>121</v>
      </c>
      <c r="J403" s="14" t="str">
        <f>'[1]V, inciso o) (OP)'!M207</f>
        <v>Luis Armando</v>
      </c>
      <c r="K403" s="12" t="str">
        <f>'[1]V, inciso o) (OP)'!N207</f>
        <v>Linares</v>
      </c>
      <c r="L403" s="12" t="str">
        <f>'[1]V, inciso o) (OP)'!O207</f>
        <v>Cacho</v>
      </c>
      <c r="M403" s="14" t="str">
        <f>'[1]V, inciso o) (OP)'!P207</f>
        <v>Urbanizadora y Constructora Roal, S.A. de C.V.</v>
      </c>
      <c r="N403" s="12" t="str">
        <f>'[1]V, inciso o) (OP)'!Q207</f>
        <v>URC160310857</v>
      </c>
      <c r="O403" s="15">
        <f t="shared" si="9"/>
        <v>1715234.39</v>
      </c>
      <c r="P403" s="15">
        <v>1715145.83</v>
      </c>
      <c r="Q403" s="12" t="s">
        <v>878</v>
      </c>
      <c r="R403" s="15">
        <f>O403/12047</f>
        <v>142.37854984643479</v>
      </c>
      <c r="S403" s="12" t="s">
        <v>42</v>
      </c>
      <c r="T403" s="17">
        <v>4249</v>
      </c>
      <c r="U403" s="14" t="s">
        <v>43</v>
      </c>
      <c r="V403" s="12" t="s">
        <v>44</v>
      </c>
      <c r="W403" s="13">
        <f>'[1]V, inciso o) (OP)'!AD207</f>
        <v>42919</v>
      </c>
      <c r="X403" s="13">
        <f>'[1]V, inciso o) (OP)'!AE207</f>
        <v>42993</v>
      </c>
      <c r="Y403" s="12" t="s">
        <v>879</v>
      </c>
      <c r="Z403" s="12" t="s">
        <v>880</v>
      </c>
      <c r="AA403" s="12" t="s">
        <v>258</v>
      </c>
      <c r="AB403" s="14" t="s">
        <v>48</v>
      </c>
      <c r="AC403" s="14" t="s">
        <v>48</v>
      </c>
      <c r="AD403" s="14"/>
    </row>
    <row r="404" spans="1:30" ht="80.099999999999994" customHeight="1">
      <c r="A404" s="5">
        <v>121</v>
      </c>
      <c r="B404" s="12">
        <v>2017</v>
      </c>
      <c r="C404" s="12" t="s">
        <v>65</v>
      </c>
      <c r="D404" s="14" t="str">
        <f>'[1]V, inciso o) (OP)'!C208</f>
        <v>DOPI-MUN-RM-BACHEO-AD-121-2017</v>
      </c>
      <c r="E404" s="13">
        <f>'[1]V, inciso o) (OP)'!V208</f>
        <v>42919</v>
      </c>
      <c r="F404" s="14" t="str">
        <f>'[1]V, inciso o) (OP)'!AA208</f>
        <v>Programa emergente de bacheo, renivelaciones y sellado en vialidades, Zona Centro, Frente 2, municipio de Zapopan, Jalisco.</v>
      </c>
      <c r="G404" s="14" t="s">
        <v>66</v>
      </c>
      <c r="H404" s="15">
        <f>'[1]V, inciso o) (OP)'!Y208</f>
        <v>1724125.79</v>
      </c>
      <c r="I404" s="14" t="s">
        <v>121</v>
      </c>
      <c r="J404" s="14" t="str">
        <f>'[1]V, inciso o) (OP)'!M208</f>
        <v>José Antonio</v>
      </c>
      <c r="K404" s="12" t="str">
        <f>'[1]V, inciso o) (OP)'!N208</f>
        <v>Álvarez</v>
      </c>
      <c r="L404" s="12" t="str">
        <f>'[1]V, inciso o) (OP)'!O208</f>
        <v>Garcia</v>
      </c>
      <c r="M404" s="14" t="str">
        <f>'[1]V, inciso o) (OP)'!P208</f>
        <v>Urcoma 1970, S. A. de C. V. PCZ-041/2016</v>
      </c>
      <c r="N404" s="12" t="str">
        <f>'[1]V, inciso o) (OP)'!Q208</f>
        <v>UMN160125869</v>
      </c>
      <c r="O404" s="15">
        <f t="shared" si="9"/>
        <v>1724125.79</v>
      </c>
      <c r="P404" s="15">
        <v>1717544.1300000001</v>
      </c>
      <c r="Q404" s="12" t="s">
        <v>881</v>
      </c>
      <c r="R404" s="15">
        <f>O404/1504</f>
        <v>1146.360232712766</v>
      </c>
      <c r="S404" s="12" t="s">
        <v>42</v>
      </c>
      <c r="T404" s="17">
        <v>947</v>
      </c>
      <c r="U404" s="14" t="s">
        <v>43</v>
      </c>
      <c r="V404" s="12" t="s">
        <v>44</v>
      </c>
      <c r="W404" s="13">
        <f>'[1]V, inciso o) (OP)'!AD208</f>
        <v>42919</v>
      </c>
      <c r="X404" s="13">
        <f>'[1]V, inciso o) (OP)'!AE208</f>
        <v>42993</v>
      </c>
      <c r="Y404" s="12" t="s">
        <v>879</v>
      </c>
      <c r="Z404" s="12" t="s">
        <v>880</v>
      </c>
      <c r="AA404" s="12" t="s">
        <v>258</v>
      </c>
      <c r="AB404" s="8" t="s">
        <v>1938</v>
      </c>
      <c r="AC404" s="14" t="s">
        <v>48</v>
      </c>
      <c r="AD404" s="14"/>
    </row>
    <row r="405" spans="1:30" ht="80.099999999999994" customHeight="1">
      <c r="A405" s="5">
        <v>122</v>
      </c>
      <c r="B405" s="12">
        <v>2017</v>
      </c>
      <c r="C405" s="12" t="s">
        <v>65</v>
      </c>
      <c r="D405" s="14" t="str">
        <f>'[1]V, inciso o) (OP)'!C209</f>
        <v>DOPI-MUN-RM-IM-AD-122-2017</v>
      </c>
      <c r="E405" s="13">
        <f>'[1]V, inciso o) (OP)'!V209</f>
        <v>42915</v>
      </c>
      <c r="F405" s="14" t="str">
        <f>'[1]V, inciso o) (OP)'!AA209</f>
        <v>Rehabilitación de Salón Vecinal, zona 6, Colonia Paseos del Sol, municipio de Zapopan, Jalisco, primera etapa.</v>
      </c>
      <c r="G405" s="14" t="s">
        <v>66</v>
      </c>
      <c r="H405" s="15">
        <f>'[1]V, inciso o) (OP)'!Y209</f>
        <v>998558.74</v>
      </c>
      <c r="I405" s="14" t="s">
        <v>882</v>
      </c>
      <c r="J405" s="14" t="str">
        <f>'[1]V, inciso o) (OP)'!M209</f>
        <v>J. JESÚS</v>
      </c>
      <c r="K405" s="12" t="str">
        <f>'[1]V, inciso o) (OP)'!N209</f>
        <v>CONTRERAS</v>
      </c>
      <c r="L405" s="12" t="str">
        <f>'[1]V, inciso o) (OP)'!O209</f>
        <v>VILLANUEVA</v>
      </c>
      <c r="M405" s="14" t="str">
        <f>'[1]V, inciso o) (OP)'!P209</f>
        <v>CONSTRUCCIÓNES COVIMEX, S.A. DE C.V.</v>
      </c>
      <c r="N405" s="12" t="str">
        <f>'[1]V, inciso o) (OP)'!Q209</f>
        <v>CCO0404226D8</v>
      </c>
      <c r="O405" s="15">
        <f t="shared" si="9"/>
        <v>998558.74</v>
      </c>
      <c r="P405" s="15">
        <v>949367.42</v>
      </c>
      <c r="Q405" s="12" t="s">
        <v>883</v>
      </c>
      <c r="R405" s="15">
        <f>O405/14736</f>
        <v>67.763215255157434</v>
      </c>
      <c r="S405" s="12" t="s">
        <v>42</v>
      </c>
      <c r="T405" s="17">
        <v>4853</v>
      </c>
      <c r="U405" s="14" t="s">
        <v>43</v>
      </c>
      <c r="V405" s="12" t="s">
        <v>44</v>
      </c>
      <c r="W405" s="13">
        <f>'[1]V, inciso o) (OP)'!AD209</f>
        <v>42919</v>
      </c>
      <c r="X405" s="13">
        <f>'[1]V, inciso o) (OP)'!AE209</f>
        <v>42962</v>
      </c>
      <c r="Y405" s="12" t="s">
        <v>615</v>
      </c>
      <c r="Z405" s="12" t="s">
        <v>616</v>
      </c>
      <c r="AA405" s="12" t="s">
        <v>617</v>
      </c>
      <c r="AB405" s="14" t="s">
        <v>48</v>
      </c>
      <c r="AC405" s="14" t="s">
        <v>48</v>
      </c>
      <c r="AD405" s="14"/>
    </row>
    <row r="406" spans="1:30" ht="80.099999999999994" customHeight="1">
      <c r="A406" s="5">
        <v>123</v>
      </c>
      <c r="B406" s="12">
        <v>2017</v>
      </c>
      <c r="C406" s="12" t="s">
        <v>65</v>
      </c>
      <c r="D406" s="14" t="str">
        <f>'[1]V, inciso o) (OP)'!C210</f>
        <v>DOPI-MUN-R33-IH-AD-123-2017</v>
      </c>
      <c r="E406" s="13">
        <f>'[1]V, inciso o) (OP)'!V210</f>
        <v>42915</v>
      </c>
      <c r="F406" s="14" t="str">
        <f>'[1]V, inciso o) (OP)'!AA210</f>
        <v>Revestimiento de canal pluvial y obras de drenaje, sobre calle Pinos de calle Periodistas a calle Fresno, en la colonia Lomas del Centinela, municipio de Zapopan, Jalisco. Primera etapa.</v>
      </c>
      <c r="G406" s="14" t="s">
        <v>516</v>
      </c>
      <c r="H406" s="15">
        <f>'[1]V, inciso o) (OP)'!Y210</f>
        <v>1700244.87</v>
      </c>
      <c r="I406" s="14" t="s">
        <v>884</v>
      </c>
      <c r="J406" s="14" t="str">
        <f>'[1]V, inciso o) (OP)'!M210</f>
        <v>CARLOS CELSO</v>
      </c>
      <c r="K406" s="12" t="str">
        <f>'[1]V, inciso o) (OP)'!N210</f>
        <v>GARCÍA</v>
      </c>
      <c r="L406" s="12" t="str">
        <f>'[1]V, inciso o) (OP)'!O210</f>
        <v>QUINTERO</v>
      </c>
      <c r="M406" s="14" t="str">
        <f>'[1]V, inciso o) (OP)'!P210</f>
        <v>GRUPO CONSTRUCTOR HISACA, S.A. DE C.V.</v>
      </c>
      <c r="N406" s="12" t="str">
        <f>'[1]V, inciso o) (OP)'!Q210</f>
        <v>GCH070702SH8</v>
      </c>
      <c r="O406" s="15">
        <f t="shared" si="9"/>
        <v>1700244.87</v>
      </c>
      <c r="P406" s="15">
        <v>1670394.89</v>
      </c>
      <c r="Q406" s="12" t="s">
        <v>885</v>
      </c>
      <c r="R406" s="15">
        <f>O406/99</f>
        <v>17174.190606060609</v>
      </c>
      <c r="S406" s="12" t="s">
        <v>42</v>
      </c>
      <c r="T406" s="17">
        <v>2184</v>
      </c>
      <c r="U406" s="14" t="s">
        <v>43</v>
      </c>
      <c r="V406" s="12" t="s">
        <v>378</v>
      </c>
      <c r="W406" s="13">
        <f>'[1]V, inciso o) (OP)'!AD210</f>
        <v>42919</v>
      </c>
      <c r="X406" s="13">
        <f>'[1]V, inciso o) (OP)'!AE210</f>
        <v>42981</v>
      </c>
      <c r="Y406" s="12" t="s">
        <v>822</v>
      </c>
      <c r="Z406" s="12" t="s">
        <v>823</v>
      </c>
      <c r="AA406" s="12" t="s">
        <v>97</v>
      </c>
      <c r="AB406" s="14" t="s">
        <v>1552</v>
      </c>
      <c r="AC406" s="14" t="s">
        <v>48</v>
      </c>
      <c r="AD406" s="14"/>
    </row>
    <row r="407" spans="1:30" ht="80.099999999999994" customHeight="1">
      <c r="A407" s="5">
        <v>124</v>
      </c>
      <c r="B407" s="12">
        <v>2017</v>
      </c>
      <c r="C407" s="12" t="s">
        <v>65</v>
      </c>
      <c r="D407" s="14" t="str">
        <f>'[1]V, inciso o) (OP)'!C211</f>
        <v>DOPI-MUN-RM-BACHEO-AD-124-2017</v>
      </c>
      <c r="E407" s="13">
        <f>'[1]V, inciso o) (OP)'!V211</f>
        <v>42919</v>
      </c>
      <c r="F407" s="14" t="str">
        <f>'[1]V, inciso o) (OP)'!AA211</f>
        <v>Programa emergente de bacheo, renivelaciones y sellado en vialidades, Zona Sur, Frente 1, municipio de Zapopan, Jalisco.</v>
      </c>
      <c r="G407" s="14" t="s">
        <v>66</v>
      </c>
      <c r="H407" s="15">
        <f>'[1]V, inciso o) (OP)'!Y211</f>
        <v>1718789.14</v>
      </c>
      <c r="I407" s="14" t="s">
        <v>376</v>
      </c>
      <c r="J407" s="14" t="str">
        <f>'[1]V, inciso o) (OP)'!M211</f>
        <v>Rodrigo</v>
      </c>
      <c r="K407" s="12" t="str">
        <f>'[1]V, inciso o) (OP)'!N211</f>
        <v>Ramos</v>
      </c>
      <c r="L407" s="12" t="str">
        <f>'[1]V, inciso o) (OP)'!O211</f>
        <v>Garibi</v>
      </c>
      <c r="M407" s="14" t="str">
        <f>'[1]V, inciso o) (OP)'!P211</f>
        <v>Metro Asfaltos, S.A. de C.V.</v>
      </c>
      <c r="N407" s="12" t="str">
        <f>'[1]V, inciso o) (OP)'!Q211</f>
        <v>CMA070307RU6</v>
      </c>
      <c r="O407" s="15">
        <f t="shared" si="9"/>
        <v>1718789.14</v>
      </c>
      <c r="P407" s="15">
        <v>1718789.1400000001</v>
      </c>
      <c r="Q407" s="12" t="s">
        <v>886</v>
      </c>
      <c r="R407" s="15">
        <f>O407/340</f>
        <v>5055.2621764705882</v>
      </c>
      <c r="S407" s="12" t="s">
        <v>42</v>
      </c>
      <c r="T407" s="17">
        <v>2413</v>
      </c>
      <c r="U407" s="14" t="s">
        <v>43</v>
      </c>
      <c r="V407" s="12" t="s">
        <v>44</v>
      </c>
      <c r="W407" s="13">
        <f>'[1]V, inciso o) (OP)'!AD211</f>
        <v>42919</v>
      </c>
      <c r="X407" s="13">
        <f>'[1]V, inciso o) (OP)'!AE211</f>
        <v>42993</v>
      </c>
      <c r="Y407" s="12" t="s">
        <v>531</v>
      </c>
      <c r="Z407" s="12" t="s">
        <v>532</v>
      </c>
      <c r="AA407" s="12" t="s">
        <v>533</v>
      </c>
      <c r="AB407" s="14" t="s">
        <v>48</v>
      </c>
      <c r="AC407" s="14" t="s">
        <v>48</v>
      </c>
      <c r="AD407" s="14"/>
    </row>
    <row r="408" spans="1:30" ht="80.099999999999994" customHeight="1">
      <c r="A408" s="5">
        <v>125</v>
      </c>
      <c r="B408" s="12">
        <v>2017</v>
      </c>
      <c r="C408" s="12" t="s">
        <v>65</v>
      </c>
      <c r="D408" s="14" t="str">
        <f>'[1]V, inciso o) (OP)'!C212</f>
        <v>DOPI-MUN-RM-BACHEO-AD-125-2017</v>
      </c>
      <c r="E408" s="13">
        <f>'[1]V, inciso o) (OP)'!V212</f>
        <v>42919</v>
      </c>
      <c r="F408" s="14" t="str">
        <f>'[1]V, inciso o) (OP)'!AA212</f>
        <v>Programa emergente de bacheo, renivelaciones y sellado en vialidades, Zona Surponiente, Frente 1, municipio de Zapopan, Jalisco.</v>
      </c>
      <c r="G408" s="14" t="s">
        <v>66</v>
      </c>
      <c r="H408" s="15">
        <f>'[1]V, inciso o) (OP)'!Y212</f>
        <v>1102004.26</v>
      </c>
      <c r="I408" s="14" t="s">
        <v>376</v>
      </c>
      <c r="J408" s="14" t="str">
        <f>'[1]V, inciso o) (OP)'!M212</f>
        <v>SALVADOR ALEJANDRO</v>
      </c>
      <c r="K408" s="12" t="str">
        <f>'[1]V, inciso o) (OP)'!N212</f>
        <v>CURIEL</v>
      </c>
      <c r="L408" s="12" t="str">
        <f>'[1]V, inciso o) (OP)'!O212</f>
        <v>SANCHEZ</v>
      </c>
      <c r="M408" s="14" t="str">
        <f>'[1]V, inciso o) (OP)'!P212</f>
        <v>PROYECTOS Y CONSTRUCCIONES CUPE, S.A. DE C.V.</v>
      </c>
      <c r="N408" s="12" t="str">
        <f>'[1]V, inciso o) (OP)'!Q212</f>
        <v>PYC1004139E5</v>
      </c>
      <c r="O408" s="15">
        <f t="shared" si="9"/>
        <v>1102004.26</v>
      </c>
      <c r="P408" s="15">
        <v>1102002.8399999999</v>
      </c>
      <c r="Q408" s="12" t="s">
        <v>887</v>
      </c>
      <c r="R408" s="15">
        <f>O408/130</f>
        <v>8476.9558461538454</v>
      </c>
      <c r="S408" s="12" t="s">
        <v>42</v>
      </c>
      <c r="T408" s="17">
        <v>2256</v>
      </c>
      <c r="U408" s="14" t="s">
        <v>43</v>
      </c>
      <c r="V408" s="12" t="s">
        <v>44</v>
      </c>
      <c r="W408" s="13">
        <f>'[1]V, inciso o) (OP)'!AD212</f>
        <v>42919</v>
      </c>
      <c r="X408" s="13">
        <f>'[1]V, inciso o) (OP)'!AE212</f>
        <v>42993</v>
      </c>
      <c r="Y408" s="12" t="s">
        <v>531</v>
      </c>
      <c r="Z408" s="12" t="s">
        <v>532</v>
      </c>
      <c r="AA408" s="12" t="s">
        <v>533</v>
      </c>
      <c r="AB408" s="8" t="s">
        <v>1939</v>
      </c>
      <c r="AC408" s="14" t="s">
        <v>48</v>
      </c>
      <c r="AD408" s="14"/>
    </row>
    <row r="409" spans="1:30" ht="80.099999999999994" customHeight="1">
      <c r="A409" s="5">
        <v>126</v>
      </c>
      <c r="B409" s="12">
        <v>2017</v>
      </c>
      <c r="C409" s="12" t="s">
        <v>65</v>
      </c>
      <c r="D409" s="14" t="str">
        <f>'[1]V, inciso o) (OP)'!C213</f>
        <v>DOPI-MUN-RM-BACHEO-AD-126-2017</v>
      </c>
      <c r="E409" s="13">
        <f>'[1]V, inciso o) (OP)'!V213</f>
        <v>42919</v>
      </c>
      <c r="F409" s="14" t="str">
        <f>'[1]V, inciso o) (OP)'!AA213</f>
        <v>Programa emergente de bacheo, renivelaciones y sellado en vialidades, Zona Poniente, Frente 1, municipio de Zapopan, Jalisco.</v>
      </c>
      <c r="G409" s="14" t="s">
        <v>66</v>
      </c>
      <c r="H409" s="15">
        <f>'[1]V, inciso o) (OP)'!Y213</f>
        <v>1720415.17</v>
      </c>
      <c r="I409" s="14" t="s">
        <v>376</v>
      </c>
      <c r="J409" s="14" t="str">
        <f>'[1]V, inciso o) (OP)'!M213</f>
        <v>Mario</v>
      </c>
      <c r="K409" s="12" t="str">
        <f>'[1]V, inciso o) (OP)'!N213</f>
        <v>Beltrán</v>
      </c>
      <c r="L409" s="12" t="str">
        <f>'[1]V, inciso o) (OP)'!O213</f>
        <v>Rodríguez</v>
      </c>
      <c r="M409" s="14" t="str">
        <f>'[1]V, inciso o) (OP)'!P213</f>
        <v xml:space="preserve">Constructora y Desarrolladora Barba y Asociados, S. A. de C. V. </v>
      </c>
      <c r="N409" s="12" t="str">
        <f>'[1]V, inciso o) (OP)'!Q213</f>
        <v>CDB0506068Z4</v>
      </c>
      <c r="O409" s="15">
        <f t="shared" si="9"/>
        <v>1720415.17</v>
      </c>
      <c r="P409" s="15">
        <v>1720415.17</v>
      </c>
      <c r="Q409" s="12" t="s">
        <v>888</v>
      </c>
      <c r="R409" s="15">
        <f>O409/1620</f>
        <v>1061.9846728395062</v>
      </c>
      <c r="S409" s="12" t="s">
        <v>42</v>
      </c>
      <c r="T409" s="17">
        <v>332272</v>
      </c>
      <c r="U409" s="14" t="s">
        <v>43</v>
      </c>
      <c r="V409" s="12" t="s">
        <v>44</v>
      </c>
      <c r="W409" s="13">
        <f>'[1]V, inciso o) (OP)'!AD213</f>
        <v>42919</v>
      </c>
      <c r="X409" s="13">
        <f>'[1]V, inciso o) (OP)'!AE213</f>
        <v>42993</v>
      </c>
      <c r="Y409" s="12" t="s">
        <v>365</v>
      </c>
      <c r="Z409" s="12" t="s">
        <v>366</v>
      </c>
      <c r="AA409" s="12" t="s">
        <v>367</v>
      </c>
      <c r="AB409" s="8" t="s">
        <v>1940</v>
      </c>
      <c r="AC409" s="14" t="s">
        <v>48</v>
      </c>
      <c r="AD409" s="14"/>
    </row>
    <row r="410" spans="1:30" ht="80.099999999999994" customHeight="1">
      <c r="A410" s="5">
        <v>127</v>
      </c>
      <c r="B410" s="12">
        <v>2017</v>
      </c>
      <c r="C410" s="12" t="s">
        <v>65</v>
      </c>
      <c r="D410" s="14" t="str">
        <f>'[1]V, inciso o) (OP)'!C214</f>
        <v>DOPI-MUN-RM-BACHEO-AD-127-2017</v>
      </c>
      <c r="E410" s="13">
        <f>'[1]V, inciso o) (OP)'!V214</f>
        <v>42920</v>
      </c>
      <c r="F410" s="14" t="str">
        <f>'[1]V, inciso o) (OP)'!AA214</f>
        <v>Programa emergente de bacheo, renivelaciones y sellado en vialidades, Zona Norponiente, Frente 1, municipio de Zapopan, Jalisco.</v>
      </c>
      <c r="G410" s="14" t="s">
        <v>66</v>
      </c>
      <c r="H410" s="15">
        <f>'[1]V, inciso o) (OP)'!Y214</f>
        <v>1151981.04</v>
      </c>
      <c r="I410" s="14" t="s">
        <v>376</v>
      </c>
      <c r="J410" s="14" t="str">
        <f>'[1]V, inciso o) (OP)'!M214</f>
        <v>CARLOS OMAR</v>
      </c>
      <c r="K410" s="12" t="str">
        <f>'[1]V, inciso o) (OP)'!N214</f>
        <v>FIGUEROA</v>
      </c>
      <c r="L410" s="12" t="str">
        <f>'[1]V, inciso o) (OP)'!O214</f>
        <v>CORONADO</v>
      </c>
      <c r="M410" s="14" t="str">
        <f>'[1]V, inciso o) (OP)'!P214</f>
        <v>VACO GRUPO TECNICO DE CONSTRUCCIONES, S.A. DE C.V.</v>
      </c>
      <c r="N410" s="12" t="str">
        <f>'[1]V, inciso o) (OP)'!Q214</f>
        <v>VGT1402126T0</v>
      </c>
      <c r="O410" s="15">
        <f t="shared" si="9"/>
        <v>1151981.04</v>
      </c>
      <c r="P410" s="15">
        <v>1151981.04</v>
      </c>
      <c r="Q410" s="12" t="s">
        <v>889</v>
      </c>
      <c r="R410" s="15">
        <f>O410/562</f>
        <v>2049.7883274021351</v>
      </c>
      <c r="S410" s="12" t="s">
        <v>42</v>
      </c>
      <c r="T410" s="17">
        <v>19013</v>
      </c>
      <c r="U410" s="14" t="s">
        <v>43</v>
      </c>
      <c r="V410" s="12" t="s">
        <v>44</v>
      </c>
      <c r="W410" s="13">
        <f>'[1]V, inciso o) (OP)'!AD214</f>
        <v>42920</v>
      </c>
      <c r="X410" s="13">
        <f>'[1]V, inciso o) (OP)'!AE214</f>
        <v>42994</v>
      </c>
      <c r="Y410" s="12" t="s">
        <v>336</v>
      </c>
      <c r="Z410" s="12" t="s">
        <v>337</v>
      </c>
      <c r="AA410" s="12" t="s">
        <v>120</v>
      </c>
      <c r="AB410" s="8" t="s">
        <v>48</v>
      </c>
      <c r="AC410" s="14" t="s">
        <v>48</v>
      </c>
      <c r="AD410" s="14"/>
    </row>
    <row r="411" spans="1:30" ht="80.099999999999994" customHeight="1">
      <c r="A411" s="5">
        <v>128</v>
      </c>
      <c r="B411" s="12">
        <v>2017</v>
      </c>
      <c r="C411" s="12" t="s">
        <v>65</v>
      </c>
      <c r="D411" s="14" t="str">
        <f>'[1]V, inciso o) (OP)'!C215</f>
        <v>DOPI-MUN-RM-BACHEO-AD-128-2017</v>
      </c>
      <c r="E411" s="13">
        <f>'[1]V, inciso o) (OP)'!V215</f>
        <v>42919</v>
      </c>
      <c r="F411" s="14" t="str">
        <f>'[1]V, inciso o) (OP)'!AA215</f>
        <v>Programa emergente de bacheo, renivelaciones y sellado en vialidades, Zona Norte, Frente 1, municipio de Zapopan, Jalisco.</v>
      </c>
      <c r="G411" s="14" t="s">
        <v>66</v>
      </c>
      <c r="H411" s="15">
        <f>'[1]V, inciso o) (OP)'!Y215</f>
        <v>1724418.16</v>
      </c>
      <c r="I411" s="14" t="s">
        <v>376</v>
      </c>
      <c r="J411" s="14" t="str">
        <f>'[1]V, inciso o) (OP)'!M215</f>
        <v>ANGEL SALOMON</v>
      </c>
      <c r="K411" s="12" t="str">
        <f>'[1]V, inciso o) (OP)'!N215</f>
        <v>RINCON</v>
      </c>
      <c r="L411" s="12" t="str">
        <f>'[1]V, inciso o) (OP)'!O215</f>
        <v>DE LA ROSA</v>
      </c>
      <c r="M411" s="14" t="str">
        <f>'[1]V, inciso o) (OP)'!P215</f>
        <v>ARO ASFALTOS Y RIEGOS DE OCCIDENTE, S.A. DE C.V.</v>
      </c>
      <c r="N411" s="12" t="str">
        <f>'[1]V, inciso o) (OP)'!Q215</f>
        <v>AAR120507VA9</v>
      </c>
      <c r="O411" s="15">
        <f t="shared" si="9"/>
        <v>1724418.16</v>
      </c>
      <c r="P411" s="15">
        <v>1723775.67</v>
      </c>
      <c r="Q411" s="12" t="s">
        <v>890</v>
      </c>
      <c r="R411" s="15">
        <f>O411/265</f>
        <v>6507.2383396226414</v>
      </c>
      <c r="S411" s="12" t="s">
        <v>42</v>
      </c>
      <c r="T411" s="17">
        <v>17963</v>
      </c>
      <c r="U411" s="14" t="s">
        <v>43</v>
      </c>
      <c r="V411" s="12" t="s">
        <v>44</v>
      </c>
      <c r="W411" s="13">
        <f>'[1]V, inciso o) (OP)'!AD215</f>
        <v>42919</v>
      </c>
      <c r="X411" s="13">
        <f>'[1]V, inciso o) (OP)'!AE215</f>
        <v>42993</v>
      </c>
      <c r="Y411" s="12" t="s">
        <v>879</v>
      </c>
      <c r="Z411" s="12" t="s">
        <v>880</v>
      </c>
      <c r="AA411" s="12" t="s">
        <v>258</v>
      </c>
      <c r="AB411" s="8" t="s">
        <v>1941</v>
      </c>
      <c r="AC411" s="14" t="s">
        <v>48</v>
      </c>
      <c r="AD411" s="14"/>
    </row>
    <row r="412" spans="1:30" ht="80.099999999999994" customHeight="1">
      <c r="A412" s="5">
        <v>129</v>
      </c>
      <c r="B412" s="12">
        <v>2017</v>
      </c>
      <c r="C412" s="12" t="s">
        <v>65</v>
      </c>
      <c r="D412" s="14" t="str">
        <f>'[1]V, inciso o) (OP)'!C216</f>
        <v>DOPI-MUN-RM-BACHEO-AD-129-2017</v>
      </c>
      <c r="E412" s="13">
        <f>'[1]V, inciso o) (OP)'!V216</f>
        <v>42919</v>
      </c>
      <c r="F412" s="14" t="str">
        <f>'[1]V, inciso o) (OP)'!AA216</f>
        <v>Programa emergente de bacheo por el método de bacheo a presión en vialidades, Zonas Centro y Sur, Frente 2, municipio de Zapopan, Jalisco.</v>
      </c>
      <c r="G412" s="14" t="s">
        <v>66</v>
      </c>
      <c r="H412" s="15">
        <f>'[1]V, inciso o) (OP)'!Y216</f>
        <v>1705443.99</v>
      </c>
      <c r="I412" s="14" t="s">
        <v>376</v>
      </c>
      <c r="J412" s="14" t="str">
        <f>'[1]V, inciso o) (OP)'!M216</f>
        <v xml:space="preserve">HUGO </v>
      </c>
      <c r="K412" s="12" t="str">
        <f>'[1]V, inciso o) (OP)'!N216</f>
        <v>BOJORQUEZ</v>
      </c>
      <c r="L412" s="12" t="str">
        <f>'[1]V, inciso o) (OP)'!O216</f>
        <v>SANCHEZ</v>
      </c>
      <c r="M412" s="14" t="str">
        <f>'[1]V, inciso o) (OP)'!P216</f>
        <v>BACHEO JET, S.A. DE C.V.</v>
      </c>
      <c r="N412" s="12" t="str">
        <f>'[1]V, inciso o) (OP)'!Q216</f>
        <v>BJE1308202Z2</v>
      </c>
      <c r="O412" s="15">
        <f t="shared" si="9"/>
        <v>1705443.99</v>
      </c>
      <c r="P412" s="15">
        <v>1705444</v>
      </c>
      <c r="Q412" s="12" t="s">
        <v>891</v>
      </c>
      <c r="R412" s="15">
        <f>O412/269</f>
        <v>6339.9404832713753</v>
      </c>
      <c r="S412" s="12" t="s">
        <v>42</v>
      </c>
      <c r="T412" s="17">
        <v>19874</v>
      </c>
      <c r="U412" s="14" t="s">
        <v>43</v>
      </c>
      <c r="V412" s="12" t="s">
        <v>44</v>
      </c>
      <c r="W412" s="13">
        <f>'[1]V, inciso o) (OP)'!AD216</f>
        <v>42919</v>
      </c>
      <c r="X412" s="13">
        <f>'[1]V, inciso o) (OP)'!AE216</f>
        <v>42993</v>
      </c>
      <c r="Y412" s="12" t="s">
        <v>531</v>
      </c>
      <c r="Z412" s="12" t="s">
        <v>532</v>
      </c>
      <c r="AA412" s="12" t="s">
        <v>533</v>
      </c>
      <c r="AB412" s="8" t="s">
        <v>1942</v>
      </c>
      <c r="AC412" s="14" t="s">
        <v>48</v>
      </c>
      <c r="AD412" s="14"/>
    </row>
    <row r="413" spans="1:30" ht="80.099999999999994" customHeight="1">
      <c r="A413" s="5">
        <v>130</v>
      </c>
      <c r="B413" s="12">
        <v>2017</v>
      </c>
      <c r="C413" s="12" t="s">
        <v>65</v>
      </c>
      <c r="D413" s="14" t="str">
        <f>'[1]V, inciso o) (OP)'!C217</f>
        <v>DOPI-MUN-FORTA-IM-AD-130-2017</v>
      </c>
      <c r="E413" s="13">
        <f>'[1]V, inciso o) (OP)'!V217</f>
        <v>42919</v>
      </c>
      <c r="F413" s="14" t="str">
        <f>'[1]V, inciso o) (OP)'!AA217</f>
        <v>Construcción de plazoleta, área de juegos infantiles, pintura y albañilería en el Centro de Desarrollo Infantil No. 1 Constitución, ubicado en la colonia La Constitución; acabado, albañilería y obra complementaria en el Centro de Desarrollo Infantil No. 5 El Colli, ubicado en El Colli; Ampliación de cocina y comedor en el Centro de Desarrollo Infantil No. 9 Villa de Guadalupe, ubicado en la colonia Villa de Guadalupe, municipio de Zapopan, Jalisco.</v>
      </c>
      <c r="G413" s="14" t="s">
        <v>707</v>
      </c>
      <c r="H413" s="15">
        <f>'[1]V, inciso o) (OP)'!Y217</f>
        <v>1530188.23</v>
      </c>
      <c r="I413" s="14" t="s">
        <v>892</v>
      </c>
      <c r="J413" s="14" t="str">
        <f>'[1]V, inciso o) (OP)'!M217</f>
        <v>CLAUDIA PATRICIA</v>
      </c>
      <c r="K413" s="12" t="str">
        <f>'[1]V, inciso o) (OP)'!N217</f>
        <v xml:space="preserve">SANCHEZ </v>
      </c>
      <c r="L413" s="12" t="str">
        <f>'[1]V, inciso o) (OP)'!O217</f>
        <v>VALLES</v>
      </c>
      <c r="M413" s="14" t="str">
        <f>'[1]V, inciso o) (OP)'!P217</f>
        <v>CONSTRUCTORA JMA, S.A. DE C.V.</v>
      </c>
      <c r="N413" s="12" t="str">
        <f>'[1]V, inciso o) (OP)'!Q217</f>
        <v>CJM121221Q73</v>
      </c>
      <c r="O413" s="15">
        <f t="shared" si="9"/>
        <v>1530188.23</v>
      </c>
      <c r="P413" s="15">
        <v>1444228.41</v>
      </c>
      <c r="Q413" s="12" t="s">
        <v>893</v>
      </c>
      <c r="R413" s="15">
        <f>O413/100</f>
        <v>15301.882299999999</v>
      </c>
      <c r="S413" s="12" t="s">
        <v>42</v>
      </c>
      <c r="T413" s="17">
        <v>164</v>
      </c>
      <c r="U413" s="14" t="s">
        <v>43</v>
      </c>
      <c r="V413" s="12" t="s">
        <v>44</v>
      </c>
      <c r="W413" s="13">
        <f>'[1]V, inciso o) (OP)'!AD217</f>
        <v>42920</v>
      </c>
      <c r="X413" s="13">
        <f>'[1]V, inciso o) (OP)'!AE217</f>
        <v>42977</v>
      </c>
      <c r="Y413" s="12" t="s">
        <v>611</v>
      </c>
      <c r="Z413" s="12" t="s">
        <v>312</v>
      </c>
      <c r="AA413" s="12" t="s">
        <v>64</v>
      </c>
      <c r="AB413" s="14" t="s">
        <v>48</v>
      </c>
      <c r="AC413" s="14" t="s">
        <v>48</v>
      </c>
      <c r="AD413" s="14"/>
    </row>
    <row r="414" spans="1:30" ht="80.099999999999994" customHeight="1">
      <c r="A414" s="5">
        <v>131</v>
      </c>
      <c r="B414" s="12">
        <v>2017</v>
      </c>
      <c r="C414" s="12" t="s">
        <v>65</v>
      </c>
      <c r="D414" s="14" t="str">
        <f>'[1]V, inciso o) (OP)'!C218</f>
        <v>DOPI-MUN-FORTA-IS-AD-131-2017</v>
      </c>
      <c r="E414" s="13">
        <f>'[1]V, inciso o) (OP)'!V218</f>
        <v>42919</v>
      </c>
      <c r="F414" s="14" t="str">
        <f>'[1]V, inciso o) (OP)'!AA218</f>
        <v>Obra complementaria para la terminación del Centro de Salud Atemajac, ubicado en la colonia Atemajac del Valle, municipio de Zapopan, Jalisco.</v>
      </c>
      <c r="G414" s="14" t="s">
        <v>707</v>
      </c>
      <c r="H414" s="15">
        <f>'[1]V, inciso o) (OP)'!Y218</f>
        <v>705487.23</v>
      </c>
      <c r="I414" s="14" t="s">
        <v>894</v>
      </c>
      <c r="J414" s="14" t="str">
        <f>'[1]V, inciso o) (OP)'!M218</f>
        <v xml:space="preserve">Eduardo </v>
      </c>
      <c r="K414" s="12" t="str">
        <f>'[1]V, inciso o) (OP)'!N218</f>
        <v>Plascencia</v>
      </c>
      <c r="L414" s="12" t="str">
        <f>'[1]V, inciso o) (OP)'!O218</f>
        <v>Macias</v>
      </c>
      <c r="M414" s="14" t="str">
        <f>'[1]V, inciso o) (OP)'!P218</f>
        <v>Constructora y Edificadora Plasma, S.A. de C.V.</v>
      </c>
      <c r="N414" s="12" t="str">
        <f>'[1]V, inciso o) (OP)'!Q218</f>
        <v>CEP080129EK6</v>
      </c>
      <c r="O414" s="15">
        <f t="shared" si="9"/>
        <v>705487.23</v>
      </c>
      <c r="P414" s="15">
        <v>553430.51</v>
      </c>
      <c r="Q414" s="12" t="s">
        <v>893</v>
      </c>
      <c r="R414" s="15">
        <f>O414/100</f>
        <v>7054.8723</v>
      </c>
      <c r="S414" s="12" t="s">
        <v>42</v>
      </c>
      <c r="T414" s="17">
        <v>1499</v>
      </c>
      <c r="U414" s="14" t="s">
        <v>43</v>
      </c>
      <c r="V414" s="12" t="s">
        <v>44</v>
      </c>
      <c r="W414" s="13">
        <f>'[1]V, inciso o) (OP)'!AD218</f>
        <v>42920</v>
      </c>
      <c r="X414" s="13">
        <f>'[1]V, inciso o) (OP)'!AE218</f>
        <v>42977</v>
      </c>
      <c r="Y414" s="12" t="s">
        <v>611</v>
      </c>
      <c r="Z414" s="12" t="s">
        <v>312</v>
      </c>
      <c r="AA414" s="12" t="s">
        <v>64</v>
      </c>
      <c r="AB414" s="8" t="s">
        <v>1943</v>
      </c>
      <c r="AC414" s="14" t="s">
        <v>48</v>
      </c>
      <c r="AD414" s="14"/>
    </row>
    <row r="415" spans="1:30" ht="80.099999999999994" customHeight="1">
      <c r="A415" s="5">
        <v>132</v>
      </c>
      <c r="B415" s="12">
        <v>2017</v>
      </c>
      <c r="C415" s="12" t="s">
        <v>65</v>
      </c>
      <c r="D415" s="14" t="str">
        <f>'[1]V, inciso o) (OP)'!C219</f>
        <v>DOPI-MUN-FORTA-IU-AD-132-2017</v>
      </c>
      <c r="E415" s="13">
        <f>'[1]V, inciso o) (OP)'!V219</f>
        <v>42940</v>
      </c>
      <c r="F415" s="14" t="str">
        <f>'[1]V, inciso o) (OP)'!AA219</f>
        <v>Primera etapa de la renovación de imagen urbana en la colonia Díaz Ordaz, municipio de Zapopan, Jalisco.</v>
      </c>
      <c r="G415" s="14" t="s">
        <v>707</v>
      </c>
      <c r="H415" s="15">
        <f>'[1]V, inciso o) (OP)'!Y219</f>
        <v>1630250.47</v>
      </c>
      <c r="I415" s="14" t="s">
        <v>895</v>
      </c>
      <c r="J415" s="14" t="str">
        <f>'[1]V, inciso o) (OP)'!M219</f>
        <v xml:space="preserve">RAFAEL </v>
      </c>
      <c r="K415" s="12" t="str">
        <f>'[1]V, inciso o) (OP)'!N219</f>
        <v>ARREGUIN</v>
      </c>
      <c r="L415" s="12" t="str">
        <f>'[1]V, inciso o) (OP)'!O219</f>
        <v>RENTERIA</v>
      </c>
      <c r="M415" s="14" t="str">
        <f>'[1]V, inciso o) (OP)'!P219</f>
        <v xml:space="preserve">ARH DESARROLLOS INMOBILIARIOS, S.A. DE C.V. </v>
      </c>
      <c r="N415" s="12" t="str">
        <f>'[1]V, inciso o) (OP)'!Q219</f>
        <v>ADI130522MB7</v>
      </c>
      <c r="O415" s="15">
        <f t="shared" si="9"/>
        <v>1630250.47</v>
      </c>
      <c r="P415" s="15">
        <v>1630250.47</v>
      </c>
      <c r="Q415" s="12" t="s">
        <v>896</v>
      </c>
      <c r="R415" s="15">
        <f>O415/268</f>
        <v>6083.0241417910447</v>
      </c>
      <c r="S415" s="12" t="s">
        <v>42</v>
      </c>
      <c r="T415" s="17">
        <v>18730</v>
      </c>
      <c r="U415" s="14" t="s">
        <v>43</v>
      </c>
      <c r="V415" s="12" t="s">
        <v>44</v>
      </c>
      <c r="W415" s="13">
        <f>'[1]V, inciso o) (OP)'!AD219</f>
        <v>42940</v>
      </c>
      <c r="X415" s="13">
        <f>'[1]V, inciso o) (OP)'!AE219</f>
        <v>43022</v>
      </c>
      <c r="Y415" s="12" t="s">
        <v>794</v>
      </c>
      <c r="Z415" s="12" t="s">
        <v>743</v>
      </c>
      <c r="AA415" s="12" t="s">
        <v>847</v>
      </c>
      <c r="AB415" s="8" t="s">
        <v>1944</v>
      </c>
      <c r="AC415" s="14" t="s">
        <v>48</v>
      </c>
      <c r="AD415" s="14"/>
    </row>
    <row r="416" spans="1:30" ht="80.099999999999994" customHeight="1">
      <c r="A416" s="5">
        <v>133</v>
      </c>
      <c r="B416" s="12">
        <v>2017</v>
      </c>
      <c r="C416" s="12" t="s">
        <v>65</v>
      </c>
      <c r="D416" s="14" t="str">
        <f>'[1]V, inciso o) (OP)'!C220</f>
        <v>DOPI-MUN-RM-PAV-AD-133-2017</v>
      </c>
      <c r="E416" s="13">
        <f>'[1]V, inciso o) (OP)'!V220</f>
        <v>42935</v>
      </c>
      <c r="F416" s="14" t="str">
        <f>'[1]V, inciso o) (OP)'!AA220</f>
        <v>Pavimentación con mezcla asfáltica de calle de los Mosquiteros, de calle Paseo de los Virreyes a calle Paseo de lo Robles y calle Paseo de los Robles, de calle de los Mosquiteros a calle del Conde, incluye: guarniciones, banquetas y señalética, en las colonias San Wenceslao y Villa Universitaria, municipio de Zapopan, Jalisco.</v>
      </c>
      <c r="G416" s="14" t="s">
        <v>66</v>
      </c>
      <c r="H416" s="15">
        <f>'[1]V, inciso o) (OP)'!Y220</f>
        <v>1228660.2</v>
      </c>
      <c r="I416" s="14" t="s">
        <v>897</v>
      </c>
      <c r="J416" s="14" t="str">
        <f>'[1]V, inciso o) (OP)'!M220</f>
        <v xml:space="preserve">SANTIAGO </v>
      </c>
      <c r="K416" s="12" t="str">
        <f>'[1]V, inciso o) (OP)'!N220</f>
        <v xml:space="preserve">BUENO </v>
      </c>
      <c r="L416" s="12" t="str">
        <f>'[1]V, inciso o) (OP)'!O220</f>
        <v>FUENTES</v>
      </c>
      <c r="M416" s="14" t="str">
        <f>'[1]V, inciso o) (OP)'!P220</f>
        <v>CONSTRUCTORA SBF, S.A. DE C.V.</v>
      </c>
      <c r="N416" s="12" t="str">
        <f>'[1]V, inciso o) (OP)'!Q220</f>
        <v>CSB940503EB3</v>
      </c>
      <c r="O416" s="15">
        <f t="shared" si="9"/>
        <v>1228660.2</v>
      </c>
      <c r="P416" s="15">
        <v>1181798.43</v>
      </c>
      <c r="Q416" s="12" t="s">
        <v>898</v>
      </c>
      <c r="R416" s="15">
        <f>O416/172</f>
        <v>7143.3732558139536</v>
      </c>
      <c r="S416" s="12" t="s">
        <v>42</v>
      </c>
      <c r="T416" s="17">
        <v>19641</v>
      </c>
      <c r="U416" s="14" t="s">
        <v>43</v>
      </c>
      <c r="V416" s="12" t="s">
        <v>378</v>
      </c>
      <c r="W416" s="13">
        <f>'[1]V, inciso o) (OP)'!AD220</f>
        <v>42936</v>
      </c>
      <c r="X416" s="13">
        <f>'[1]V, inciso o) (OP)'!AE220</f>
        <v>42977</v>
      </c>
      <c r="Y416" s="12" t="s">
        <v>879</v>
      </c>
      <c r="Z416" s="12" t="s">
        <v>880</v>
      </c>
      <c r="AA416" s="12" t="s">
        <v>258</v>
      </c>
      <c r="AB416" s="8" t="s">
        <v>1945</v>
      </c>
      <c r="AC416" s="14" t="s">
        <v>48</v>
      </c>
      <c r="AD416" s="14"/>
    </row>
    <row r="417" spans="1:30" ht="80.099999999999994" customHeight="1">
      <c r="A417" s="5">
        <v>134</v>
      </c>
      <c r="B417" s="12">
        <v>2017</v>
      </c>
      <c r="C417" s="12" t="s">
        <v>65</v>
      </c>
      <c r="D417" s="14" t="str">
        <f>'[1]V, inciso o) (OP)'!C221</f>
        <v>DOPI-MUN-RM-IM-AD-134-2017</v>
      </c>
      <c r="E417" s="13">
        <f>'[1]V, inciso o) (OP)'!V221</f>
        <v>42935</v>
      </c>
      <c r="F417" s="14" t="str">
        <f>'[1]V, inciso o) (OP)'!AA221</f>
        <v>Automatización del sistema de bombeo en la red de drenaje, cárcamo de agua residuales y construcción de losa de techo en la colonia Lomas Atlas, municipio de Zapopan, Jalisco.</v>
      </c>
      <c r="G417" s="14" t="s">
        <v>66</v>
      </c>
      <c r="H417" s="15">
        <f>'[1]V, inciso o) (OP)'!Y221</f>
        <v>997556.34</v>
      </c>
      <c r="I417" s="14" t="s">
        <v>481</v>
      </c>
      <c r="J417" s="14" t="str">
        <f>'[1]V, inciso o) (OP)'!M221</f>
        <v>DAVID SERGIO</v>
      </c>
      <c r="K417" s="12" t="str">
        <f>'[1]V, inciso o) (OP)'!N221</f>
        <v>DOMINGUEZ</v>
      </c>
      <c r="L417" s="12" t="str">
        <f>'[1]V, inciso o) (OP)'!O221</f>
        <v>MEZA</v>
      </c>
      <c r="M417" s="14" t="str">
        <f>'[1]V, inciso o) (OP)'!P221</f>
        <v>VALIKA CONSTRUCTORA, S.A. DE C.V.</v>
      </c>
      <c r="N417" s="12" t="str">
        <f>'[1]V, inciso o) (OP)'!Q221</f>
        <v>VCO9412201J0</v>
      </c>
      <c r="O417" s="15">
        <f t="shared" si="9"/>
        <v>997556.34</v>
      </c>
      <c r="P417" s="15">
        <v>808651.47</v>
      </c>
      <c r="Q417" s="12" t="s">
        <v>896</v>
      </c>
      <c r="R417" s="15">
        <f>O417/268</f>
        <v>3722.2251492537312</v>
      </c>
      <c r="S417" s="12" t="s">
        <v>42</v>
      </c>
      <c r="T417" s="17">
        <v>22905</v>
      </c>
      <c r="U417" s="14" t="s">
        <v>43</v>
      </c>
      <c r="V417" s="12" t="s">
        <v>44</v>
      </c>
      <c r="W417" s="13">
        <f>'[1]V, inciso o) (OP)'!AD221</f>
        <v>42936</v>
      </c>
      <c r="X417" s="13">
        <f>'[1]V, inciso o) (OP)'!AE221</f>
        <v>42977</v>
      </c>
      <c r="Y417" s="12" t="s">
        <v>470</v>
      </c>
      <c r="Z417" s="12" t="s">
        <v>315</v>
      </c>
      <c r="AA417" s="12" t="s">
        <v>134</v>
      </c>
      <c r="AB417" s="8" t="s">
        <v>1946</v>
      </c>
      <c r="AC417" s="14" t="s">
        <v>48</v>
      </c>
      <c r="AD417" s="14"/>
    </row>
    <row r="418" spans="1:30" ht="80.099999999999994" customHeight="1">
      <c r="A418" s="5">
        <v>135</v>
      </c>
      <c r="B418" s="12">
        <v>2017</v>
      </c>
      <c r="C418" s="12" t="s">
        <v>65</v>
      </c>
      <c r="D418" s="14" t="str">
        <f>'[1]V, inciso o) (OP)'!C222</f>
        <v>DOPI-MUN-FORTA-PAV-AD-135-2017</v>
      </c>
      <c r="E418" s="13">
        <f>'[1]V, inciso o) (OP)'!V222</f>
        <v>42930</v>
      </c>
      <c r="F418" s="14" t="str">
        <f>'[1]V, inciso o) (OP)'!AA222</f>
        <v>Construcción de pavimento de concreto hidráulico, incluye: agua potable, alcantarillado, guarniciones, banquetas, accesibilidad y servicios complementarios en la calle Loma del Sol, de calle Loma Real a calle Loma del Valle, colonia Loma Chica, municipio de Zapopan, Jalisco, segunda etapa.</v>
      </c>
      <c r="G418" s="14" t="s">
        <v>707</v>
      </c>
      <c r="H418" s="15">
        <f>'[1]V, inciso o) (OP)'!Y222</f>
        <v>1710514.78</v>
      </c>
      <c r="I418" s="14" t="s">
        <v>899</v>
      </c>
      <c r="J418" s="14" t="str">
        <f>'[1]V, inciso o) (OP)'!M222</f>
        <v>TOMAS</v>
      </c>
      <c r="K418" s="12" t="str">
        <f>'[1]V, inciso o) (OP)'!N222</f>
        <v>SANDOVAL</v>
      </c>
      <c r="L418" s="12" t="str">
        <f>'[1]V, inciso o) (OP)'!O222</f>
        <v>ALVAREZ</v>
      </c>
      <c r="M418" s="14" t="str">
        <f>'[1]V, inciso o) (OP)'!P222</f>
        <v>CONSTRUCCIONES Y RENTAS DE MAQUINARIA DE OCCIDENTE, S.A. DE C.V.</v>
      </c>
      <c r="N418" s="12" t="str">
        <f>'[1]V, inciso o) (OP)'!Q222</f>
        <v>CRM910909K48</v>
      </c>
      <c r="O418" s="15">
        <f t="shared" si="9"/>
        <v>1710514.78</v>
      </c>
      <c r="P418" s="15">
        <f>O418</f>
        <v>1710514.78</v>
      </c>
      <c r="Q418" s="12" t="s">
        <v>900</v>
      </c>
      <c r="R418" s="15">
        <f>O418/180</f>
        <v>9502.8598888888882</v>
      </c>
      <c r="S418" s="12" t="s">
        <v>42</v>
      </c>
      <c r="T418" s="17">
        <v>23048</v>
      </c>
      <c r="U418" s="14" t="s">
        <v>43</v>
      </c>
      <c r="V418" s="12" t="s">
        <v>378</v>
      </c>
      <c r="W418" s="13">
        <f>'[1]V, inciso o) (OP)'!AD222</f>
        <v>42930</v>
      </c>
      <c r="X418" s="13">
        <f>'[1]V, inciso o) (OP)'!AE222</f>
        <v>42993</v>
      </c>
      <c r="Y418" s="12" t="s">
        <v>336</v>
      </c>
      <c r="Z418" s="12" t="s">
        <v>337</v>
      </c>
      <c r="AA418" s="12" t="s">
        <v>120</v>
      </c>
      <c r="AB418" s="14" t="s">
        <v>48</v>
      </c>
      <c r="AC418" s="14" t="s">
        <v>48</v>
      </c>
      <c r="AD418" s="14" t="s">
        <v>1571</v>
      </c>
    </row>
    <row r="419" spans="1:30" ht="80.099999999999994" customHeight="1">
      <c r="A419" s="5">
        <v>136</v>
      </c>
      <c r="B419" s="12">
        <v>2017</v>
      </c>
      <c r="C419" s="12" t="s">
        <v>65</v>
      </c>
      <c r="D419" s="14" t="str">
        <f>'[1]V, inciso o) (OP)'!C223</f>
        <v>DOPI-MUN-FORTA-PAV-AD-136-2017</v>
      </c>
      <c r="E419" s="13">
        <f>'[1]V, inciso o) (OP)'!V223</f>
        <v>42935</v>
      </c>
      <c r="F419" s="14" t="str">
        <f>'[1]V, inciso o) (OP)'!AA223</f>
        <v>Sello asfáltico, renivelaciones y bacheo en vialidades de la colonia Loma Bonita Ejidal, municipio de Zapopan, Jalisco, primera etapa.</v>
      </c>
      <c r="G419" s="14" t="s">
        <v>707</v>
      </c>
      <c r="H419" s="15">
        <f>'[1]V, inciso o) (OP)'!Y223</f>
        <v>1004338.5</v>
      </c>
      <c r="I419" s="14" t="s">
        <v>752</v>
      </c>
      <c r="J419" s="14" t="str">
        <f>'[1]V, inciso o) (OP)'!M223</f>
        <v xml:space="preserve">GUILLERMO EMMANUEL </v>
      </c>
      <c r="K419" s="12" t="str">
        <f>'[1]V, inciso o) (OP)'!N223</f>
        <v xml:space="preserve">LARA </v>
      </c>
      <c r="L419" s="12" t="str">
        <f>'[1]V, inciso o) (OP)'!O223</f>
        <v>OCHOA</v>
      </c>
      <c r="M419" s="14" t="str">
        <f>'[1]V, inciso o) (OP)'!P223</f>
        <v>ALQUIMIA GRUPO CONSTRUCTOR, S.A. DE C.V.</v>
      </c>
      <c r="N419" s="12" t="str">
        <f>'[1]V, inciso o) (OP)'!Q223</f>
        <v>AGC070223J95</v>
      </c>
      <c r="O419" s="15">
        <f t="shared" ref="O419:O482" si="10">H419</f>
        <v>1004338.5</v>
      </c>
      <c r="P419" s="15">
        <v>876774.69</v>
      </c>
      <c r="Q419" s="12" t="s">
        <v>891</v>
      </c>
      <c r="R419" s="15">
        <f>O419/269</f>
        <v>3733.6003717472117</v>
      </c>
      <c r="S419" s="12" t="s">
        <v>42</v>
      </c>
      <c r="T419" s="17">
        <v>20733</v>
      </c>
      <c r="U419" s="14" t="s">
        <v>43</v>
      </c>
      <c r="V419" s="12" t="s">
        <v>44</v>
      </c>
      <c r="W419" s="13">
        <f>'[1]V, inciso o) (OP)'!AD223</f>
        <v>42935</v>
      </c>
      <c r="X419" s="13">
        <f>'[1]V, inciso o) (OP)'!AE223</f>
        <v>42962</v>
      </c>
      <c r="Y419" s="12" t="s">
        <v>365</v>
      </c>
      <c r="Z419" s="12" t="s">
        <v>366</v>
      </c>
      <c r="AA419" s="12" t="s">
        <v>367</v>
      </c>
      <c r="AB419" s="8" t="s">
        <v>1947</v>
      </c>
      <c r="AC419" s="14" t="s">
        <v>48</v>
      </c>
      <c r="AD419" s="14"/>
    </row>
    <row r="420" spans="1:30" ht="80.099999999999994" customHeight="1">
      <c r="A420" s="5">
        <v>137</v>
      </c>
      <c r="B420" s="12">
        <v>2017</v>
      </c>
      <c r="C420" s="12" t="s">
        <v>65</v>
      </c>
      <c r="D420" s="14" t="str">
        <f>'[1]V, inciso o) (OP)'!C224</f>
        <v>DOPI-MUN-RM-PAV-AD-137-2017</v>
      </c>
      <c r="E420" s="13">
        <f>'[1]V, inciso o) (OP)'!V224</f>
        <v>42935</v>
      </c>
      <c r="F420" s="14" t="str">
        <f>'[1]V, inciso o) (OP)'!AA224</f>
        <v>Construcción de camino de acceso a la celda 5 del relleno sanitario Picachos, municipio de Zapopan, Jalisco.</v>
      </c>
      <c r="G420" s="14" t="s">
        <v>66</v>
      </c>
      <c r="H420" s="15">
        <f>'[1]V, inciso o) (OP)'!Y224</f>
        <v>978686.25</v>
      </c>
      <c r="I420" s="14" t="s">
        <v>738</v>
      </c>
      <c r="J420" s="14" t="str">
        <f>'[1]V, inciso o) (OP)'!M224</f>
        <v>JESUS DAVID</v>
      </c>
      <c r="K420" s="12" t="str">
        <f>'[1]V, inciso o) (OP)'!N224</f>
        <v xml:space="preserve">GARZA </v>
      </c>
      <c r="L420" s="12" t="str">
        <f>'[1]V, inciso o) (OP)'!O224</f>
        <v>GARCIA</v>
      </c>
      <c r="M420" s="14" t="str">
        <f>'[1]V, inciso o) (OP)'!P224</f>
        <v>CONSTRUCCIONES  ELECTRIFICACIONES Y ARRENDAMIENTO DE MAQUINARIA S.A. DE C.V.</v>
      </c>
      <c r="N420" s="12" t="str">
        <f>'[1]V, inciso o) (OP)'!Q224</f>
        <v>CEA010615GT0</v>
      </c>
      <c r="O420" s="15">
        <f t="shared" si="10"/>
        <v>978686.25</v>
      </c>
      <c r="P420" s="15">
        <v>978667.3</v>
      </c>
      <c r="Q420" s="12" t="s">
        <v>901</v>
      </c>
      <c r="R420" s="15">
        <f>O420/266</f>
        <v>3679.2716165413535</v>
      </c>
      <c r="S420" s="12" t="s">
        <v>42</v>
      </c>
      <c r="T420" s="17">
        <v>1332272</v>
      </c>
      <c r="U420" s="14" t="s">
        <v>43</v>
      </c>
      <c r="V420" s="12" t="s">
        <v>44</v>
      </c>
      <c r="W420" s="13">
        <f>'[1]V, inciso o) (OP)'!AD224</f>
        <v>42935</v>
      </c>
      <c r="X420" s="13">
        <f>'[1]V, inciso o) (OP)'!AE224</f>
        <v>42962</v>
      </c>
      <c r="Y420" s="12" t="s">
        <v>468</v>
      </c>
      <c r="Z420" s="12" t="s">
        <v>902</v>
      </c>
      <c r="AA420" s="12" t="s">
        <v>903</v>
      </c>
      <c r="AB420" s="14" t="s">
        <v>48</v>
      </c>
      <c r="AC420" s="14" t="s">
        <v>48</v>
      </c>
      <c r="AD420" s="14"/>
    </row>
    <row r="421" spans="1:30" ht="80.099999999999994" customHeight="1">
      <c r="A421" s="5">
        <v>138</v>
      </c>
      <c r="B421" s="12">
        <v>2017</v>
      </c>
      <c r="C421" s="12" t="s">
        <v>65</v>
      </c>
      <c r="D421" s="14" t="str">
        <f>'[1]V, inciso o) (OP)'!C225</f>
        <v>DOPI-MUN-FORTA-ID-AD-138-2017</v>
      </c>
      <c r="E421" s="13">
        <f>'[1]V, inciso o) (OP)'!V225</f>
        <v>42935</v>
      </c>
      <c r="F421" s="14" t="str">
        <f>'[1]V, inciso o) (OP)'!AA225</f>
        <v>Albañilería, acabados, pasto sintético y mobiliario urbano en el Polvorín, municipio de Zapopan, Jalisco.</v>
      </c>
      <c r="G421" s="14" t="s">
        <v>707</v>
      </c>
      <c r="H421" s="15">
        <f>'[1]V, inciso o) (OP)'!Y225</f>
        <v>937274.17</v>
      </c>
      <c r="I421" s="14" t="s">
        <v>140</v>
      </c>
      <c r="J421" s="14" t="str">
        <f>'[1]V, inciso o) (OP)'!M225</f>
        <v>JAIME FERNANDO</v>
      </c>
      <c r="K421" s="12" t="str">
        <f>'[1]V, inciso o) (OP)'!N225</f>
        <v>ALVAREZ</v>
      </c>
      <c r="L421" s="12" t="str">
        <f>'[1]V, inciso o) (OP)'!O225</f>
        <v>LOZANO</v>
      </c>
      <c r="M421" s="14" t="str">
        <f>'[1]V, inciso o) (OP)'!P225</f>
        <v>INOVACIONES EN MOBILIARIO URBANO S.A. DE C.V.</v>
      </c>
      <c r="N421" s="12" t="str">
        <f>'[1]V, inciso o) (OP)'!Q225</f>
        <v>IMU120820NM7</v>
      </c>
      <c r="O421" s="15">
        <f t="shared" si="10"/>
        <v>937274.17</v>
      </c>
      <c r="P421" s="15">
        <v>937272.72</v>
      </c>
      <c r="Q421" s="12" t="s">
        <v>904</v>
      </c>
      <c r="R421" s="15">
        <f>O421/920</f>
        <v>1018.7762717391305</v>
      </c>
      <c r="S421" s="12" t="s">
        <v>42</v>
      </c>
      <c r="T421" s="17">
        <v>1025</v>
      </c>
      <c r="U421" s="14" t="s">
        <v>43</v>
      </c>
      <c r="V421" s="12" t="s">
        <v>378</v>
      </c>
      <c r="W421" s="13">
        <f>'[1]V, inciso o) (OP)'!AD225</f>
        <v>42935</v>
      </c>
      <c r="X421" s="13">
        <f>'[1]V, inciso o) (OP)'!AE225</f>
        <v>42977</v>
      </c>
      <c r="Y421" s="12" t="s">
        <v>470</v>
      </c>
      <c r="Z421" s="12" t="s">
        <v>315</v>
      </c>
      <c r="AA421" s="12" t="s">
        <v>134</v>
      </c>
      <c r="AB421" s="14" t="s">
        <v>48</v>
      </c>
      <c r="AC421" s="14" t="s">
        <v>48</v>
      </c>
      <c r="AD421" s="14"/>
    </row>
    <row r="422" spans="1:30" ht="80.099999999999994" customHeight="1">
      <c r="A422" s="5">
        <v>139</v>
      </c>
      <c r="B422" s="12">
        <v>2017</v>
      </c>
      <c r="C422" s="12" t="s">
        <v>65</v>
      </c>
      <c r="D422" s="14" t="str">
        <f>'[1]V, inciso o) (OP)'!C226</f>
        <v>DOPI-MUN-RM-IE-AD-139-2017</v>
      </c>
      <c r="E422" s="13">
        <f>'[1]V, inciso o) (OP)'!V226</f>
        <v>42982</v>
      </c>
      <c r="F422" s="14" t="str">
        <f>'[1]V, inciso o) (OP)'!AA226</f>
        <v>Estructura para protección de rayos ultravioleta en la secundaria 18 mixta, ubicada en Privada Circunvalación Oriente, entre Calzada de Los Fresnos y calzada de Los Ángeles, en la colonia Ciudad Granja, municipio de Zapopan, Jalisco.</v>
      </c>
      <c r="G422" s="14" t="s">
        <v>66</v>
      </c>
      <c r="H422" s="15">
        <f>'[1]V, inciso o) (OP)'!Y226</f>
        <v>1712572.4</v>
      </c>
      <c r="I422" s="14" t="s">
        <v>200</v>
      </c>
      <c r="J422" s="14" t="str">
        <f>'[1]V, inciso o) (OP)'!M226</f>
        <v xml:space="preserve">JESÚS </v>
      </c>
      <c r="K422" s="12" t="str">
        <f>'[1]V, inciso o) (OP)'!N226</f>
        <v>CUETO</v>
      </c>
      <c r="L422" s="12" t="str">
        <f>'[1]V, inciso o) (OP)'!O226</f>
        <v>GARCÍA</v>
      </c>
      <c r="M422" s="14" t="str">
        <f>'[1]V, inciso o) (OP)'!P226</f>
        <v>CONSTRUCTORA MICUET, S.A. DE C.V.</v>
      </c>
      <c r="N422" s="12" t="str">
        <f>'[1]V, inciso o) (OP)'!Q226</f>
        <v>CMI0312018W4</v>
      </c>
      <c r="O422" s="15">
        <f t="shared" si="10"/>
        <v>1712572.4</v>
      </c>
      <c r="P422" s="15">
        <v>1712572.08</v>
      </c>
      <c r="Q422" s="12" t="s">
        <v>905</v>
      </c>
      <c r="R422" s="15">
        <f>O422/608</f>
        <v>2816.7309210526314</v>
      </c>
      <c r="S422" s="12" t="s">
        <v>42</v>
      </c>
      <c r="T422" s="17">
        <v>628</v>
      </c>
      <c r="U422" s="14" t="s">
        <v>43</v>
      </c>
      <c r="V422" s="12" t="s">
        <v>378</v>
      </c>
      <c r="W422" s="13">
        <f>'[1]V, inciso o) (OP)'!AD226</f>
        <v>42989</v>
      </c>
      <c r="X422" s="13">
        <f>'[1]V, inciso o) (OP)'!AE226</f>
        <v>43063</v>
      </c>
      <c r="Y422" s="12" t="s">
        <v>470</v>
      </c>
      <c r="Z422" s="12" t="s">
        <v>315</v>
      </c>
      <c r="AA422" s="12" t="s">
        <v>134</v>
      </c>
      <c r="AB422" s="8" t="s">
        <v>1948</v>
      </c>
      <c r="AC422" s="14" t="s">
        <v>48</v>
      </c>
      <c r="AD422" s="14"/>
    </row>
    <row r="423" spans="1:30" ht="80.099999999999994" customHeight="1">
      <c r="A423" s="5">
        <v>140</v>
      </c>
      <c r="B423" s="12">
        <v>2017</v>
      </c>
      <c r="C423" s="12" t="s">
        <v>65</v>
      </c>
      <c r="D423" s="14" t="str">
        <f>'[1]V, inciso o) (OP)'!C227</f>
        <v>DOPI-MUN-R33R-DS-AD-140-2017</v>
      </c>
      <c r="E423" s="13">
        <f>'[1]V, inciso o) (OP)'!V227</f>
        <v>42937</v>
      </c>
      <c r="F423" s="14" t="str">
        <f>'[1]V, inciso o) (OP)'!AA227</f>
        <v>Construcción de red de drenaje sanitario en las calles: San Nicolás, El Palomar e Ing. Gómez, en la colonia los Cajetes, municipio de Zapopan, Jalisco.</v>
      </c>
      <c r="G423" s="14" t="s">
        <v>841</v>
      </c>
      <c r="H423" s="15">
        <f>'[1]V, inciso o) (OP)'!Y227</f>
        <v>997850.24</v>
      </c>
      <c r="I423" s="14" t="s">
        <v>906</v>
      </c>
      <c r="J423" s="14" t="str">
        <f>'[1]V, inciso o) (OP)'!M227</f>
        <v>IRMA GUADALUPE</v>
      </c>
      <c r="K423" s="12" t="str">
        <f>'[1]V, inciso o) (OP)'!N227</f>
        <v>RIZO</v>
      </c>
      <c r="L423" s="12" t="str">
        <f>'[1]V, inciso o) (OP)'!O227</f>
        <v>ACUÑA</v>
      </c>
      <c r="M423" s="14" t="str">
        <f>'[1]V, inciso o) (OP)'!P227</f>
        <v>FOGU GRUPO CONSTRUCTOR, S.A. DE C.V.</v>
      </c>
      <c r="N423" s="12" t="str">
        <f>'[1]V, inciso o) (OP)'!Q227</f>
        <v>FGC100909TW9</v>
      </c>
      <c r="O423" s="15">
        <f t="shared" si="10"/>
        <v>997850.24</v>
      </c>
      <c r="P423" s="15">
        <v>993276.65</v>
      </c>
      <c r="Q423" s="12" t="s">
        <v>907</v>
      </c>
      <c r="R423" s="15">
        <f>O423/450</f>
        <v>2217.4449777777777</v>
      </c>
      <c r="S423" s="12" t="s">
        <v>42</v>
      </c>
      <c r="T423" s="17">
        <v>523</v>
      </c>
      <c r="U423" s="14" t="s">
        <v>43</v>
      </c>
      <c r="V423" s="12" t="s">
        <v>378</v>
      </c>
      <c r="W423" s="13">
        <f>'[1]V, inciso o) (OP)'!AD227</f>
        <v>42940</v>
      </c>
      <c r="X423" s="13">
        <f>'[1]V, inciso o) (OP)'!AE227</f>
        <v>43023</v>
      </c>
      <c r="Y423" s="12" t="s">
        <v>365</v>
      </c>
      <c r="Z423" s="12" t="s">
        <v>366</v>
      </c>
      <c r="AA423" s="12" t="s">
        <v>367</v>
      </c>
      <c r="AB423" s="14" t="s">
        <v>1553</v>
      </c>
      <c r="AC423" s="14" t="s">
        <v>48</v>
      </c>
      <c r="AD423" s="14"/>
    </row>
    <row r="424" spans="1:30" ht="80.099999999999994" customHeight="1">
      <c r="A424" s="5">
        <v>141</v>
      </c>
      <c r="B424" s="12">
        <v>2017</v>
      </c>
      <c r="C424" s="12" t="s">
        <v>65</v>
      </c>
      <c r="D424" s="14" t="str">
        <f>'[1]V, inciso o) (OP)'!C228</f>
        <v>DOPI-MUN-FORTA-BAN-AD-141-2017</v>
      </c>
      <c r="E424" s="13">
        <f>'[1]V, inciso o) (OP)'!V228</f>
        <v>42920</v>
      </c>
      <c r="F424" s="14" t="str">
        <f>'[1]V, inciso o) (OP)'!AA228</f>
        <v>Peatonalización, construcción de banquetas, sustitución de guarniciones, bolardos, en Prolongación Av. Guadalupe, de Prolongación Mariano Otero al Arroyo El Garabato, municipio de Zapopan, Jalisco.</v>
      </c>
      <c r="G424" s="14" t="s">
        <v>707</v>
      </c>
      <c r="H424" s="15">
        <f>'[1]V, inciso o) (OP)'!Y228</f>
        <v>1279687.06</v>
      </c>
      <c r="I424" s="14" t="s">
        <v>908</v>
      </c>
      <c r="J424" s="14" t="str">
        <f>'[1]V, inciso o) (OP)'!M228</f>
        <v>SERGIO CESAR</v>
      </c>
      <c r="K424" s="12" t="str">
        <f>'[1]V, inciso o) (OP)'!N228</f>
        <v>DÍAZ</v>
      </c>
      <c r="L424" s="12" t="str">
        <f>'[1]V, inciso o) (OP)'!O228</f>
        <v>QUIROZ</v>
      </c>
      <c r="M424" s="14" t="str">
        <f>'[1]V, inciso o) (OP)'!P228</f>
        <v>TRANSCRETO S.A. DE C.V.</v>
      </c>
      <c r="N424" s="12" t="str">
        <f>'[1]V, inciso o) (OP)'!Q228</f>
        <v>TRA750528286</v>
      </c>
      <c r="O424" s="15">
        <f t="shared" si="10"/>
        <v>1279687.06</v>
      </c>
      <c r="P424" s="15">
        <v>1245964.98</v>
      </c>
      <c r="Q424" s="12" t="s">
        <v>909</v>
      </c>
      <c r="R424" s="15">
        <f>O424/1063</f>
        <v>1203.8448353715899</v>
      </c>
      <c r="S424" s="12" t="s">
        <v>42</v>
      </c>
      <c r="T424" s="17">
        <v>3695</v>
      </c>
      <c r="U424" s="14" t="s">
        <v>43</v>
      </c>
      <c r="V424" s="12" t="s">
        <v>378</v>
      </c>
      <c r="W424" s="13">
        <f>'[1]V, inciso o) (OP)'!AD228</f>
        <v>42920</v>
      </c>
      <c r="X424" s="13">
        <f>'[1]V, inciso o) (OP)'!AE228</f>
        <v>42962</v>
      </c>
      <c r="Y424" s="12" t="s">
        <v>328</v>
      </c>
      <c r="Z424" s="12" t="s">
        <v>236</v>
      </c>
      <c r="AA424" s="12" t="s">
        <v>147</v>
      </c>
      <c r="AB424" s="8" t="s">
        <v>1949</v>
      </c>
      <c r="AC424" s="14" t="s">
        <v>48</v>
      </c>
      <c r="AD424" s="14"/>
    </row>
    <row r="425" spans="1:30" ht="80.099999999999994" customHeight="1">
      <c r="A425" s="5">
        <v>142</v>
      </c>
      <c r="B425" s="12">
        <v>2017</v>
      </c>
      <c r="C425" s="12" t="s">
        <v>65</v>
      </c>
      <c r="D425" s="14" t="str">
        <f>'[1]V, inciso o) (OP)'!C229</f>
        <v>DOPI-MUN-RM-PAV-AD-142-2017</v>
      </c>
      <c r="E425" s="13">
        <f>'[1]V, inciso o) (OP)'!V229</f>
        <v>42982</v>
      </c>
      <c r="F425" s="14" t="str">
        <f>'[1]V, inciso o) (OP)'!AA229</f>
        <v>Pavimentación con adoquín y empedrado tradicional con material producto de recuperación en diferentes vialidades en el municipio de Zapopan, Jalisco, frente 2.</v>
      </c>
      <c r="G425" s="14" t="s">
        <v>66</v>
      </c>
      <c r="H425" s="15">
        <f>'[1]V, inciso o) (OP)'!Y229</f>
        <v>1650254.87</v>
      </c>
      <c r="I425" s="14" t="s">
        <v>1349</v>
      </c>
      <c r="J425" s="14" t="str">
        <f>'[1]V, inciso o) (OP)'!M229</f>
        <v>JOSÉ OMAR</v>
      </c>
      <c r="K425" s="12" t="str">
        <f>'[1]V, inciso o) (OP)'!N229</f>
        <v>FERNÁNDEZ</v>
      </c>
      <c r="L425" s="12" t="str">
        <f>'[1]V, inciso o) (OP)'!O229</f>
        <v>VÁZQUEZ</v>
      </c>
      <c r="M425" s="14" t="str">
        <f>'[1]V, inciso o) (OP)'!P229</f>
        <v>EXTRA CONSTRUCCIÓNES, S.A. DE C.V.</v>
      </c>
      <c r="N425" s="12" t="str">
        <f>'[1]V, inciso o) (OP)'!Q229</f>
        <v>ECO0908115Z7</v>
      </c>
      <c r="O425" s="15">
        <f t="shared" si="10"/>
        <v>1650254.87</v>
      </c>
      <c r="P425" s="15">
        <v>1648742.48</v>
      </c>
      <c r="Q425" s="12" t="s">
        <v>910</v>
      </c>
      <c r="R425" s="15">
        <f>O425/1335</f>
        <v>1236.1459700374533</v>
      </c>
      <c r="S425" s="12" t="s">
        <v>42</v>
      </c>
      <c r="T425" s="17">
        <v>869</v>
      </c>
      <c r="U425" s="14" t="s">
        <v>43</v>
      </c>
      <c r="V425" s="12" t="s">
        <v>44</v>
      </c>
      <c r="W425" s="13">
        <f>'[1]V, inciso o) (OP)'!AD229</f>
        <v>42989</v>
      </c>
      <c r="X425" s="13">
        <f>'[1]V, inciso o) (OP)'!AE229</f>
        <v>43078</v>
      </c>
      <c r="Y425" s="12" t="s">
        <v>755</v>
      </c>
      <c r="Z425" s="12" t="s">
        <v>911</v>
      </c>
      <c r="AA425" s="12" t="s">
        <v>640</v>
      </c>
      <c r="AB425" s="8" t="s">
        <v>1950</v>
      </c>
      <c r="AC425" s="14" t="s">
        <v>48</v>
      </c>
      <c r="AD425" s="14"/>
    </row>
    <row r="426" spans="1:30" ht="80.099999999999994" customHeight="1">
      <c r="A426" s="5">
        <v>143</v>
      </c>
      <c r="B426" s="12">
        <v>2017</v>
      </c>
      <c r="C426" s="12" t="s">
        <v>65</v>
      </c>
      <c r="D426" s="14" t="str">
        <f>'[1]V, inciso o) (OP)'!C230</f>
        <v>DOPI-MUN-RM-PROY-AD-143-2017</v>
      </c>
      <c r="E426" s="13">
        <f>'[1]V, inciso o) (OP)'!V230</f>
        <v>42982</v>
      </c>
      <c r="F426" s="14" t="str">
        <f>'[1]V, inciso o) (OP)'!AA230</f>
        <v>Elaboración de proyecto arquitectónico, acabados e instalaciones eléctricas, voz y datos, hidrosanitarias y gas, aire acondicionado, sonido y gases medicinales para la construcción de la unidad de urgencias de la Cruz Verde, en el kilómetro 1, Carretera a Colotlán, municipio de Zapopan, Jalisco.</v>
      </c>
      <c r="G426" s="14" t="s">
        <v>66</v>
      </c>
      <c r="H426" s="15">
        <f>'[1]V, inciso o) (OP)'!Y230</f>
        <v>542300</v>
      </c>
      <c r="I426" s="14" t="s">
        <v>249</v>
      </c>
      <c r="J426" s="14" t="str">
        <f>'[1]V, inciso o) (OP)'!M230</f>
        <v>CARLOS CELSO</v>
      </c>
      <c r="K426" s="12" t="str">
        <f>'[1]V, inciso o) (OP)'!N230</f>
        <v>GARCÍA</v>
      </c>
      <c r="L426" s="12" t="str">
        <f>'[1]V, inciso o) (OP)'!O230</f>
        <v>QUINTERO</v>
      </c>
      <c r="M426" s="14" t="str">
        <f>'[1]V, inciso o) (OP)'!P230</f>
        <v>GRUPO CONSTRUCTOR HISACA, S.A. DE C.V.</v>
      </c>
      <c r="N426" s="12" t="str">
        <f>'[1]V, inciso o) (OP)'!Q230</f>
        <v>GCH070702SH8</v>
      </c>
      <c r="O426" s="15">
        <f t="shared" si="10"/>
        <v>542300</v>
      </c>
      <c r="P426" s="15">
        <v>542300</v>
      </c>
      <c r="Q426" s="12" t="s">
        <v>508</v>
      </c>
      <c r="R426" s="15">
        <f>O426/1</f>
        <v>542300</v>
      </c>
      <c r="S426" s="12" t="s">
        <v>125</v>
      </c>
      <c r="T426" s="17" t="s">
        <v>125</v>
      </c>
      <c r="U426" s="14" t="s">
        <v>43</v>
      </c>
      <c r="V426" s="12" t="s">
        <v>378</v>
      </c>
      <c r="W426" s="13">
        <f>'[1]V, inciso o) (OP)'!AD230</f>
        <v>42989</v>
      </c>
      <c r="X426" s="13">
        <f>'[1]V, inciso o) (OP)'!AE230</f>
        <v>43058</v>
      </c>
      <c r="Y426" s="12" t="s">
        <v>692</v>
      </c>
      <c r="Z426" s="12" t="s">
        <v>693</v>
      </c>
      <c r="AA426" s="12" t="s">
        <v>136</v>
      </c>
      <c r="AB426" s="8" t="s">
        <v>1951</v>
      </c>
      <c r="AC426" s="14" t="s">
        <v>48</v>
      </c>
      <c r="AD426" s="14"/>
    </row>
    <row r="427" spans="1:30" ht="80.099999999999994" customHeight="1">
      <c r="A427" s="5">
        <v>144</v>
      </c>
      <c r="B427" s="12">
        <v>2017</v>
      </c>
      <c r="C427" s="12" t="s">
        <v>65</v>
      </c>
      <c r="D427" s="14" t="str">
        <f>'[1]V, inciso o) (OP)'!C231</f>
        <v>DOPI-MUN-R33R-AP-AD-144-2017</v>
      </c>
      <c r="E427" s="13">
        <f>'[1]V, inciso o) (OP)'!V231</f>
        <v>42944</v>
      </c>
      <c r="F427" s="14" t="str">
        <f>'[1]V, inciso o) (OP)'!AA231</f>
        <v>Construcción de red de agua potable y drenaje sanitario en la calle Ramón López Velarde de calle Pablo Neruda a cerrada, y calle Juan José Arreola de calle Pablo Neruda a cerrada, colonia La Coronilla, municipio de Zapopan, Jalisco.</v>
      </c>
      <c r="G427" s="14" t="s">
        <v>841</v>
      </c>
      <c r="H427" s="15">
        <f>'[1]V, inciso o) (OP)'!Y231</f>
        <v>950235.48</v>
      </c>
      <c r="I427" s="14" t="s">
        <v>912</v>
      </c>
      <c r="J427" s="14" t="str">
        <f>'[1]V, inciso o) (OP)'!M231</f>
        <v>JOSÉ DE JESÚS</v>
      </c>
      <c r="K427" s="12" t="str">
        <f>'[1]V, inciso o) (OP)'!N231</f>
        <v>PALAFOX</v>
      </c>
      <c r="L427" s="12" t="str">
        <f>'[1]V, inciso o) (OP)'!O231</f>
        <v>VILLEGAS</v>
      </c>
      <c r="M427" s="14" t="str">
        <f>'[1]V, inciso o) (OP)'!P231</f>
        <v>MEGAENLACE CONSTRUCCIÓNES S.A. DE C.V.</v>
      </c>
      <c r="N427" s="12" t="str">
        <f>'[1]V, inciso o) (OP)'!Q231</f>
        <v>MCO1510113H8</v>
      </c>
      <c r="O427" s="15">
        <f t="shared" si="10"/>
        <v>950235.48</v>
      </c>
      <c r="P427" s="15">
        <v>381144.47</v>
      </c>
      <c r="Q427" s="12" t="s">
        <v>515</v>
      </c>
      <c r="R427" s="15">
        <f>O427/300</f>
        <v>3167.4515999999999</v>
      </c>
      <c r="S427" s="12" t="s">
        <v>42</v>
      </c>
      <c r="T427" s="17">
        <v>268</v>
      </c>
      <c r="U427" s="14" t="s">
        <v>43</v>
      </c>
      <c r="V427" s="12" t="s">
        <v>44</v>
      </c>
      <c r="W427" s="13">
        <f>'[1]V, inciso o) (OP)'!AD231</f>
        <v>42945</v>
      </c>
      <c r="X427" s="13">
        <f>'[1]V, inciso o) (OP)'!AE231</f>
        <v>43028</v>
      </c>
      <c r="Y427" s="12" t="s">
        <v>365</v>
      </c>
      <c r="Z427" s="12" t="s">
        <v>366</v>
      </c>
      <c r="AA427" s="12" t="s">
        <v>367</v>
      </c>
      <c r="AB427" s="14" t="s">
        <v>1554</v>
      </c>
      <c r="AC427" s="14" t="s">
        <v>125</v>
      </c>
      <c r="AD427" s="14"/>
    </row>
    <row r="428" spans="1:30" ht="80.099999999999994" customHeight="1">
      <c r="A428" s="5">
        <v>145</v>
      </c>
      <c r="B428" s="12">
        <v>2017</v>
      </c>
      <c r="C428" s="14" t="str">
        <f>'[1]V, inciso p) (OP)'!B203</f>
        <v>Licitación por Invitación Restringida</v>
      </c>
      <c r="D428" s="14" t="str">
        <f>'[1]V, inciso p) (OP)'!D203</f>
        <v>DOPI-MUN-RM-PAV-CI-145-2017</v>
      </c>
      <c r="E428" s="13">
        <f>'[1]V, inciso p) (OP)'!AD203</f>
        <v>42975</v>
      </c>
      <c r="F428" s="14" t="str">
        <f>'[1]V, inciso p) (OP)'!AL203</f>
        <v>Programa emergente de bacheo, renivelaciones y sellado en vialidades, Zonas Norte y Centro, municipio de Zapopan, Jalisco.</v>
      </c>
      <c r="G428" s="14" t="s">
        <v>66</v>
      </c>
      <c r="H428" s="15">
        <f>'[1]V, inciso p) (OP)'!AJ203</f>
        <v>3192151.8</v>
      </c>
      <c r="I428" s="14" t="str">
        <f>'[1]V, inciso p) (OP)'!AS203</f>
        <v>Zonas Norte y Centro</v>
      </c>
      <c r="J428" s="14" t="str">
        <f>'[1]V, inciso p) (OP)'!T203</f>
        <v>MARIO</v>
      </c>
      <c r="K428" s="14" t="str">
        <f>'[1]V, inciso p) (OP)'!U203</f>
        <v>BELTRÁN</v>
      </c>
      <c r="L428" s="14" t="str">
        <f>'[1]V, inciso p) (OP)'!V203</f>
        <v>RODRÍGUEZ Y SUSARREY</v>
      </c>
      <c r="M428" s="14" t="str">
        <f>'[1]V, inciso p) (OP)'!W203</f>
        <v>CONSTRUCTORA Y DESARROLLADORA BARBA Y ASOCIADOS, S.A. DE C.V.</v>
      </c>
      <c r="N428" s="14" t="str">
        <f>'[1]V, inciso p) (OP)'!X203</f>
        <v>CDB0506068Z4</v>
      </c>
      <c r="O428" s="15">
        <f t="shared" si="10"/>
        <v>3192151.8</v>
      </c>
      <c r="P428" s="15">
        <v>3192151.8</v>
      </c>
      <c r="Q428" s="21" t="s">
        <v>913</v>
      </c>
      <c r="R428" s="22">
        <f>O428/248</f>
        <v>12871.579838709677</v>
      </c>
      <c r="S428" s="12" t="s">
        <v>42</v>
      </c>
      <c r="T428" s="17">
        <v>356804</v>
      </c>
      <c r="U428" s="14" t="s">
        <v>43</v>
      </c>
      <c r="V428" s="12" t="s">
        <v>44</v>
      </c>
      <c r="W428" s="13">
        <f>'[1]V, inciso p) (OP)'!AM203</f>
        <v>42975</v>
      </c>
      <c r="X428" s="13">
        <f>'[1]V, inciso p) (OP)'!AN203</f>
        <v>43035</v>
      </c>
      <c r="Y428" s="12" t="s">
        <v>365</v>
      </c>
      <c r="Z428" s="12" t="s">
        <v>366</v>
      </c>
      <c r="AA428" s="12" t="s">
        <v>367</v>
      </c>
      <c r="AB428" s="14" t="s">
        <v>1411</v>
      </c>
      <c r="AC428" s="14" t="s">
        <v>125</v>
      </c>
      <c r="AD428" s="14"/>
    </row>
    <row r="429" spans="1:30" ht="80.099999999999994" customHeight="1">
      <c r="A429" s="5">
        <v>146</v>
      </c>
      <c r="B429" s="12">
        <v>2017</v>
      </c>
      <c r="C429" s="14" t="str">
        <f>'[1]V, inciso p) (OP)'!B204</f>
        <v>Licitación por Invitación Restringida</v>
      </c>
      <c r="D429" s="14" t="str">
        <f>'[1]V, inciso p) (OP)'!D204</f>
        <v>DOPI-MUN-RM-PAV-CI-146-2017</v>
      </c>
      <c r="E429" s="13">
        <f>'[1]V, inciso p) (OP)'!AD204</f>
        <v>42975</v>
      </c>
      <c r="F429" s="14" t="str">
        <f>'[1]V, inciso p) (OP)'!AL204</f>
        <v>Programa emergente de bacheo, renivelaciones y sellado en vialidades, Zonas Sur y Surponiente, municipio de Zapopan, Jalisco.</v>
      </c>
      <c r="G429" s="14" t="s">
        <v>66</v>
      </c>
      <c r="H429" s="15">
        <f>'[1]V, inciso p) (OP)'!AJ204</f>
        <v>3149824.73</v>
      </c>
      <c r="I429" s="14" t="str">
        <f>'[1]V, inciso p) (OP)'!AS204</f>
        <v>Zonas Sur y Surponiente</v>
      </c>
      <c r="J429" s="14" t="str">
        <f>'[1]V, inciso p) (OP)'!T204</f>
        <v>ÁNGEL SALOMÓN</v>
      </c>
      <c r="K429" s="14" t="str">
        <f>'[1]V, inciso p) (OP)'!U204</f>
        <v>RINCÓN</v>
      </c>
      <c r="L429" s="14" t="str">
        <f>'[1]V, inciso p) (OP)'!V204</f>
        <v>DE LA ROSA</v>
      </c>
      <c r="M429" s="14" t="str">
        <f>'[1]V, inciso p) (OP)'!W204</f>
        <v>ARO ASFALTOS Y RIEGOS DE OCCIDENTE, S.A. DE C.V.</v>
      </c>
      <c r="N429" s="14" t="str">
        <f>'[1]V, inciso p) (OP)'!X204</f>
        <v>AAR120507VA9</v>
      </c>
      <c r="O429" s="15">
        <f t="shared" si="10"/>
        <v>3149824.73</v>
      </c>
      <c r="P429" s="15">
        <v>3146176.66</v>
      </c>
      <c r="Q429" s="21" t="s">
        <v>914</v>
      </c>
      <c r="R429" s="22">
        <f>O429/281</f>
        <v>11209.340676156584</v>
      </c>
      <c r="S429" s="12" t="s">
        <v>42</v>
      </c>
      <c r="T429" s="17">
        <v>398702</v>
      </c>
      <c r="U429" s="14" t="s">
        <v>43</v>
      </c>
      <c r="V429" s="12" t="s">
        <v>378</v>
      </c>
      <c r="W429" s="13">
        <f>'[1]V, inciso p) (OP)'!AM204</f>
        <v>42975</v>
      </c>
      <c r="X429" s="13">
        <f>'[1]V, inciso p) (OP)'!AN204</f>
        <v>43035</v>
      </c>
      <c r="Y429" s="12" t="s">
        <v>365</v>
      </c>
      <c r="Z429" s="12" t="s">
        <v>366</v>
      </c>
      <c r="AA429" s="12" t="s">
        <v>367</v>
      </c>
      <c r="AB429" s="14" t="s">
        <v>1412</v>
      </c>
      <c r="AC429" s="14" t="s">
        <v>48</v>
      </c>
      <c r="AD429" s="14"/>
    </row>
    <row r="430" spans="1:30" ht="80.099999999999994" customHeight="1">
      <c r="A430" s="5">
        <v>147</v>
      </c>
      <c r="B430" s="12">
        <v>2017</v>
      </c>
      <c r="C430" s="14" t="str">
        <f>'[1]V, inciso p) (OP)'!B205</f>
        <v>Licitación por Invitación Restringida</v>
      </c>
      <c r="D430" s="14" t="str">
        <f>'[1]V, inciso p) (OP)'!D205</f>
        <v>DOPI-MUN-RM-PAV-CI-147-2017</v>
      </c>
      <c r="E430" s="13">
        <f>'[1]V, inciso p) (OP)'!AD205</f>
        <v>42975</v>
      </c>
      <c r="F430" s="14" t="str">
        <f>'[1]V, inciso p) (OP)'!AL205</f>
        <v>Programa emergente de bacheo, renivelaciones y sellado en vialidades, Zona Poniente, Frente 2, municipio de Zapopan, Jalisco.</v>
      </c>
      <c r="G430" s="14" t="s">
        <v>66</v>
      </c>
      <c r="H430" s="15">
        <f>'[1]V, inciso p) (OP)'!AJ205</f>
        <v>2697299.66</v>
      </c>
      <c r="I430" s="14" t="str">
        <f>'[1]V, inciso p) (OP)'!AS205</f>
        <v>Zona Poniente</v>
      </c>
      <c r="J430" s="14" t="str">
        <f>'[1]V, inciso p) (OP)'!T205</f>
        <v>RODRIGO</v>
      </c>
      <c r="K430" s="14" t="str">
        <f>'[1]V, inciso p) (OP)'!U205</f>
        <v>RAMOS</v>
      </c>
      <c r="L430" s="14" t="str">
        <f>'[1]V, inciso p) (OP)'!V205</f>
        <v>GARIBI</v>
      </c>
      <c r="M430" s="14" t="str">
        <f>'[1]V, inciso p) (OP)'!W205</f>
        <v>METRO ASFALTOS, S.A. DE C.V.</v>
      </c>
      <c r="N430" s="14" t="str">
        <f>'[1]V, inciso p) (OP)'!X205</f>
        <v>CMA070307RU6</v>
      </c>
      <c r="O430" s="15">
        <f t="shared" si="10"/>
        <v>2697299.66</v>
      </c>
      <c r="P430" s="15">
        <v>2697299.66</v>
      </c>
      <c r="Q430" s="21" t="s">
        <v>915</v>
      </c>
      <c r="R430" s="22">
        <f>O430/210</f>
        <v>12844.284095238096</v>
      </c>
      <c r="S430" s="12" t="s">
        <v>42</v>
      </c>
      <c r="T430" s="17">
        <v>295430</v>
      </c>
      <c r="U430" s="14" t="s">
        <v>43</v>
      </c>
      <c r="V430" s="12" t="s">
        <v>44</v>
      </c>
      <c r="W430" s="13">
        <f>'[1]V, inciso p) (OP)'!AM205</f>
        <v>42975</v>
      </c>
      <c r="X430" s="13">
        <f>'[1]V, inciso p) (OP)'!AN205</f>
        <v>43035</v>
      </c>
      <c r="Y430" s="12" t="s">
        <v>365</v>
      </c>
      <c r="Z430" s="12" t="s">
        <v>366</v>
      </c>
      <c r="AA430" s="12" t="s">
        <v>367</v>
      </c>
      <c r="AB430" s="14" t="s">
        <v>1413</v>
      </c>
      <c r="AC430" s="14" t="s">
        <v>125</v>
      </c>
      <c r="AD430" s="14"/>
    </row>
    <row r="431" spans="1:30" ht="80.099999999999994" customHeight="1">
      <c r="A431" s="5">
        <v>148</v>
      </c>
      <c r="B431" s="12">
        <v>2017</v>
      </c>
      <c r="C431" s="14" t="str">
        <f>'[1]V, inciso p) (OP)'!B206</f>
        <v>Licitación por Invitación Restringida</v>
      </c>
      <c r="D431" s="14" t="str">
        <f>'[1]V, inciso p) (OP)'!D206</f>
        <v>DOPI-MUN-RM-PAV-CI-148-2017</v>
      </c>
      <c r="E431" s="13">
        <f>'[1]V, inciso p) (OP)'!AD206</f>
        <v>42975</v>
      </c>
      <c r="F431" s="14" t="str">
        <f>'[1]V, inciso p) (OP)'!AL206</f>
        <v>Programa emergente de bacheo, renivelaciones y sellado en vialidades, Zonas Norte y Norponiente, municipio de Zapopan, Jalisco.</v>
      </c>
      <c r="G431" s="14" t="s">
        <v>66</v>
      </c>
      <c r="H431" s="15">
        <f>'[1]V, inciso p) (OP)'!AJ206</f>
        <v>2255906.54</v>
      </c>
      <c r="I431" s="14" t="str">
        <f>'[1]V, inciso p) (OP)'!AS206</f>
        <v>Zonas Norte y Norponiente</v>
      </c>
      <c r="J431" s="14" t="str">
        <f>'[1]V, inciso p) (OP)'!T206</f>
        <v>JOSÉ DE JESÚS</v>
      </c>
      <c r="K431" s="14" t="str">
        <f>'[1]V, inciso p) (OP)'!U206</f>
        <v>ROMERO</v>
      </c>
      <c r="L431" s="14" t="str">
        <f>'[1]V, inciso p) (OP)'!V206</f>
        <v>GARCÍA</v>
      </c>
      <c r="M431" s="14" t="str">
        <f>'[1]V, inciso p) (OP)'!W206</f>
        <v>URBANIZADORA Y CONSTRUCTORA ROAL, S.A. DE C.V.</v>
      </c>
      <c r="N431" s="14" t="str">
        <f>'[1]V, inciso p) (OP)'!X206</f>
        <v>URC160310857</v>
      </c>
      <c r="O431" s="15">
        <f t="shared" si="10"/>
        <v>2255906.54</v>
      </c>
      <c r="P431" s="15">
        <v>2255438.7999999998</v>
      </c>
      <c r="Q431" s="21" t="s">
        <v>916</v>
      </c>
      <c r="R431" s="22">
        <f>O431/184</f>
        <v>12260.361630434783</v>
      </c>
      <c r="S431" s="12" t="s">
        <v>42</v>
      </c>
      <c r="T431" s="17">
        <v>276023</v>
      </c>
      <c r="U431" s="14" t="s">
        <v>43</v>
      </c>
      <c r="V431" s="12" t="s">
        <v>378</v>
      </c>
      <c r="W431" s="13">
        <f>'[1]V, inciso p) (OP)'!AM206</f>
        <v>42975</v>
      </c>
      <c r="X431" s="13">
        <f>'[1]V, inciso p) (OP)'!AN206</f>
        <v>43035</v>
      </c>
      <c r="Y431" s="12" t="s">
        <v>380</v>
      </c>
      <c r="Z431" s="12" t="s">
        <v>257</v>
      </c>
      <c r="AA431" s="12" t="s">
        <v>258</v>
      </c>
      <c r="AB431" s="14" t="s">
        <v>1414</v>
      </c>
      <c r="AC431" s="14" t="s">
        <v>48</v>
      </c>
      <c r="AD431" s="14"/>
    </row>
    <row r="432" spans="1:30" ht="80.099999999999994" customHeight="1">
      <c r="A432" s="5">
        <v>149</v>
      </c>
      <c r="B432" s="12">
        <v>2017</v>
      </c>
      <c r="C432" s="14" t="str">
        <f>'[1]V, inciso p) (OP)'!B207</f>
        <v>Licitación por Invitación Restringida</v>
      </c>
      <c r="D432" s="14" t="str">
        <f>'[1]V, inciso p) (OP)'!D207</f>
        <v>DOPI-MUN-R33R-DS-CI-149-2017</v>
      </c>
      <c r="E432" s="13">
        <f>'[1]V, inciso p) (OP)'!AD207</f>
        <v>42975</v>
      </c>
      <c r="F432" s="14" t="str">
        <f>'[1]V, inciso p) (OP)'!AL207</f>
        <v>Construcción de colector de aguas negras sobre arroyo, de calle Cholollán a calle Paseo de las Bugambilias,  construcción de drenaje en la calle Paseo del Manzano y calle Nogal en la colonia Mesa de los Ocotes, municipio de Zapopan, Jalisco.</v>
      </c>
      <c r="G432" s="14" t="str">
        <f>'[1]V, inciso p) (OP)'!AR207</f>
        <v>Remanentes del FAISM 2010-2015</v>
      </c>
      <c r="H432" s="15">
        <f>'[1]V, inciso p) (OP)'!AJ207</f>
        <v>4249089</v>
      </c>
      <c r="I432" s="14" t="str">
        <f>'[1]V, inciso p) (OP)'!AS207</f>
        <v>Col. Mesa de los Ocotes</v>
      </c>
      <c r="J432" s="14" t="str">
        <f>'[1]V, inciso p) (OP)'!T207</f>
        <v>OMAR</v>
      </c>
      <c r="K432" s="14" t="str">
        <f>'[1]V, inciso p) (OP)'!U207</f>
        <v>MORA</v>
      </c>
      <c r="L432" s="14" t="str">
        <f>'[1]V, inciso p) (OP)'!V207</f>
        <v>MONTES DE OCA</v>
      </c>
      <c r="M432" s="14" t="str">
        <f>'[1]V, inciso p) (OP)'!W207</f>
        <v>DOMMONT CONSTRUCCIÓNES, S.A. DE C.V.</v>
      </c>
      <c r="N432" s="14" t="str">
        <f>'[1]V, inciso p) (OP)'!X207</f>
        <v>DCO130215C16</v>
      </c>
      <c r="O432" s="15">
        <f t="shared" si="10"/>
        <v>4249089</v>
      </c>
      <c r="P432" s="15">
        <v>4249089</v>
      </c>
      <c r="Q432" s="21" t="s">
        <v>917</v>
      </c>
      <c r="R432" s="22">
        <f>O432/1010</f>
        <v>4207.0188118811884</v>
      </c>
      <c r="S432" s="12" t="s">
        <v>42</v>
      </c>
      <c r="T432" s="17">
        <v>256</v>
      </c>
      <c r="U432" s="14" t="s">
        <v>43</v>
      </c>
      <c r="V432" s="12" t="s">
        <v>44</v>
      </c>
      <c r="W432" s="13">
        <f>'[1]V, inciso p) (OP)'!AM207</f>
        <v>42975</v>
      </c>
      <c r="X432" s="13">
        <f>'[1]V, inciso p) (OP)'!AN207</f>
        <v>43079</v>
      </c>
      <c r="Y432" s="12" t="s">
        <v>767</v>
      </c>
      <c r="Z432" s="12" t="s">
        <v>843</v>
      </c>
      <c r="AA432" s="12" t="s">
        <v>769</v>
      </c>
      <c r="AB432" s="14" t="s">
        <v>1415</v>
      </c>
      <c r="AC432" s="14" t="s">
        <v>125</v>
      </c>
      <c r="AD432" s="14"/>
    </row>
    <row r="433" spans="1:30" ht="80.099999999999994" customHeight="1">
      <c r="A433" s="5">
        <v>150</v>
      </c>
      <c r="B433" s="12">
        <v>2017</v>
      </c>
      <c r="C433" s="14" t="str">
        <f>'[1]V, inciso p) (OP)'!B208</f>
        <v>Licitación por Invitación Restringida</v>
      </c>
      <c r="D433" s="14" t="str">
        <f>'[1]V, inciso p) (OP)'!D208</f>
        <v>DOPI-MUN-R33-DS-CI-150-2017</v>
      </c>
      <c r="E433" s="13">
        <f>'[1]V, inciso p) (OP)'!AD208</f>
        <v>42975</v>
      </c>
      <c r="F433" s="14" t="str">
        <f>'[1]V, inciso p) (OP)'!AL208</f>
        <v>Construcción de red de agua potable y drenaje sanitario en la colonia Lomas del Centinela 2, municipio de Zapopan, Jalisco. Primera etapa.</v>
      </c>
      <c r="G433" s="14" t="str">
        <f>'[1]V, inciso p) (OP)'!AR208</f>
        <v>Fondo para la Infraestructura Social Municipal 2017</v>
      </c>
      <c r="H433" s="15">
        <f>'[1]V, inciso p) (OP)'!AJ208</f>
        <v>6378234.8399999999</v>
      </c>
      <c r="I433" s="14" t="str">
        <f>'[1]V, inciso p) (OP)'!AS208</f>
        <v>Col. Lomas del Centinela 2</v>
      </c>
      <c r="J433" s="14" t="str">
        <f>'[1]V, inciso p) (OP)'!T208</f>
        <v xml:space="preserve">RODOLFO </v>
      </c>
      <c r="K433" s="14" t="str">
        <f>'[1]V, inciso p) (OP)'!U208</f>
        <v xml:space="preserve">VELAZQUEZ </v>
      </c>
      <c r="L433" s="14" t="str">
        <f>'[1]V, inciso p) (OP)'!V208</f>
        <v>ORDOÑEZ</v>
      </c>
      <c r="M433" s="14" t="str">
        <f>'[1]V, inciso p) (OP)'!W208</f>
        <v>VELAZQUEZ INGENIERIA ECOLOGICA, S.A. DE C.V.</v>
      </c>
      <c r="N433" s="14" t="str">
        <f>'[1]V, inciso p) (OP)'!X208</f>
        <v>VIE110125RL4</v>
      </c>
      <c r="O433" s="15">
        <f t="shared" si="10"/>
        <v>6378234.8399999999</v>
      </c>
      <c r="P433" s="15">
        <v>6378234.8399999999</v>
      </c>
      <c r="Q433" s="21" t="s">
        <v>918</v>
      </c>
      <c r="R433" s="22">
        <f>O433/650</f>
        <v>9812.668984615384</v>
      </c>
      <c r="S433" s="12" t="s">
        <v>42</v>
      </c>
      <c r="T433" s="17">
        <v>365</v>
      </c>
      <c r="U433" s="14" t="s">
        <v>43</v>
      </c>
      <c r="V433" s="12" t="s">
        <v>44</v>
      </c>
      <c r="W433" s="13">
        <f>'[1]V, inciso p) (OP)'!AM208</f>
        <v>42975</v>
      </c>
      <c r="X433" s="13">
        <f>'[1]V, inciso p) (OP)'!AN208</f>
        <v>43079</v>
      </c>
      <c r="Y433" s="12" t="s">
        <v>919</v>
      </c>
      <c r="Z433" s="12" t="s">
        <v>920</v>
      </c>
      <c r="AA433" s="12" t="s">
        <v>97</v>
      </c>
      <c r="AB433" s="14" t="s">
        <v>1416</v>
      </c>
      <c r="AC433" s="14" t="s">
        <v>125</v>
      </c>
      <c r="AD433" s="14"/>
    </row>
    <row r="434" spans="1:30" ht="80.099999999999994" customHeight="1">
      <c r="A434" s="5">
        <v>151</v>
      </c>
      <c r="B434" s="12">
        <v>2017</v>
      </c>
      <c r="C434" s="14" t="str">
        <f>'[1]V, inciso p) (OP)'!B209</f>
        <v>Licitación por Invitación Restringida</v>
      </c>
      <c r="D434" s="14" t="str">
        <f>'[1]V, inciso p) (OP)'!D209</f>
        <v>DOPI-MUN-R33R-DS-CI-151-2017</v>
      </c>
      <c r="E434" s="13">
        <f>'[1]V, inciso p) (OP)'!AD209</f>
        <v>42975</v>
      </c>
      <c r="F434" s="14" t="str">
        <f>'[1]V, inciso p) (OP)'!AL209</f>
        <v>Construcción de red de drenaje en las calles Oxtol, Zochiquetzal, Texcoco, Cuaticue, Pachtli y Negri en la colonia Mesa Colorada Poniente, municipio de Zapopan, Jalisco.</v>
      </c>
      <c r="G434" s="14" t="str">
        <f>'[1]V, inciso p) (OP)'!AR209</f>
        <v>Remanentes del FAISM 2010-2015</v>
      </c>
      <c r="H434" s="15">
        <f>'[1]V, inciso p) (OP)'!AJ209</f>
        <v>6048490.1900000004</v>
      </c>
      <c r="I434" s="14" t="str">
        <f>'[1]V, inciso p) (OP)'!AS209</f>
        <v>Col. Mesa Colorada</v>
      </c>
      <c r="J434" s="14" t="str">
        <f>'[1]V, inciso p) (OP)'!T209</f>
        <v xml:space="preserve">EDUARDO </v>
      </c>
      <c r="K434" s="14" t="str">
        <f>'[1]V, inciso p) (OP)'!U209</f>
        <v>CRUZ</v>
      </c>
      <c r="L434" s="14" t="str">
        <f>'[1]V, inciso p) (OP)'!V209</f>
        <v>MOGUEL</v>
      </c>
      <c r="M434" s="14" t="str">
        <f>'[1]V, inciso p) (OP)'!W209</f>
        <v>BALKEN, S.A. DE C.V.</v>
      </c>
      <c r="N434" s="14" t="str">
        <f>'[1]V, inciso p) (OP)'!X209</f>
        <v>BAL990803661</v>
      </c>
      <c r="O434" s="15">
        <f t="shared" si="10"/>
        <v>6048490.1900000004</v>
      </c>
      <c r="P434" s="15">
        <f>O434</f>
        <v>6048490.1900000004</v>
      </c>
      <c r="Q434" s="21" t="s">
        <v>921</v>
      </c>
      <c r="R434" s="22">
        <f>O434/1045</f>
        <v>5788.0288899521538</v>
      </c>
      <c r="S434" s="12" t="s">
        <v>42</v>
      </c>
      <c r="T434" s="17">
        <v>121</v>
      </c>
      <c r="U434" s="14" t="s">
        <v>43</v>
      </c>
      <c r="V434" s="12" t="s">
        <v>378</v>
      </c>
      <c r="W434" s="13">
        <f>'[1]V, inciso p) (OP)'!AM209</f>
        <v>42975</v>
      </c>
      <c r="X434" s="13">
        <f>'[1]V, inciso p) (OP)'!AN209</f>
        <v>43079</v>
      </c>
      <c r="Y434" s="12" t="s">
        <v>350</v>
      </c>
      <c r="Z434" s="12" t="s">
        <v>351</v>
      </c>
      <c r="AA434" s="12" t="s">
        <v>352</v>
      </c>
      <c r="AB434" s="14" t="s">
        <v>1417</v>
      </c>
      <c r="AC434" s="14" t="s">
        <v>48</v>
      </c>
      <c r="AD434" s="14" t="s">
        <v>1571</v>
      </c>
    </row>
    <row r="435" spans="1:30" ht="80.099999999999994" customHeight="1">
      <c r="A435" s="5">
        <v>152</v>
      </c>
      <c r="B435" s="12">
        <v>2017</v>
      </c>
      <c r="C435" s="14" t="str">
        <f>'[1]V, inciso p) (OP)'!B210</f>
        <v>Licitación por Invitación Restringida</v>
      </c>
      <c r="D435" s="14" t="str">
        <f>'[1]V, inciso p) (OP)'!D210</f>
        <v>DOPI-MUN-R33R-IH-CI-152-2017</v>
      </c>
      <c r="E435" s="13">
        <f>'[1]V, inciso p) (OP)'!AD210</f>
        <v>42975</v>
      </c>
      <c r="F435" s="14" t="str">
        <f>'[1]V, inciso p) (OP)'!AL210</f>
        <v>Construcción de línea de conducción del poblado San Rafael hasta el poblado Río Blanco y construcción de línea de conducción del pozo al tanque en el poblado de Río Blanco en la colonia San Rafael y Río Blanco, Municipio de Zapopan, Jalisco.</v>
      </c>
      <c r="G435" s="14" t="str">
        <f>'[1]V, inciso p) (OP)'!AR210</f>
        <v>Remanentes del FAISM 2010-2015</v>
      </c>
      <c r="H435" s="15">
        <f>'[1]V, inciso p) (OP)'!AJ210</f>
        <v>2284098.15</v>
      </c>
      <c r="I435" s="14" t="str">
        <f>'[1]V, inciso p) (OP)'!AS210</f>
        <v>Col. San Rafael y Rio Blanco</v>
      </c>
      <c r="J435" s="14" t="str">
        <f>'[1]V, inciso p) (OP)'!T210</f>
        <v xml:space="preserve">EDUARDO </v>
      </c>
      <c r="K435" s="14" t="str">
        <f>'[1]V, inciso p) (OP)'!U210</f>
        <v>MORA</v>
      </c>
      <c r="L435" s="14" t="str">
        <f>'[1]V, inciso p) (OP)'!V210</f>
        <v>BLACKALLER</v>
      </c>
      <c r="M435" s="14" t="str">
        <f>'[1]V, inciso p) (OP)'!W210</f>
        <v>GRUPO CONSTRUCTOR INNOBLACK, S.A. DE C.V.</v>
      </c>
      <c r="N435" s="14" t="str">
        <f>'[1]V, inciso p) (OP)'!X210</f>
        <v>GCI070523CW4</v>
      </c>
      <c r="O435" s="15">
        <f t="shared" si="10"/>
        <v>2284098.15</v>
      </c>
      <c r="P435" s="15">
        <v>2284098.15</v>
      </c>
      <c r="Q435" s="21" t="s">
        <v>922</v>
      </c>
      <c r="R435" s="22">
        <f>O435/3205</f>
        <v>712.66712948517943</v>
      </c>
      <c r="S435" s="12" t="s">
        <v>42</v>
      </c>
      <c r="T435" s="17">
        <v>205</v>
      </c>
      <c r="U435" s="14" t="s">
        <v>43</v>
      </c>
      <c r="V435" s="12" t="s">
        <v>44</v>
      </c>
      <c r="W435" s="13">
        <f>'[1]V, inciso p) (OP)'!AM210</f>
        <v>42975</v>
      </c>
      <c r="X435" s="13">
        <f>'[1]V, inciso p) (OP)'!AN210</f>
        <v>43079</v>
      </c>
      <c r="Y435" s="12" t="s">
        <v>468</v>
      </c>
      <c r="Z435" s="12" t="s">
        <v>307</v>
      </c>
      <c r="AA435" s="12" t="s">
        <v>308</v>
      </c>
      <c r="AB435" s="14" t="s">
        <v>1418</v>
      </c>
      <c r="AC435" s="14" t="s">
        <v>125</v>
      </c>
      <c r="AD435" s="14"/>
    </row>
    <row r="436" spans="1:30" ht="80.099999999999994" customHeight="1">
      <c r="A436" s="5">
        <v>153</v>
      </c>
      <c r="B436" s="12">
        <v>2017</v>
      </c>
      <c r="C436" s="14" t="str">
        <f>'[1]V, inciso p) (OP)'!B211</f>
        <v>Licitación por Invitación Restringida</v>
      </c>
      <c r="D436" s="14" t="str">
        <f>'[1]V, inciso p) (OP)'!D211</f>
        <v>DOPI-MUN-R33R-IH-CI-153-2017</v>
      </c>
      <c r="E436" s="13">
        <f>'[1]V, inciso p) (OP)'!AD211</f>
        <v>42975</v>
      </c>
      <c r="F436" s="14" t="str">
        <f>'[1]V, inciso p) (OP)'!AL211</f>
        <v>Construcción de red de agua potable en la calle Garzas entre Cenzontle y carretera Colotlán, calle Canario entre Cenzontle y Carretera Colotlán y calle Gaviotas entre carretera Colotlán y prolongación Garzas en las colonias La Vinatera y Ejido Copalita, municipio de Zapopan, Jalisco.</v>
      </c>
      <c r="G436" s="14" t="str">
        <f>'[1]V, inciso p) (OP)'!AR211</f>
        <v>Remanentes del FAISM 2010-2015</v>
      </c>
      <c r="H436" s="15">
        <f>'[1]V, inciso p) (OP)'!AJ211</f>
        <v>3699901.7</v>
      </c>
      <c r="I436" s="14" t="str">
        <f>'[1]V, inciso p) (OP)'!AS211</f>
        <v>Colonias La Vinatera y Ejido Copalita</v>
      </c>
      <c r="J436" s="14" t="str">
        <f>'[1]V, inciso p) (OP)'!T211</f>
        <v>MIGUEL ÁNGEL</v>
      </c>
      <c r="K436" s="14" t="str">
        <f>'[1]V, inciso p) (OP)'!U211</f>
        <v>ROMERO</v>
      </c>
      <c r="L436" s="14" t="str">
        <f>'[1]V, inciso p) (OP)'!V211</f>
        <v>LUGO</v>
      </c>
      <c r="M436" s="14" t="str">
        <f>'[1]V, inciso p) (OP)'!W211</f>
        <v>OBRAS Y COMERCIALIZACION DE LA CONSTRUCCIÓN, S.A. DE C.V.</v>
      </c>
      <c r="N436" s="14" t="str">
        <f>'[1]V, inciso p) (OP)'!X211</f>
        <v>OCC940714PB0</v>
      </c>
      <c r="O436" s="15">
        <f t="shared" si="10"/>
        <v>3699901.7</v>
      </c>
      <c r="P436" s="15">
        <v>3699901.7</v>
      </c>
      <c r="Q436" s="21" t="s">
        <v>923</v>
      </c>
      <c r="R436" s="22">
        <f>O436/2122</f>
        <v>1743.591753063148</v>
      </c>
      <c r="S436" s="12" t="s">
        <v>42</v>
      </c>
      <c r="T436" s="17">
        <v>106</v>
      </c>
      <c r="U436" s="14" t="s">
        <v>43</v>
      </c>
      <c r="V436" s="12" t="s">
        <v>44</v>
      </c>
      <c r="W436" s="13">
        <f>'[1]V, inciso p) (OP)'!AM211</f>
        <v>42975</v>
      </c>
      <c r="X436" s="13">
        <f>'[1]V, inciso p) (OP)'!AN211</f>
        <v>43079</v>
      </c>
      <c r="Y436" s="12" t="s">
        <v>336</v>
      </c>
      <c r="Z436" s="12" t="s">
        <v>337</v>
      </c>
      <c r="AA436" s="12" t="s">
        <v>120</v>
      </c>
      <c r="AB436" s="14" t="s">
        <v>1419</v>
      </c>
      <c r="AC436" s="14" t="s">
        <v>125</v>
      </c>
      <c r="AD436" s="14"/>
    </row>
    <row r="437" spans="1:30" ht="80.099999999999994" customHeight="1">
      <c r="A437" s="5">
        <v>154</v>
      </c>
      <c r="B437" s="12">
        <v>2017</v>
      </c>
      <c r="C437" s="14" t="str">
        <f>'[1]V, inciso p) (OP)'!B212</f>
        <v>Licitación por Invitación Restringida</v>
      </c>
      <c r="D437" s="14" t="str">
        <f>'[1]V, inciso p) (OP)'!D212</f>
        <v>DOPI-MUN-R33R-PAV-CI-154-2017</v>
      </c>
      <c r="E437" s="13">
        <f>'[1]V, inciso p) (OP)'!AD212</f>
        <v>42975</v>
      </c>
      <c r="F437" s="14" t="str">
        <f>'[1]V, inciso p) (OP)'!AL212</f>
        <v>Pavimentación de las calles Cofradía y Panteón, incluye: red de agua potable y de drenaje sanitario en la colonia La Venta del Astillero, municipio de Zapopan, Jalisco.</v>
      </c>
      <c r="G437" s="14" t="str">
        <f>'[1]V, inciso p) (OP)'!AR212</f>
        <v>Remanentes del FAISM 2010-2015</v>
      </c>
      <c r="H437" s="15">
        <f>'[1]V, inciso p) (OP)'!AJ212</f>
        <v>3973341.33</v>
      </c>
      <c r="I437" s="14" t="str">
        <f>'[1]V, inciso p) (OP)'!AS212</f>
        <v>Col. Venta del Astillero</v>
      </c>
      <c r="J437" s="14" t="str">
        <f>'[1]V, inciso p) (OP)'!T212</f>
        <v>EDWIN</v>
      </c>
      <c r="K437" s="14" t="str">
        <f>'[1]V, inciso p) (OP)'!U212</f>
        <v>AGUIAR</v>
      </c>
      <c r="L437" s="14" t="str">
        <f>'[1]V, inciso p) (OP)'!V212</f>
        <v>ESCATEL</v>
      </c>
      <c r="M437" s="14" t="str">
        <f>'[1]V, inciso p) (OP)'!W212</f>
        <v>MANJARREZ URBANIZACIONES, S.A. DE C.V.</v>
      </c>
      <c r="N437" s="14" t="str">
        <f>'[1]V, inciso p) (OP)'!X212</f>
        <v>MUR090325P33</v>
      </c>
      <c r="O437" s="15">
        <f t="shared" si="10"/>
        <v>3973341.33</v>
      </c>
      <c r="P437" s="15">
        <f>O437</f>
        <v>3973341.33</v>
      </c>
      <c r="Q437" s="21" t="s">
        <v>924</v>
      </c>
      <c r="R437" s="22">
        <f>O437/1709</f>
        <v>2324.951041544763</v>
      </c>
      <c r="S437" s="12" t="s">
        <v>42</v>
      </c>
      <c r="T437" s="17">
        <v>625</v>
      </c>
      <c r="U437" s="14" t="s">
        <v>43</v>
      </c>
      <c r="V437" s="12" t="s">
        <v>378</v>
      </c>
      <c r="W437" s="13">
        <f>'[1]V, inciso p) (OP)'!AM212</f>
        <v>42975</v>
      </c>
      <c r="X437" s="13">
        <f>'[1]V, inciso p) (OP)'!AN212</f>
        <v>43079</v>
      </c>
      <c r="Y437" s="12" t="s">
        <v>919</v>
      </c>
      <c r="Z437" s="12" t="s">
        <v>920</v>
      </c>
      <c r="AA437" s="12" t="s">
        <v>97</v>
      </c>
      <c r="AB437" s="14" t="s">
        <v>1420</v>
      </c>
      <c r="AC437" s="14" t="s">
        <v>48</v>
      </c>
      <c r="AD437" s="14" t="s">
        <v>1571</v>
      </c>
    </row>
    <row r="438" spans="1:30" ht="80.099999999999994" customHeight="1">
      <c r="A438" s="5">
        <v>155</v>
      </c>
      <c r="B438" s="12">
        <v>2017</v>
      </c>
      <c r="C438" s="14" t="str">
        <f>'[1]V, inciso p) (OP)'!B213</f>
        <v>Licitación por Invitación Restringida</v>
      </c>
      <c r="D438" s="14" t="str">
        <f>'[1]V, inciso p) (OP)'!D213</f>
        <v>DOPI-MUN-R33R-PAV-CI-155-2017</v>
      </c>
      <c r="E438" s="13">
        <f>'[1]V, inciso p) (OP)'!AD213</f>
        <v>42975</v>
      </c>
      <c r="F438" s="14" t="str">
        <f>'[1]V, inciso p) (OP)'!AL213</f>
        <v>Pavimentación de la calle Manzanos y andadores en la colonia Agua Fría, municipio de Zapopan, Jalisco.</v>
      </c>
      <c r="G438" s="14" t="str">
        <f>'[1]V, inciso p) (OP)'!AR213</f>
        <v>Remanentes del FAISM 2010-2015</v>
      </c>
      <c r="H438" s="15">
        <f>'[1]V, inciso p) (OP)'!AJ213</f>
        <v>4555855.34</v>
      </c>
      <c r="I438" s="14" t="str">
        <f>'[1]V, inciso p) (OP)'!AS213</f>
        <v>Col. Agua Fria</v>
      </c>
      <c r="J438" s="14" t="str">
        <f>'[1]V, inciso p) (OP)'!T213</f>
        <v xml:space="preserve">MARCO ANTONIO </v>
      </c>
      <c r="K438" s="14" t="str">
        <f>'[1]V, inciso p) (OP)'!U213</f>
        <v>LOZANO</v>
      </c>
      <c r="L438" s="14" t="str">
        <f>'[1]V, inciso p) (OP)'!V213</f>
        <v>ESTRADA</v>
      </c>
      <c r="M438" s="14" t="str">
        <f>'[1]V, inciso p) (OP)'!W213</f>
        <v>DESARROLLADORA FULHAM S. DE R.L. DE C.V.</v>
      </c>
      <c r="N438" s="14" t="str">
        <f>'[1]V, inciso p) (OP)'!X213</f>
        <v>DFU090928JB5</v>
      </c>
      <c r="O438" s="15">
        <f t="shared" si="10"/>
        <v>4555855.34</v>
      </c>
      <c r="P438" s="15">
        <v>4555855.34</v>
      </c>
      <c r="Q438" s="21" t="s">
        <v>925</v>
      </c>
      <c r="R438" s="22">
        <f>O438/1897</f>
        <v>2401.6106167633102</v>
      </c>
      <c r="S438" s="12" t="s">
        <v>42</v>
      </c>
      <c r="T438" s="17">
        <v>621</v>
      </c>
      <c r="U438" s="14" t="s">
        <v>43</v>
      </c>
      <c r="V438" s="12" t="s">
        <v>378</v>
      </c>
      <c r="W438" s="13">
        <f>'[1]V, inciso p) (OP)'!AM213</f>
        <v>42975</v>
      </c>
      <c r="X438" s="13">
        <f>'[1]V, inciso p) (OP)'!AN213</f>
        <v>43079</v>
      </c>
      <c r="Y438" s="12" t="s">
        <v>919</v>
      </c>
      <c r="Z438" s="12" t="s">
        <v>920</v>
      </c>
      <c r="AA438" s="12" t="s">
        <v>97</v>
      </c>
      <c r="AB438" s="14" t="s">
        <v>1421</v>
      </c>
      <c r="AC438" s="14" t="s">
        <v>48</v>
      </c>
      <c r="AD438" s="14"/>
    </row>
    <row r="439" spans="1:30" ht="80.099999999999994" customHeight="1">
      <c r="A439" s="5">
        <v>157</v>
      </c>
      <c r="B439" s="12">
        <v>2017</v>
      </c>
      <c r="C439" s="14" t="str">
        <f>'[1]V, inciso p) (OP)'!B214</f>
        <v>Licitación por Invitación Restringida</v>
      </c>
      <c r="D439" s="14" t="str">
        <f>'[1]V, inciso p) (OP)'!D214</f>
        <v>DOPI-MUN-R33R-DS-CI-157-2017</v>
      </c>
      <c r="E439" s="13">
        <f>'[1]V, inciso p) (OP)'!AD214</f>
        <v>42975</v>
      </c>
      <c r="F439" s="14" t="str">
        <f>'[1]V, inciso p) (OP)'!AL214</f>
        <v>Construcción de Colector y red de drenaje sanitario en las calles Naranjo, Mandarina, Chabacano, Limón, Manzano, Mango, Las Torres, Guamúchil y Capulín en la colonia Colinas del Rio, municipio de Zapopan, Jalisco. Frente 1.</v>
      </c>
      <c r="G439" s="14" t="str">
        <f>'[1]V, inciso p) (OP)'!AR214</f>
        <v>Remanentes del FAISM 2010-2015</v>
      </c>
      <c r="H439" s="15">
        <f>'[1]V, inciso p) (OP)'!AJ214</f>
        <v>4388451.67</v>
      </c>
      <c r="I439" s="14" t="str">
        <f>'[1]V, inciso p) (OP)'!AS214</f>
        <v>Col. Colinas del Rio</v>
      </c>
      <c r="J439" s="14" t="str">
        <f>'[1]V, inciso p) (OP)'!T214</f>
        <v>CLAUDIO FELIPE</v>
      </c>
      <c r="K439" s="14" t="str">
        <f>'[1]V, inciso p) (OP)'!U214</f>
        <v>TRUJILLO</v>
      </c>
      <c r="L439" s="14" t="str">
        <f>'[1]V, inciso p) (OP)'!V214</f>
        <v>GRACIAN</v>
      </c>
      <c r="M439" s="14" t="str">
        <f>'[1]V, inciso p) (OP)'!W214</f>
        <v>DESARROLLADORA LUMADI, S.A. DE C.V.</v>
      </c>
      <c r="N439" s="14" t="str">
        <f>'[1]V, inciso p) (OP)'!X214</f>
        <v>DLU100818F46</v>
      </c>
      <c r="O439" s="15">
        <f t="shared" si="10"/>
        <v>4388451.67</v>
      </c>
      <c r="P439" s="15">
        <v>4388451.67</v>
      </c>
      <c r="Q439" s="21" t="s">
        <v>926</v>
      </c>
      <c r="R439" s="22">
        <f>O439/98</f>
        <v>44780.119081632649</v>
      </c>
      <c r="S439" s="12" t="s">
        <v>42</v>
      </c>
      <c r="T439" s="17">
        <v>412</v>
      </c>
      <c r="U439" s="14" t="s">
        <v>43</v>
      </c>
      <c r="V439" s="12" t="s">
        <v>44</v>
      </c>
      <c r="W439" s="13">
        <f>'[1]V, inciso p) (OP)'!AM214</f>
        <v>42975</v>
      </c>
      <c r="X439" s="13">
        <f>'[1]V, inciso p) (OP)'!AN214</f>
        <v>43079</v>
      </c>
      <c r="Y439" s="12" t="s">
        <v>742</v>
      </c>
      <c r="Z439" s="12" t="s">
        <v>927</v>
      </c>
      <c r="AA439" s="12" t="s">
        <v>191</v>
      </c>
      <c r="AB439" s="14" t="s">
        <v>1422</v>
      </c>
      <c r="AC439" s="14" t="s">
        <v>125</v>
      </c>
      <c r="AD439" s="14"/>
    </row>
    <row r="440" spans="1:30" ht="80.099999999999994" customHeight="1">
      <c r="A440" s="5">
        <v>158</v>
      </c>
      <c r="B440" s="12">
        <v>2017</v>
      </c>
      <c r="C440" s="14" t="str">
        <f>'[1]V, inciso p) (OP)'!B215</f>
        <v>Licitación por Invitación Restringida</v>
      </c>
      <c r="D440" s="14" t="str">
        <f>'[1]V, inciso p) (OP)'!D215</f>
        <v>DOPI-MUN-R33R-PAV-CI-158-2017</v>
      </c>
      <c r="E440" s="13">
        <f>'[1]V, inciso p) (OP)'!AD215</f>
        <v>42975</v>
      </c>
      <c r="F440" s="14" t="str">
        <f>'[1]V, inciso p) (OP)'!AL215</f>
        <v>Pavimentación con concreto hidráulico y complemento de las redes de agua potable y drenaje sanitario en calles de la colonia El Fresno, incluye: guarniciones, banquetas, servicios complementarios y señalética, en el municipio de Zapopan, Jalisco, primera etapa, frente 1.</v>
      </c>
      <c r="G440" s="14" t="str">
        <f>'[1]V, inciso p) (OP)'!AR215</f>
        <v>Remanentes del FAISM 2010-2015</v>
      </c>
      <c r="H440" s="15">
        <f>'[1]V, inciso p) (OP)'!AJ215</f>
        <v>3902689.29</v>
      </c>
      <c r="I440" s="14" t="str">
        <f>'[1]V, inciso p) (OP)'!AS215</f>
        <v>Col. El Fresno</v>
      </c>
      <c r="J440" s="14" t="str">
        <f>'[1]V, inciso p) (OP)'!T215</f>
        <v>JUAN JOSÉ</v>
      </c>
      <c r="K440" s="14" t="str">
        <f>'[1]V, inciso p) (OP)'!U215</f>
        <v>GUTIÉRREZ</v>
      </c>
      <c r="L440" s="14" t="str">
        <f>'[1]V, inciso p) (OP)'!V215</f>
        <v>CONTRERAS</v>
      </c>
      <c r="M440" s="14" t="str">
        <f>'[1]V, inciso p) (OP)'!W215</f>
        <v>RENCOIST CONSTRUCCIÓNES, S.A. DE C.V.</v>
      </c>
      <c r="N440" s="14" t="str">
        <f>'[1]V, inciso p) (OP)'!X215</f>
        <v>RCO130920JX9</v>
      </c>
      <c r="O440" s="15">
        <f t="shared" si="10"/>
        <v>3902689.29</v>
      </c>
      <c r="P440" s="15">
        <v>3902689.29</v>
      </c>
      <c r="Q440" s="21" t="s">
        <v>928</v>
      </c>
      <c r="R440" s="22">
        <f>O440/2086</f>
        <v>1870.8961121764141</v>
      </c>
      <c r="S440" s="12" t="s">
        <v>42</v>
      </c>
      <c r="T440" s="17">
        <v>354</v>
      </c>
      <c r="U440" s="14" t="s">
        <v>43</v>
      </c>
      <c r="V440" s="12" t="s">
        <v>44</v>
      </c>
      <c r="W440" s="13">
        <f>'[1]V, inciso p) (OP)'!AM215</f>
        <v>42975</v>
      </c>
      <c r="X440" s="13">
        <f>'[1]V, inciso p) (OP)'!AN215</f>
        <v>43079</v>
      </c>
      <c r="Y440" s="12" t="s">
        <v>830</v>
      </c>
      <c r="Z440" s="12" t="s">
        <v>831</v>
      </c>
      <c r="AA440" s="12" t="s">
        <v>134</v>
      </c>
      <c r="AB440" s="14" t="s">
        <v>1423</v>
      </c>
      <c r="AC440" s="14" t="s">
        <v>125</v>
      </c>
      <c r="AD440" s="14"/>
    </row>
    <row r="441" spans="1:30" ht="80.099999999999994" customHeight="1">
      <c r="A441" s="5">
        <v>159</v>
      </c>
      <c r="B441" s="12">
        <v>2017</v>
      </c>
      <c r="C441" s="14" t="str">
        <f>'[1]V, inciso p) (OP)'!B216</f>
        <v>Licitación por Invitación Restringida</v>
      </c>
      <c r="D441" s="14" t="str">
        <f>'[1]V, inciso p) (OP)'!D216</f>
        <v>DOPI-MUN-R33R-DS-CI-159-2017</v>
      </c>
      <c r="E441" s="13">
        <f>'[1]V, inciso p) (OP)'!AD216</f>
        <v>42975</v>
      </c>
      <c r="F441" s="14" t="str">
        <f>'[1]V, inciso p) (OP)'!AL216</f>
        <v>Construcción de Red de drenaje sanitario y línea de alejamiento en calles de la Colonia Rancho El Colorado, municipio de Zapopan, Jalisco. Frente 1.</v>
      </c>
      <c r="G441" s="14" t="str">
        <f>'[1]V, inciso p) (OP)'!AR216</f>
        <v>Remanentes del FAISM 2010-2015</v>
      </c>
      <c r="H441" s="15">
        <f>'[1]V, inciso p) (OP)'!AJ216</f>
        <v>4300702.76</v>
      </c>
      <c r="I441" s="14" t="str">
        <f>'[1]V, inciso p) (OP)'!AS216</f>
        <v>Col. Rancho el Colorado</v>
      </c>
      <c r="J441" s="14" t="str">
        <f>'[1]V, inciso p) (OP)'!T216</f>
        <v>ELVIA ALEJANDRA</v>
      </c>
      <c r="K441" s="14" t="str">
        <f>'[1]V, inciso p) (OP)'!U216</f>
        <v>TORRES</v>
      </c>
      <c r="L441" s="14" t="str">
        <f>'[1]V, inciso p) (OP)'!V216</f>
        <v>VILLA</v>
      </c>
      <c r="M441" s="14" t="str">
        <f>'[1]V, inciso p) (OP)'!W216</f>
        <v>PROCOURZA, S.A. DE C.V.</v>
      </c>
      <c r="N441" s="14" t="str">
        <f>'[1]V, inciso p) (OP)'!X216</f>
        <v>PRO0205208F2</v>
      </c>
      <c r="O441" s="15">
        <f t="shared" si="10"/>
        <v>4300702.76</v>
      </c>
      <c r="P441" s="15">
        <f>O441</f>
        <v>4300702.76</v>
      </c>
      <c r="Q441" s="21" t="s">
        <v>929</v>
      </c>
      <c r="R441" s="22">
        <f>O441/789</f>
        <v>5450.8273257287701</v>
      </c>
      <c r="S441" s="12" t="s">
        <v>42</v>
      </c>
      <c r="T441" s="17">
        <v>698</v>
      </c>
      <c r="U441" s="14" t="s">
        <v>43</v>
      </c>
      <c r="V441" s="12" t="s">
        <v>378</v>
      </c>
      <c r="W441" s="13">
        <f>'[1]V, inciso p) (OP)'!AM216</f>
        <v>42975</v>
      </c>
      <c r="X441" s="13">
        <f>'[1]V, inciso p) (OP)'!AN216</f>
        <v>43079</v>
      </c>
      <c r="Y441" s="12" t="s">
        <v>919</v>
      </c>
      <c r="Z441" s="12" t="s">
        <v>920</v>
      </c>
      <c r="AA441" s="12" t="s">
        <v>97</v>
      </c>
      <c r="AB441" s="14" t="s">
        <v>1424</v>
      </c>
      <c r="AC441" s="14" t="s">
        <v>48</v>
      </c>
      <c r="AD441" s="14" t="s">
        <v>1571</v>
      </c>
    </row>
    <row r="442" spans="1:30" ht="80.099999999999994" customHeight="1">
      <c r="A442" s="5">
        <v>160</v>
      </c>
      <c r="B442" s="12">
        <v>2017</v>
      </c>
      <c r="C442" s="14" t="str">
        <f>'[1]V, inciso p) (OP)'!B217</f>
        <v>Licitación por Invitación Restringida</v>
      </c>
      <c r="D442" s="14" t="str">
        <f>'[1]V, inciso p) (OP)'!D217</f>
        <v>DOPI-MUN-R33R-DS-CI-160-2017</v>
      </c>
      <c r="E442" s="13">
        <f>'[1]V, inciso p) (OP)'!AD217</f>
        <v>42975</v>
      </c>
      <c r="F442" s="14" t="str">
        <f>'[1]V, inciso p) (OP)'!AL217</f>
        <v>Construcción de Red de drenaje sanitario y línea de alejamiento en calles de la Colonia Rancho El Colorado, municipio de Zapopan, Jalisco. Frente 2.</v>
      </c>
      <c r="G442" s="14" t="str">
        <f>'[1]V, inciso p) (OP)'!AR217</f>
        <v>Remanentes del FAISM 2010-2015</v>
      </c>
      <c r="H442" s="15">
        <f>'[1]V, inciso p) (OP)'!AJ217</f>
        <v>4367052.4800000004</v>
      </c>
      <c r="I442" s="14" t="str">
        <f>'[1]V, inciso p) (OP)'!AS217</f>
        <v>Col. Rancho el Colorado</v>
      </c>
      <c r="J442" s="14" t="str">
        <f>'[1]V, inciso p) (OP)'!T217</f>
        <v>MARÍA ARCELIA</v>
      </c>
      <c r="K442" s="14" t="str">
        <f>'[1]V, inciso p) (OP)'!U217</f>
        <v>IÑIGUEZ</v>
      </c>
      <c r="L442" s="14" t="str">
        <f>'[1]V, inciso p) (OP)'!V217</f>
        <v>HERNÁNDEZ</v>
      </c>
      <c r="M442" s="14" t="str">
        <f>'[1]V, inciso p) (OP)'!W217</f>
        <v>COMERCIALIZADORA POLIGONO, S..A DE C.V.</v>
      </c>
      <c r="N442" s="14" t="str">
        <f>'[1]V, inciso p) (OP)'!X217</f>
        <v>COP1209104M8</v>
      </c>
      <c r="O442" s="15">
        <f t="shared" si="10"/>
        <v>4367052.4800000004</v>
      </c>
      <c r="P442" s="15">
        <v>4367052.4800000004</v>
      </c>
      <c r="Q442" s="21" t="s">
        <v>930</v>
      </c>
      <c r="R442" s="22">
        <f>O442/760</f>
        <v>5746.1216842105268</v>
      </c>
      <c r="S442" s="12" t="s">
        <v>42</v>
      </c>
      <c r="T442" s="17">
        <v>698</v>
      </c>
      <c r="U442" s="14" t="s">
        <v>43</v>
      </c>
      <c r="V442" s="12" t="s">
        <v>378</v>
      </c>
      <c r="W442" s="13">
        <f>'[1]V, inciso p) (OP)'!AM217</f>
        <v>42975</v>
      </c>
      <c r="X442" s="13">
        <f>'[1]V, inciso p) (OP)'!AN217</f>
        <v>43079</v>
      </c>
      <c r="Y442" s="12" t="s">
        <v>919</v>
      </c>
      <c r="Z442" s="12" t="s">
        <v>920</v>
      </c>
      <c r="AA442" s="12" t="s">
        <v>97</v>
      </c>
      <c r="AB442" s="14" t="s">
        <v>1425</v>
      </c>
      <c r="AC442" s="14" t="s">
        <v>48</v>
      </c>
      <c r="AD442" s="14"/>
    </row>
    <row r="443" spans="1:30" ht="80.099999999999994" customHeight="1">
      <c r="A443" s="5">
        <v>161</v>
      </c>
      <c r="B443" s="12">
        <v>2017</v>
      </c>
      <c r="C443" s="14" t="str">
        <f>'[1]V, inciso p) (OP)'!B218</f>
        <v>Licitación por Invitación Restringida</v>
      </c>
      <c r="D443" s="14" t="str">
        <f>'[1]V, inciso p) (OP)'!D218</f>
        <v>DOPI-MUN-R33R-DP-CI-161-2017</v>
      </c>
      <c r="E443" s="13">
        <f>'[1]V, inciso p) (OP)'!AD218</f>
        <v>42985</v>
      </c>
      <c r="F443" s="14" t="str">
        <f>'[1]V, inciso p) (OP)'!AL218</f>
        <v xml:space="preserve">Construcción de drenaje pluvial en la calle Santa Mercedez de Av. Tesistán a Av. Jesús, colonia Tuzania Ejidal, municipio de Zapopan, Jalisco. </v>
      </c>
      <c r="G443" s="14" t="str">
        <f>'[1]V, inciso p) (OP)'!AR218</f>
        <v>Remanentes del FAISM 2010-2015</v>
      </c>
      <c r="H443" s="15">
        <f>'[1]V, inciso p) (OP)'!AJ218</f>
        <v>3237831.14</v>
      </c>
      <c r="I443" s="14" t="str">
        <f>'[1]V, inciso p) (OP)'!AS218</f>
        <v>Colonia Tuzania Ejidal</v>
      </c>
      <c r="J443" s="14" t="str">
        <f>'[1]V, inciso p) (OP)'!T218</f>
        <v>JAVIER</v>
      </c>
      <c r="K443" s="14" t="str">
        <f>'[1]V, inciso p) (OP)'!U218</f>
        <v xml:space="preserve">ÁVILA </v>
      </c>
      <c r="L443" s="14" t="str">
        <f>'[1]V, inciso p) (OP)'!V218</f>
        <v>FLORES</v>
      </c>
      <c r="M443" s="14" t="str">
        <f>'[1]V, inciso p) (OP)'!W218</f>
        <v>SAVHO CONSULTORÍA Y CONSTRUCCIÓN, S.A. DE C.V.</v>
      </c>
      <c r="N443" s="14" t="str">
        <f>'[1]V, inciso p) (OP)'!X218</f>
        <v>SCC060622HZ3</v>
      </c>
      <c r="O443" s="15">
        <f t="shared" si="10"/>
        <v>3237831.14</v>
      </c>
      <c r="P443" s="15">
        <v>3237831.14</v>
      </c>
      <c r="Q443" s="21" t="s">
        <v>931</v>
      </c>
      <c r="R443" s="22">
        <f>O443/282</f>
        <v>11481.670709219859</v>
      </c>
      <c r="S443" s="12" t="s">
        <v>42</v>
      </c>
      <c r="T443" s="17">
        <v>963</v>
      </c>
      <c r="U443" s="14" t="s">
        <v>43</v>
      </c>
      <c r="V443" s="12" t="s">
        <v>44</v>
      </c>
      <c r="W443" s="13">
        <f>'[1]V, inciso p) (OP)'!AM218</f>
        <v>42986</v>
      </c>
      <c r="X443" s="13">
        <f>'[1]V, inciso p) (OP)'!AN218</f>
        <v>43083</v>
      </c>
      <c r="Y443" s="12" t="s">
        <v>365</v>
      </c>
      <c r="Z443" s="12" t="s">
        <v>366</v>
      </c>
      <c r="AA443" s="12" t="s">
        <v>367</v>
      </c>
      <c r="AB443" s="14" t="s">
        <v>1426</v>
      </c>
      <c r="AC443" s="14" t="s">
        <v>125</v>
      </c>
      <c r="AD443" s="14"/>
    </row>
    <row r="444" spans="1:30" ht="80.099999999999994" customHeight="1">
      <c r="A444" s="5">
        <v>162</v>
      </c>
      <c r="B444" s="12">
        <v>2017</v>
      </c>
      <c r="C444" s="14" t="str">
        <f>'[1]V, inciso p) (OP)'!B219</f>
        <v>Licitación por Invitación Restringida</v>
      </c>
      <c r="D444" s="14" t="str">
        <f>'[1]V, inciso p) (OP)'!D219</f>
        <v>DOPI-MUN-R33R-IH-CI-162-2017</v>
      </c>
      <c r="E444" s="13">
        <f>'[1]V, inciso p) (OP)'!AD219</f>
        <v>42985</v>
      </c>
      <c r="F444" s="14" t="str">
        <f>'[1]V, inciso p) (OP)'!AL219</f>
        <v>Construcción de línea de conducción y rehabilitación de tanques en las colonias San Isidro y San Esteban, municipio de Zapopan, Jalisco.</v>
      </c>
      <c r="G444" s="14" t="str">
        <f>'[1]V, inciso p) (OP)'!AR219</f>
        <v>Remanentes del FAISM 2010-2015</v>
      </c>
      <c r="H444" s="15">
        <f>'[1]V, inciso p) (OP)'!AJ219</f>
        <v>2278926.08</v>
      </c>
      <c r="I444" s="14" t="str">
        <f>'[1]V, inciso p) (OP)'!AS219</f>
        <v>Colonias San Isidro y San Esteban</v>
      </c>
      <c r="J444" s="14" t="str">
        <f>'[1]V, inciso p) (OP)'!T219</f>
        <v>JAVIER</v>
      </c>
      <c r="K444" s="14" t="str">
        <f>'[1]V, inciso p) (OP)'!U219</f>
        <v>CHACON</v>
      </c>
      <c r="L444" s="14" t="str">
        <f>'[1]V, inciso p) (OP)'!V219</f>
        <v>BENAVIDES</v>
      </c>
      <c r="M444" s="14" t="str">
        <f>'[1]V, inciso p) (OP)'!W219</f>
        <v>CIARCO CONSTRUCTORA, S.A. DE C.V.</v>
      </c>
      <c r="N444" s="14" t="str">
        <f>'[1]V, inciso p) (OP)'!X219</f>
        <v>CCO9407296S3</v>
      </c>
      <c r="O444" s="15">
        <f t="shared" si="10"/>
        <v>2278926.08</v>
      </c>
      <c r="P444" s="15">
        <f>O444</f>
        <v>2278926.08</v>
      </c>
      <c r="Q444" s="21" t="s">
        <v>932</v>
      </c>
      <c r="R444" s="22">
        <f>O444/1475</f>
        <v>1545.0346305084747</v>
      </c>
      <c r="S444" s="12" t="s">
        <v>42</v>
      </c>
      <c r="T444" s="17">
        <v>169</v>
      </c>
      <c r="U444" s="14" t="s">
        <v>43</v>
      </c>
      <c r="V444" s="12" t="s">
        <v>378</v>
      </c>
      <c r="W444" s="13">
        <f>'[1]V, inciso p) (OP)'!AM219</f>
        <v>42986</v>
      </c>
      <c r="X444" s="13">
        <f>'[1]V, inciso p) (OP)'!AN219</f>
        <v>43075</v>
      </c>
      <c r="Y444" s="12" t="s">
        <v>767</v>
      </c>
      <c r="Z444" s="12" t="s">
        <v>843</v>
      </c>
      <c r="AA444" s="12" t="s">
        <v>769</v>
      </c>
      <c r="AB444" s="14" t="s">
        <v>1427</v>
      </c>
      <c r="AC444" s="14" t="s">
        <v>48</v>
      </c>
      <c r="AD444" s="14" t="s">
        <v>1571</v>
      </c>
    </row>
    <row r="445" spans="1:30" ht="80.099999999999994" customHeight="1">
      <c r="A445" s="5">
        <v>163</v>
      </c>
      <c r="B445" s="12">
        <v>2017</v>
      </c>
      <c r="C445" s="12" t="s">
        <v>65</v>
      </c>
      <c r="D445" s="14" t="str">
        <f>'[1]V, inciso o) (OP)'!C232</f>
        <v>DOPI-MUN-R33-IH-AD-163-2017</v>
      </c>
      <c r="E445" s="13">
        <f>'[1]V, inciso o) (OP)'!V232</f>
        <v>42950</v>
      </c>
      <c r="F445" s="14" t="str">
        <f>'[1]V, inciso o) (OP)'!AA232</f>
        <v>Revestimiento de canal pluvial y obras de drenaje, sobre calle Pinos de calle Periodistas a calle Fresno, en la colonia Lomas del Centinela, municipio de Zapopan, Jalisco. Primera etapa.</v>
      </c>
      <c r="G445" s="14" t="s">
        <v>933</v>
      </c>
      <c r="H445" s="15">
        <f>'[1]V, inciso o) (OP)'!Y232</f>
        <v>1569323.53</v>
      </c>
      <c r="I445" s="14" t="s">
        <v>934</v>
      </c>
      <c r="J445" s="14" t="str">
        <f>'[1]V, inciso o) (OP)'!M232</f>
        <v>JOSÉ JAIME</v>
      </c>
      <c r="K445" s="12" t="str">
        <f>'[1]V, inciso o) (OP)'!N232</f>
        <v>CAMARENA</v>
      </c>
      <c r="L445" s="12" t="str">
        <f>'[1]V, inciso o) (OP)'!O232</f>
        <v>CORREA</v>
      </c>
      <c r="M445" s="14" t="str">
        <f>'[1]V, inciso o) (OP)'!P232</f>
        <v>FIRMITAS CONSTRUCTA, S.A. DE C.V.</v>
      </c>
      <c r="N445" s="12" t="str">
        <f>'[1]V, inciso o) (OP)'!Q232</f>
        <v>FCO110711N24</v>
      </c>
      <c r="O445" s="15">
        <f t="shared" si="10"/>
        <v>1569323.53</v>
      </c>
      <c r="P445" s="15">
        <v>1555756.95</v>
      </c>
      <c r="Q445" s="12" t="s">
        <v>935</v>
      </c>
      <c r="R445" s="15">
        <f>O445/740</f>
        <v>2120.7074729729729</v>
      </c>
      <c r="S445" s="12" t="s">
        <v>42</v>
      </c>
      <c r="T445" s="17">
        <v>459</v>
      </c>
      <c r="U445" s="14" t="s">
        <v>43</v>
      </c>
      <c r="V445" s="12" t="s">
        <v>44</v>
      </c>
      <c r="W445" s="13">
        <f>'[1]V, inciso o) (OP)'!AD232</f>
        <v>42954</v>
      </c>
      <c r="X445" s="13">
        <f>'[1]V, inciso o) (OP)'!AE232</f>
        <v>43016</v>
      </c>
      <c r="Y445" s="12" t="s">
        <v>822</v>
      </c>
      <c r="Z445" s="12" t="s">
        <v>823</v>
      </c>
      <c r="AA445" s="12" t="s">
        <v>97</v>
      </c>
      <c r="AB445" s="14" t="s">
        <v>1555</v>
      </c>
      <c r="AC445" s="14" t="s">
        <v>125</v>
      </c>
      <c r="AD445" s="14"/>
    </row>
    <row r="446" spans="1:30" ht="80.099999999999994" customHeight="1">
      <c r="A446" s="5">
        <v>164</v>
      </c>
      <c r="B446" s="12">
        <v>2017</v>
      </c>
      <c r="C446" s="14" t="str">
        <f>'[1]V, inciso p) (OP)'!B220</f>
        <v>Licitación Pública</v>
      </c>
      <c r="D446" s="14" t="str">
        <f>'[1]V, inciso p) (OP)'!D220</f>
        <v>DOPI-EST-FOCOCI-IU-LP-164-2017</v>
      </c>
      <c r="E446" s="13">
        <f>'[1]V, inciso p) (OP)'!AD220</f>
        <v>43014</v>
      </c>
      <c r="F446" s="14" t="str">
        <f>'[1]V, inciso p) (OP)'!AL220</f>
        <v>Rehabilitación del Parque Unidad de Manejo Ambiental Villa Fantasía, en la colonia Tepeyac, frente 1, (ingreso, cafetería, área lúdica pedagógica y áreas exteriores), en el municipio de Zapopan, Jalisco.</v>
      </c>
      <c r="G446" s="14" t="str">
        <f>'[1]V, inciso p) (OP)'!AR220</f>
        <v>FONDO COMÚN CONCURSABLE PARA LA INFRAESTRUCTURA 2017</v>
      </c>
      <c r="H446" s="15">
        <f>'[1]V, inciso p) (OP)'!AJ220</f>
        <v>13203258.699999999</v>
      </c>
      <c r="I446" s="14" t="str">
        <f>'[1]V, inciso p) (OP)'!AS220</f>
        <v>Colonia Tepeyac</v>
      </c>
      <c r="J446" s="14" t="str">
        <f>'[1]V, inciso p) (OP)'!T220</f>
        <v>ERNESTO</v>
      </c>
      <c r="K446" s="14" t="str">
        <f>'[1]V, inciso p) (OP)'!U220</f>
        <v>OLIVARES</v>
      </c>
      <c r="L446" s="14" t="str">
        <f>'[1]V, inciso p) (OP)'!V220</f>
        <v>ÁLVAREZ</v>
      </c>
      <c r="M446" s="14" t="str">
        <f>'[1]V, inciso p) (OP)'!W220</f>
        <v>SERVICIOS METROPOLITANOS DE JALISCO, S.A. DE C.V.</v>
      </c>
      <c r="N446" s="14" t="str">
        <f>'[1]V, inciso p) (OP)'!X220</f>
        <v>SMJ090317FS9</v>
      </c>
      <c r="O446" s="15">
        <f t="shared" si="10"/>
        <v>13203258.699999999</v>
      </c>
      <c r="P446" s="15">
        <v>13203258.699999999</v>
      </c>
      <c r="Q446" s="21" t="s">
        <v>936</v>
      </c>
      <c r="R446" s="22">
        <f>O446/5692</f>
        <v>2319.6167779339421</v>
      </c>
      <c r="S446" s="12" t="s">
        <v>42</v>
      </c>
      <c r="T446" s="17">
        <v>1332272</v>
      </c>
      <c r="U446" s="14" t="s">
        <v>43</v>
      </c>
      <c r="V446" s="12" t="s">
        <v>44</v>
      </c>
      <c r="W446" s="13">
        <f>'[1]V, inciso p) (OP)'!AM220</f>
        <v>43014</v>
      </c>
      <c r="X446" s="13">
        <f>'[1]V, inciso p) (OP)'!AN220</f>
        <v>43100</v>
      </c>
      <c r="Y446" s="12" t="s">
        <v>854</v>
      </c>
      <c r="Z446" s="12" t="s">
        <v>455</v>
      </c>
      <c r="AA446" s="12" t="s">
        <v>456</v>
      </c>
      <c r="AB446" s="14" t="s">
        <v>1428</v>
      </c>
      <c r="AC446" s="14" t="s">
        <v>125</v>
      </c>
      <c r="AD446" s="12"/>
    </row>
    <row r="447" spans="1:30" ht="80.099999999999994" customHeight="1">
      <c r="A447" s="5">
        <v>165</v>
      </c>
      <c r="B447" s="12">
        <v>2017</v>
      </c>
      <c r="C447" s="14" t="str">
        <f>'[1]V, inciso p) (OP)'!B221</f>
        <v>Licitación Pública</v>
      </c>
      <c r="D447" s="14" t="str">
        <f>'[1]V, inciso p) (OP)'!D221</f>
        <v>DOPI-EST-FOCOCI-IU-LP-165-2017</v>
      </c>
      <c r="E447" s="13">
        <f>'[1]V, inciso p) (OP)'!AD221</f>
        <v>43014</v>
      </c>
      <c r="F447" s="14" t="str">
        <f>'[1]V, inciso p) (OP)'!AL221</f>
        <v>Rehabilitación del Parque Unidad de Manejo Ambiental Villa Fantasía, en la colonia Tepeyac, frente 2, (clínica, edificio administrativo y módulo de baños), en el municipio de Zapopan, Jalisco.</v>
      </c>
      <c r="G447" s="14" t="str">
        <f>'[1]V, inciso p) (OP)'!AR221</f>
        <v>FONDO COMÚN CONCURSABLE PARA LA INFRAESTRUCTURA 2017</v>
      </c>
      <c r="H447" s="15">
        <f>'[1]V, inciso p) (OP)'!AJ221</f>
        <v>7332126.9800000004</v>
      </c>
      <c r="I447" s="14" t="str">
        <f>'[1]V, inciso p) (OP)'!AS221</f>
        <v>Colonia Tepeyac</v>
      </c>
      <c r="J447" s="14" t="str">
        <f>'[1]V, inciso p) (OP)'!T221</f>
        <v>IGNACIO JAVIER</v>
      </c>
      <c r="K447" s="14" t="str">
        <f>'[1]V, inciso p) (OP)'!U221</f>
        <v>CURIEL</v>
      </c>
      <c r="L447" s="14" t="str">
        <f>'[1]V, inciso p) (OP)'!V221</f>
        <v>DUEÑAS</v>
      </c>
      <c r="M447" s="14" t="str">
        <f>'[1]V, inciso p) (OP)'!W221</f>
        <v>TC CONSTRUCCIÓN Y MANTENIMIENTO, S.A. DE C.V.</v>
      </c>
      <c r="N447" s="14" t="str">
        <f>'[1]V, inciso p) (OP)'!X221</f>
        <v>TCM100915HA1</v>
      </c>
      <c r="O447" s="15">
        <f t="shared" si="10"/>
        <v>7332126.9800000004</v>
      </c>
      <c r="P447" s="15">
        <v>7332126.9800000004</v>
      </c>
      <c r="Q447" s="21" t="s">
        <v>937</v>
      </c>
      <c r="R447" s="22">
        <f>O447/568</f>
        <v>12908.674260563381</v>
      </c>
      <c r="S447" s="12" t="s">
        <v>42</v>
      </c>
      <c r="T447" s="17">
        <v>1332272</v>
      </c>
      <c r="U447" s="14" t="s">
        <v>43</v>
      </c>
      <c r="V447" s="12" t="s">
        <v>44</v>
      </c>
      <c r="W447" s="13">
        <f>'[1]V, inciso p) (OP)'!AM221</f>
        <v>43014</v>
      </c>
      <c r="X447" s="13">
        <f>'[1]V, inciso p) (OP)'!AN221</f>
        <v>43100</v>
      </c>
      <c r="Y447" s="12" t="s">
        <v>854</v>
      </c>
      <c r="Z447" s="12" t="s">
        <v>455</v>
      </c>
      <c r="AA447" s="12" t="s">
        <v>456</v>
      </c>
      <c r="AB447" s="14" t="s">
        <v>1429</v>
      </c>
      <c r="AC447" s="14" t="s">
        <v>125</v>
      </c>
      <c r="AD447" s="12"/>
    </row>
    <row r="448" spans="1:30" ht="80.099999999999994" customHeight="1">
      <c r="A448" s="5">
        <v>166</v>
      </c>
      <c r="B448" s="12">
        <v>2017</v>
      </c>
      <c r="C448" s="14" t="str">
        <f>'[1]V, inciso p) (OP)'!B222</f>
        <v>Licitación Pública</v>
      </c>
      <c r="D448" s="14" t="str">
        <f>'[1]V, inciso p) (OP)'!D222</f>
        <v>DOPI-EST-FOCOCI-IU-LP-166-2017</v>
      </c>
      <c r="E448" s="13">
        <f>'[1]V, inciso p) (OP)'!AD222</f>
        <v>43014</v>
      </c>
      <c r="F448" s="14" t="str">
        <f>'[1]V, inciso p) (OP)'!AL222</f>
        <v>Rehabilitación del Parque Unidad de Manejo Ambiental Villa Fantasía, en la colonia Tepeyac, frente 3, (hábitats zona 1), en el municipio de Zapopan, Jalisco.</v>
      </c>
      <c r="G448" s="14" t="str">
        <f>'[1]V, inciso p) (OP)'!AR222</f>
        <v>FONDO COMÚN CONCURSABLE PARA LA INFRAESTRUCTURA 2017</v>
      </c>
      <c r="H448" s="15">
        <f>'[1]V, inciso p) (OP)'!AJ222</f>
        <v>5976486.5099999998</v>
      </c>
      <c r="I448" s="14" t="str">
        <f>'[1]V, inciso p) (OP)'!AS222</f>
        <v>Colonia Tepeyac</v>
      </c>
      <c r="J448" s="14" t="str">
        <f>'[1]V, inciso p) (OP)'!T222</f>
        <v>ERICK</v>
      </c>
      <c r="K448" s="14" t="str">
        <f>'[1]V, inciso p) (OP)'!U222</f>
        <v>VILLASEÑOR</v>
      </c>
      <c r="L448" s="14" t="str">
        <f>'[1]V, inciso p) (OP)'!V222</f>
        <v>GUTIÉRREZ</v>
      </c>
      <c r="M448" s="14" t="str">
        <f>'[1]V, inciso p) (OP)'!W222</f>
        <v>PIXIDE CONSTRUCTORA, S.A. DE C.V.</v>
      </c>
      <c r="N448" s="14" t="str">
        <f>'[1]V, inciso p) (OP)'!X222</f>
        <v>PCO140829425</v>
      </c>
      <c r="O448" s="15">
        <f t="shared" si="10"/>
        <v>5976486.5099999998</v>
      </c>
      <c r="P448" s="15">
        <v>5976486.4900000002</v>
      </c>
      <c r="Q448" s="21" t="s">
        <v>938</v>
      </c>
      <c r="R448" s="22">
        <f>O448/16</f>
        <v>373530.40687499999</v>
      </c>
      <c r="S448" s="12" t="s">
        <v>42</v>
      </c>
      <c r="T448" s="17">
        <v>1332272</v>
      </c>
      <c r="U448" s="14" t="s">
        <v>43</v>
      </c>
      <c r="V448" s="12" t="s">
        <v>44</v>
      </c>
      <c r="W448" s="13">
        <f>'[1]V, inciso p) (OP)'!AM222</f>
        <v>43014</v>
      </c>
      <c r="X448" s="13">
        <f>'[1]V, inciso p) (OP)'!AN222</f>
        <v>43100</v>
      </c>
      <c r="Y448" s="12" t="s">
        <v>854</v>
      </c>
      <c r="Z448" s="12" t="s">
        <v>455</v>
      </c>
      <c r="AA448" s="12" t="s">
        <v>456</v>
      </c>
      <c r="AB448" s="14" t="s">
        <v>1430</v>
      </c>
      <c r="AC448" s="14" t="s">
        <v>125</v>
      </c>
      <c r="AD448" s="12"/>
    </row>
    <row r="449" spans="1:30" ht="80.099999999999994" customHeight="1">
      <c r="A449" s="5">
        <v>167</v>
      </c>
      <c r="B449" s="12">
        <v>2017</v>
      </c>
      <c r="C449" s="14" t="str">
        <f>'[1]V, inciso p) (OP)'!B223</f>
        <v>Licitación Pública</v>
      </c>
      <c r="D449" s="14" t="str">
        <f>'[1]V, inciso p) (OP)'!D223</f>
        <v>DOPI-EST-FOCOCI-IU-LP-167-2017</v>
      </c>
      <c r="E449" s="13">
        <f>'[1]V, inciso p) (OP)'!AD223</f>
        <v>43014</v>
      </c>
      <c r="F449" s="14" t="str">
        <f>'[1]V, inciso p) (OP)'!AL223</f>
        <v>Rehabilitación del Parque Unidad de Manejo Ambiental Villa Fantasía, en la colonia Tepeyac, frente 4, (hábitats zona 2), en el municipio de Zapopan, Jalisco.</v>
      </c>
      <c r="G449" s="14" t="str">
        <f>'[1]V, inciso p) (OP)'!AR223</f>
        <v>FONDO COMÚN CONCURSABLE PARA LA INFRAESTRUCTURA 2017</v>
      </c>
      <c r="H449" s="15">
        <f>'[1]V, inciso p) (OP)'!AJ223</f>
        <v>5139138.4800000004</v>
      </c>
      <c r="I449" s="14" t="str">
        <f>'[1]V, inciso p) (OP)'!AS223</f>
        <v>Colonia Tepeyac</v>
      </c>
      <c r="J449" s="14" t="str">
        <f>'[1]V, inciso p) (OP)'!T223</f>
        <v>CARLOS IGNACIO</v>
      </c>
      <c r="K449" s="14" t="str">
        <f>'[1]V, inciso p) (OP)'!U223</f>
        <v>CURIEL</v>
      </c>
      <c r="L449" s="14" t="str">
        <f>'[1]V, inciso p) (OP)'!V223</f>
        <v>DUEÑAS</v>
      </c>
      <c r="M449" s="14" t="str">
        <f>'[1]V, inciso p) (OP)'!W223</f>
        <v>CONSTRUCTORA CECUCHI, S.A. DE C.V.</v>
      </c>
      <c r="N449" s="14" t="str">
        <f>'[1]V, inciso p) (OP)'!X223</f>
        <v>CCE130723IR7</v>
      </c>
      <c r="O449" s="15">
        <f t="shared" si="10"/>
        <v>5139138.4800000004</v>
      </c>
      <c r="P449" s="15">
        <f>O449</f>
        <v>5139138.4800000004</v>
      </c>
      <c r="Q449" s="21" t="s">
        <v>939</v>
      </c>
      <c r="R449" s="22">
        <f>O449/6</f>
        <v>856523.08000000007</v>
      </c>
      <c r="S449" s="12" t="s">
        <v>42</v>
      </c>
      <c r="T449" s="17">
        <v>1332272</v>
      </c>
      <c r="U449" s="14" t="s">
        <v>43</v>
      </c>
      <c r="V449" s="12" t="s">
        <v>378</v>
      </c>
      <c r="W449" s="13">
        <f>'[1]V, inciso p) (OP)'!AM223</f>
        <v>43014</v>
      </c>
      <c r="X449" s="13">
        <f>'[1]V, inciso p) (OP)'!AN223</f>
        <v>43100</v>
      </c>
      <c r="Y449" s="12" t="s">
        <v>854</v>
      </c>
      <c r="Z449" s="12" t="s">
        <v>455</v>
      </c>
      <c r="AA449" s="12" t="s">
        <v>456</v>
      </c>
      <c r="AB449" s="14" t="s">
        <v>1431</v>
      </c>
      <c r="AC449" s="14" t="s">
        <v>48</v>
      </c>
      <c r="AD449" s="14" t="s">
        <v>1571</v>
      </c>
    </row>
    <row r="450" spans="1:30" ht="80.099999999999994" customHeight="1">
      <c r="A450" s="5">
        <v>168</v>
      </c>
      <c r="B450" s="12">
        <v>2017</v>
      </c>
      <c r="C450" s="14" t="str">
        <f>'[1]V, inciso p) (OP)'!B224</f>
        <v>Licitación Pública</v>
      </c>
      <c r="D450" s="14" t="str">
        <f>'[1]V, inciso p) (OP)'!D224</f>
        <v>DOPI-EST-CONVSCT-PAV-LP-168-2017</v>
      </c>
      <c r="E450" s="13">
        <f>'[1]V, inciso p) (OP)'!AD224</f>
        <v>43014</v>
      </c>
      <c r="F450" s="14" t="str">
        <f>'[1]V, inciso p) (OP)'!AL224</f>
        <v>Construcción, cimentación, apoyos y cabezales del retorno elevado en la carretera Guadalajara-Tepic km 11+650, municipio de Zapopan, Jalisco.</v>
      </c>
      <c r="G450" s="14" t="str">
        <f>'[1]V, inciso p) (OP)'!AR224</f>
        <v>CONVENIO DE COLABORACIÓN MUNICIPIO-ESTADO-SCT</v>
      </c>
      <c r="H450" s="15">
        <f>'[1]V, inciso p) (OP)'!AJ224</f>
        <v>16736200.74</v>
      </c>
      <c r="I450" s="14" t="str">
        <f>'[1]V, inciso p) (OP)'!AS224</f>
        <v>Colonia Rancho Contento</v>
      </c>
      <c r="J450" s="14" t="str">
        <f>'[1]V, inciso p) (OP)'!T224</f>
        <v>MIGUEL ÁNGEL</v>
      </c>
      <c r="K450" s="14" t="str">
        <f>'[1]V, inciso p) (OP)'!U224</f>
        <v>ROMERO</v>
      </c>
      <c r="L450" s="14" t="str">
        <f>'[1]V, inciso p) (OP)'!V224</f>
        <v>LUGO</v>
      </c>
      <c r="M450" s="14" t="str">
        <f>'[1]V, inciso p) (OP)'!W224</f>
        <v>OBRAS Y COMERCIALIZACION DE LA CONSTRUCCIÓN, S.A. DE C.V.</v>
      </c>
      <c r="N450" s="14" t="str">
        <f>'[1]V, inciso p) (OP)'!X224</f>
        <v>OCC940714PB0</v>
      </c>
      <c r="O450" s="15">
        <f t="shared" si="10"/>
        <v>16736200.74</v>
      </c>
      <c r="P450" s="15">
        <f>O450</f>
        <v>16736200.74</v>
      </c>
      <c r="Q450" s="21" t="s">
        <v>508</v>
      </c>
      <c r="R450" s="22">
        <f>O450</f>
        <v>16736200.74</v>
      </c>
      <c r="S450" s="12" t="s">
        <v>42</v>
      </c>
      <c r="T450" s="17">
        <v>1332272</v>
      </c>
      <c r="U450" s="14" t="s">
        <v>43</v>
      </c>
      <c r="V450" s="12" t="s">
        <v>378</v>
      </c>
      <c r="W450" s="13">
        <f>'[1]V, inciso p) (OP)'!AM224</f>
        <v>43014</v>
      </c>
      <c r="X450" s="13">
        <f>'[1]V, inciso p) (OP)'!AN224</f>
        <v>43100</v>
      </c>
      <c r="Y450" s="12" t="s">
        <v>385</v>
      </c>
      <c r="Z450" s="12" t="s">
        <v>46</v>
      </c>
      <c r="AA450" s="12" t="s">
        <v>47</v>
      </c>
      <c r="AB450" s="14" t="s">
        <v>1432</v>
      </c>
      <c r="AC450" s="14" t="s">
        <v>48</v>
      </c>
      <c r="AD450" s="14" t="s">
        <v>1571</v>
      </c>
    </row>
    <row r="451" spans="1:30" ht="80.099999999999994" customHeight="1">
      <c r="A451" s="5">
        <v>169</v>
      </c>
      <c r="B451" s="12">
        <v>2017</v>
      </c>
      <c r="C451" s="14" t="str">
        <f>'[1]V, inciso p) (OP)'!B225</f>
        <v>Licitación Pública</v>
      </c>
      <c r="D451" s="14" t="str">
        <f>'[1]V, inciso p) (OP)'!D225</f>
        <v>DOPI-FED-FF-PAV-LP-169-2017</v>
      </c>
      <c r="E451" s="13">
        <f>'[1]V, inciso p) (OP)'!AD225</f>
        <v>43031</v>
      </c>
      <c r="F451" s="14" t="str">
        <f>'[1]V, inciso p) (OP)'!AL225</f>
        <v xml:space="preserve">Pavimentación de Av. Guadalajara con concreto hidráulico tramo 1, en la colonia Nuevo México, municipio de Zapopan, Jalisco. </v>
      </c>
      <c r="G451" s="14" t="str">
        <f>'[1]V, inciso p) (OP)'!AR225</f>
        <v>FONDO PARA EL FORTALECIMIENTO FINANCIERO PARA LA INVERSIÓN (FORTALECIMIENTO) 2017 “D”</v>
      </c>
      <c r="H451" s="15">
        <f>'[1]V, inciso p) (OP)'!AJ225</f>
        <v>4498449.34</v>
      </c>
      <c r="I451" s="14" t="str">
        <f>'[1]V, inciso p) (OP)'!AS225</f>
        <v>Colonia Nuevo México</v>
      </c>
      <c r="J451" s="14" t="str">
        <f>'[1]V, inciso p) (OP)'!T225</f>
        <v>J. GERARDO</v>
      </c>
      <c r="K451" s="14" t="str">
        <f>'[1]V, inciso p) (OP)'!U225</f>
        <v>NICANOR</v>
      </c>
      <c r="L451" s="14" t="str">
        <f>'[1]V, inciso p) (OP)'!V225</f>
        <v>MEJIA MARISCAL</v>
      </c>
      <c r="M451" s="14" t="str">
        <f>'[1]V, inciso p) (OP)'!W225</f>
        <v>INECO CONSTRUYE, S.A. DE C.V.</v>
      </c>
      <c r="N451" s="14" t="str">
        <f>'[1]V, inciso p) (OP)'!X225</f>
        <v>ICO980722MQ4</v>
      </c>
      <c r="O451" s="15">
        <f t="shared" si="10"/>
        <v>4498449.34</v>
      </c>
      <c r="P451" s="15">
        <v>5404545</v>
      </c>
      <c r="Q451" s="21" t="s">
        <v>940</v>
      </c>
      <c r="R451" s="22">
        <f>O451/2640</f>
        <v>1703.9580833333332</v>
      </c>
      <c r="S451" s="12" t="s">
        <v>42</v>
      </c>
      <c r="T451" s="17">
        <v>85263</v>
      </c>
      <c r="U451" s="14" t="s">
        <v>43</v>
      </c>
      <c r="V451" s="12" t="s">
        <v>44</v>
      </c>
      <c r="W451" s="13">
        <f>'[1]V, inciso p) (OP)'!AM225</f>
        <v>43031</v>
      </c>
      <c r="X451" s="13">
        <f>'[1]V, inciso p) (OP)'!AN225</f>
        <v>43106</v>
      </c>
      <c r="Y451" s="12" t="s">
        <v>941</v>
      </c>
      <c r="Z451" s="12" t="s">
        <v>728</v>
      </c>
      <c r="AA451" s="12" t="s">
        <v>942</v>
      </c>
      <c r="AB451" s="14" t="s">
        <v>1433</v>
      </c>
      <c r="AC451" s="14" t="s">
        <v>125</v>
      </c>
      <c r="AD451" s="12"/>
    </row>
    <row r="452" spans="1:30" ht="80.099999999999994" customHeight="1">
      <c r="A452" s="5">
        <v>170</v>
      </c>
      <c r="B452" s="12">
        <v>2017</v>
      </c>
      <c r="C452" s="14" t="str">
        <f>'[1]V, inciso p) (OP)'!B226</f>
        <v>Licitación Pública</v>
      </c>
      <c r="D452" s="14" t="str">
        <f>'[1]V, inciso p) (OP)'!D226</f>
        <v>DOPI-FED-FF-PAV-LP-170-2017</v>
      </c>
      <c r="E452" s="13">
        <f>'[1]V, inciso p) (OP)'!AD226</f>
        <v>43031</v>
      </c>
      <c r="F452" s="14" t="str">
        <f>'[1]V, inciso p) (OP)'!AL226</f>
        <v xml:space="preserve">Pavimentación de Av. Guadalajara con concreto hidráulico tramo 2, en la colonia Nuevo México, municipio de Zapopan, Jalisco. </v>
      </c>
      <c r="G452" s="14" t="str">
        <f>'[1]V, inciso p) (OP)'!AR226</f>
        <v>FONDO PARA EL FORTALECIMIENTO FINANCIERO PARA LA INVERSIÓN (FORTALECIMIENTO) 2017 “D”</v>
      </c>
      <c r="H452" s="15">
        <f>'[1]V, inciso p) (OP)'!AJ226</f>
        <v>3719168.56</v>
      </c>
      <c r="I452" s="14" t="str">
        <f>'[1]V, inciso p) (OP)'!AS226</f>
        <v>Colonia Nuevo México</v>
      </c>
      <c r="J452" s="14" t="str">
        <f>'[1]V, inciso p) (OP)'!T226</f>
        <v>RICARDO</v>
      </c>
      <c r="K452" s="14" t="str">
        <f>'[1]V, inciso p) (OP)'!U226</f>
        <v>TECANHUEY</v>
      </c>
      <c r="L452" s="14" t="str">
        <f>'[1]V, inciso p) (OP)'!V226</f>
        <v>LARIOS</v>
      </c>
      <c r="M452" s="14" t="str">
        <f>'[1]V, inciso p) (OP)'!W226</f>
        <v>MQ RENTAL, S.A. DE C.V.</v>
      </c>
      <c r="N452" s="14" t="str">
        <f>'[1]V, inciso p) (OP)'!X226</f>
        <v>MRE151124EK1</v>
      </c>
      <c r="O452" s="15">
        <f t="shared" si="10"/>
        <v>3719168.56</v>
      </c>
      <c r="P452" s="15">
        <f>O452</f>
        <v>3719168.56</v>
      </c>
      <c r="Q452" s="21" t="s">
        <v>943</v>
      </c>
      <c r="R452" s="22">
        <f>O452/2013</f>
        <v>1847.5750422255342</v>
      </c>
      <c r="S452" s="12" t="s">
        <v>42</v>
      </c>
      <c r="T452" s="17">
        <v>85263</v>
      </c>
      <c r="U452" s="14" t="s">
        <v>43</v>
      </c>
      <c r="V452" s="12" t="s">
        <v>378</v>
      </c>
      <c r="W452" s="13">
        <f>'[1]V, inciso p) (OP)'!AM226</f>
        <v>43031</v>
      </c>
      <c r="X452" s="13">
        <f>'[1]V, inciso p) (OP)'!AN226</f>
        <v>43106</v>
      </c>
      <c r="Y452" s="12" t="s">
        <v>941</v>
      </c>
      <c r="Z452" s="12" t="s">
        <v>728</v>
      </c>
      <c r="AA452" s="12" t="s">
        <v>942</v>
      </c>
      <c r="AB452" s="14" t="s">
        <v>1434</v>
      </c>
      <c r="AC452" s="14" t="s">
        <v>48</v>
      </c>
      <c r="AD452" s="14" t="s">
        <v>1571</v>
      </c>
    </row>
    <row r="453" spans="1:30" ht="80.099999999999994" customHeight="1">
      <c r="A453" s="5">
        <v>171</v>
      </c>
      <c r="B453" s="12">
        <v>2017</v>
      </c>
      <c r="C453" s="14" t="str">
        <f>'[1]V, inciso p) (OP)'!B227</f>
        <v>Licitación Pública</v>
      </c>
      <c r="D453" s="14" t="str">
        <f>'[1]V, inciso p) (OP)'!D227</f>
        <v>DOPI-FED-FF-PAV-LP-171-2017</v>
      </c>
      <c r="E453" s="13">
        <f>'[1]V, inciso p) (OP)'!AD227</f>
        <v>43031</v>
      </c>
      <c r="F453" s="14" t="str">
        <f>'[1]V, inciso p) (OP)'!AL227</f>
        <v>Pavimentación de conexión vial Centro Cultural Constitución – Auditorio Telmex, con pavimento asfáltico, tramo 1 (Calz. Constituyentes – Calle Obreros de Cananea) en la colonia Constitución, municipio de Zapopan, Jalisco, frente 1.</v>
      </c>
      <c r="G453" s="14" t="str">
        <f>'[1]V, inciso p) (OP)'!AR227</f>
        <v>FONDO PARA EL FORTALECIMIENTO FINANCIERO PARA LA INVERSIÓN (FORTALECIMIENTO) 2017 “D”</v>
      </c>
      <c r="H453" s="15">
        <f>'[1]V, inciso p) (OP)'!AJ227</f>
        <v>4685823.0999999996</v>
      </c>
      <c r="I453" s="14" t="str">
        <f>'[1]V, inciso p) (OP)'!AS227</f>
        <v>Colonia Constitución</v>
      </c>
      <c r="J453" s="14" t="str">
        <f>'[1]V, inciso p) (OP)'!T227</f>
        <v>HAYDEE LILIANA</v>
      </c>
      <c r="K453" s="14" t="str">
        <f>'[1]V, inciso p) (OP)'!U227</f>
        <v>AGUILAR</v>
      </c>
      <c r="L453" s="14" t="str">
        <f>'[1]V, inciso p) (OP)'!V227</f>
        <v>CASSIAN</v>
      </c>
      <c r="M453" s="14" t="str">
        <f>'[1]V, inciso p) (OP)'!W227</f>
        <v>EDIFICA 2001, S.A. DE C.V.</v>
      </c>
      <c r="N453" s="14" t="str">
        <f>'[1]V, inciso p) (OP)'!X227</f>
        <v>EDM970225I68</v>
      </c>
      <c r="O453" s="15">
        <f t="shared" si="10"/>
        <v>4685823.0999999996</v>
      </c>
      <c r="P453" s="15">
        <v>1640038.07</v>
      </c>
      <c r="Q453" s="21" t="s">
        <v>944</v>
      </c>
      <c r="R453" s="22">
        <f>O453/3584</f>
        <v>1307.4283203124999</v>
      </c>
      <c r="S453" s="12" t="s">
        <v>42</v>
      </c>
      <c r="T453" s="17">
        <v>98623</v>
      </c>
      <c r="U453" s="14" t="s">
        <v>43</v>
      </c>
      <c r="V453" s="12" t="s">
        <v>378</v>
      </c>
      <c r="W453" s="13">
        <f>'[1]V, inciso p) (OP)'!AM227</f>
        <v>43031</v>
      </c>
      <c r="X453" s="13">
        <f>'[1]V, inciso p) (OP)'!AN227</f>
        <v>43106</v>
      </c>
      <c r="Y453" s="12" t="s">
        <v>615</v>
      </c>
      <c r="Z453" s="12" t="s">
        <v>127</v>
      </c>
      <c r="AA453" s="12" t="s">
        <v>945</v>
      </c>
      <c r="AB453" s="14" t="s">
        <v>1435</v>
      </c>
      <c r="AC453" s="14" t="s">
        <v>48</v>
      </c>
      <c r="AD453" s="14"/>
    </row>
    <row r="454" spans="1:30" ht="80.099999999999994" customHeight="1">
      <c r="A454" s="5">
        <v>172</v>
      </c>
      <c r="B454" s="12">
        <v>2017</v>
      </c>
      <c r="C454" s="14" t="str">
        <f>'[1]V, inciso p) (OP)'!B228</f>
        <v>Licitación Pública</v>
      </c>
      <c r="D454" s="14" t="str">
        <f>'[1]V, inciso p) (OP)'!D228</f>
        <v>DOPI-FED-FF-PAV-LP-172-2017</v>
      </c>
      <c r="E454" s="13">
        <f>'[1]V, inciso p) (OP)'!AD228</f>
        <v>43031</v>
      </c>
      <c r="F454" s="14" t="str">
        <f>'[1]V, inciso p) (OP)'!AL228</f>
        <v>Pavimentación de conexión vial Centro Cultural Constitución – Auditorio Telmex, con pavimento asfáltico, tramo 1 (Calz. Constituyentes – Calle Obreros de Cananea) en la colonia Constitución, municipio de Zapopan, Jalisco, frente 2.</v>
      </c>
      <c r="G454" s="14" t="str">
        <f>'[1]V, inciso p) (OP)'!AR228</f>
        <v>FONDO PARA EL FORTALECIMIENTO FINANCIERO PARA LA INVERSIÓN (FORTALECIMIENTO) 2017 “D”</v>
      </c>
      <c r="H454" s="15">
        <f>'[1]V, inciso p) (OP)'!AJ228</f>
        <v>4716160.6900000004</v>
      </c>
      <c r="I454" s="14" t="str">
        <f>'[1]V, inciso p) (OP)'!AS228</f>
        <v>Colonia Constitución</v>
      </c>
      <c r="J454" s="14" t="str">
        <f>'[1]V, inciso p) (OP)'!T228</f>
        <v>ALEX</v>
      </c>
      <c r="K454" s="14" t="str">
        <f>'[1]V, inciso p) (OP)'!U228</f>
        <v>MEDINA</v>
      </c>
      <c r="L454" s="14" t="str">
        <f>'[1]V, inciso p) (OP)'!V228</f>
        <v>GÓMEZ</v>
      </c>
      <c r="M454" s="14" t="str">
        <f>'[1]V, inciso p) (OP)'!W228</f>
        <v xml:space="preserve">MEDGAR CONSTRUCCIONES, S.A. </v>
      </c>
      <c r="N454" s="14" t="str">
        <f>'[1]V, inciso p) (OP)'!X228</f>
        <v>MCO150527NY3</v>
      </c>
      <c r="O454" s="15">
        <f t="shared" si="10"/>
        <v>4716160.6900000004</v>
      </c>
      <c r="P454" s="15">
        <v>4900000</v>
      </c>
      <c r="Q454" s="21" t="s">
        <v>946</v>
      </c>
      <c r="R454" s="22">
        <f>O454/3615</f>
        <v>1304.6087662517291</v>
      </c>
      <c r="S454" s="12" t="s">
        <v>42</v>
      </c>
      <c r="T454" s="17">
        <v>98623</v>
      </c>
      <c r="U454" s="14" t="s">
        <v>43</v>
      </c>
      <c r="V454" s="12" t="s">
        <v>44</v>
      </c>
      <c r="W454" s="13">
        <f>'[1]V, inciso p) (OP)'!AM228</f>
        <v>43031</v>
      </c>
      <c r="X454" s="13">
        <f>'[1]V, inciso p) (OP)'!AN228</f>
        <v>43106</v>
      </c>
      <c r="Y454" s="12" t="s">
        <v>615</v>
      </c>
      <c r="Z454" s="12" t="s">
        <v>127</v>
      </c>
      <c r="AA454" s="12" t="s">
        <v>945</v>
      </c>
      <c r="AB454" s="14" t="s">
        <v>1436</v>
      </c>
      <c r="AC454" s="14" t="s">
        <v>125</v>
      </c>
      <c r="AD454" s="12"/>
    </row>
    <row r="455" spans="1:30" ht="80.099999999999994" customHeight="1">
      <c r="A455" s="5">
        <v>173</v>
      </c>
      <c r="B455" s="12">
        <v>2017</v>
      </c>
      <c r="C455" s="14" t="str">
        <f>'[1]V, inciso p) (OP)'!B229</f>
        <v>Licitación Pública</v>
      </c>
      <c r="D455" s="14" t="str">
        <f>'[1]V, inciso p) (OP)'!D229</f>
        <v>DOPI-FED-FF-PAV-LP-173-2017</v>
      </c>
      <c r="E455" s="13">
        <f>'[1]V, inciso p) (OP)'!AD229</f>
        <v>43031</v>
      </c>
      <c r="F455" s="14" t="str">
        <f>'[1]V, inciso p) (OP)'!AL229</f>
        <v>Pavimentación de conexión vial Centro Cultural Constitución – Auditorio Telmex, con pavimento asfáltico, tramo 2 (Calz. Constituyentes – Calle Obreros de Cananea) en la colonia Constitución, municipio de Zapopan, Jalisco, frente 1.</v>
      </c>
      <c r="G455" s="14" t="str">
        <f>'[1]V, inciso p) (OP)'!AR229</f>
        <v>FONDO PARA EL FORTALECIMIENTO FINANCIERO PARA LA INVERSIÓN (FORTALECIMIENTO) 2017 “D”</v>
      </c>
      <c r="H455" s="15">
        <f>'[1]V, inciso p) (OP)'!AJ229</f>
        <v>4987550.67</v>
      </c>
      <c r="I455" s="14" t="str">
        <f>'[1]V, inciso p) (OP)'!AS229</f>
        <v>Colonia Constitución</v>
      </c>
      <c r="J455" s="14" t="str">
        <f>'[1]V, inciso p) (OP)'!T229</f>
        <v>VICTOR MANUEL</v>
      </c>
      <c r="K455" s="14" t="str">
        <f>'[1]V, inciso p) (OP)'!U229</f>
        <v>JAUREGUI</v>
      </c>
      <c r="L455" s="14" t="str">
        <f>'[1]V, inciso p) (OP)'!V229</f>
        <v>TORRES</v>
      </c>
      <c r="M455" s="14" t="str">
        <f>'[1]V, inciso p) (OP)'!W229</f>
        <v>CONSTRUCTORA ERLORT Y ASOCIADOS, S.A. DE C.V.</v>
      </c>
      <c r="N455" s="14" t="str">
        <f>'[1]V, inciso p) (OP)'!X229</f>
        <v>CEA070208SB1</v>
      </c>
      <c r="O455" s="15">
        <f t="shared" si="10"/>
        <v>4987550.67</v>
      </c>
      <c r="P455" s="15">
        <v>4987548.5999999996</v>
      </c>
      <c r="Q455" s="21" t="s">
        <v>947</v>
      </c>
      <c r="R455" s="22">
        <f>O455/3475</f>
        <v>1435.266379856115</v>
      </c>
      <c r="S455" s="12" t="s">
        <v>42</v>
      </c>
      <c r="T455" s="17">
        <v>98623</v>
      </c>
      <c r="U455" s="14" t="s">
        <v>43</v>
      </c>
      <c r="V455" s="12" t="s">
        <v>44</v>
      </c>
      <c r="W455" s="13">
        <f>'[1]V, inciso p) (OP)'!AM229</f>
        <v>43031</v>
      </c>
      <c r="X455" s="13">
        <f>'[1]V, inciso p) (OP)'!AN229</f>
        <v>43106</v>
      </c>
      <c r="Y455" s="12" t="s">
        <v>615</v>
      </c>
      <c r="Z455" s="12" t="s">
        <v>127</v>
      </c>
      <c r="AA455" s="12" t="s">
        <v>945</v>
      </c>
      <c r="AB455" s="14" t="s">
        <v>1437</v>
      </c>
      <c r="AC455" s="14" t="s">
        <v>125</v>
      </c>
      <c r="AD455" s="12"/>
    </row>
    <row r="456" spans="1:30" ht="80.099999999999994" customHeight="1">
      <c r="A456" s="5">
        <v>174</v>
      </c>
      <c r="B456" s="12">
        <v>2017</v>
      </c>
      <c r="C456" s="14" t="str">
        <f>'[1]V, inciso p) (OP)'!B230</f>
        <v>Licitación Pública</v>
      </c>
      <c r="D456" s="14" t="str">
        <f>'[1]V, inciso p) (OP)'!D230</f>
        <v>DOPI-FED-FF-PAV-LP-174-2017</v>
      </c>
      <c r="E456" s="13">
        <f>'[1]V, inciso p) (OP)'!AD230</f>
        <v>43031</v>
      </c>
      <c r="F456" s="14" t="str">
        <f>'[1]V, inciso p) (OP)'!AL230</f>
        <v>Pavimentación de conexión vial Centro Cultural Constitución – Auditorio Telmex, con pavimento asfáltico, tramo 2 (Calz. Constituyentes – Calle Obreros de Cananea) en la colonia Constitución, municipio de Zapopan, Jalisco, frente 2.</v>
      </c>
      <c r="G456" s="14" t="str">
        <f>'[1]V, inciso p) (OP)'!AR230</f>
        <v>FONDO PARA EL FORTALECIMIENTO FINANCIERO PARA LA INVERSIÓN (FORTALECIMIENTO) 2017 “D”</v>
      </c>
      <c r="H456" s="15">
        <f>'[1]V, inciso p) (OP)'!AJ230</f>
        <v>4697747.84</v>
      </c>
      <c r="I456" s="14" t="str">
        <f>'[1]V, inciso p) (OP)'!AS230</f>
        <v>Colonia Constitución</v>
      </c>
      <c r="J456" s="14" t="str">
        <f>'[1]V, inciso p) (OP)'!T230</f>
        <v>CARLOS IGNACIO</v>
      </c>
      <c r="K456" s="14" t="str">
        <f>'[1]V, inciso p) (OP)'!U230</f>
        <v>CURIEL</v>
      </c>
      <c r="L456" s="14" t="str">
        <f>'[1]V, inciso p) (OP)'!V230</f>
        <v>DUEÑAS</v>
      </c>
      <c r="M456" s="14" t="str">
        <f>'[1]V, inciso p) (OP)'!W230</f>
        <v>CONSTRUCTORA CECUCHI, S.A. DE C.V.</v>
      </c>
      <c r="N456" s="14" t="str">
        <f>'[1]V, inciso p) (OP)'!X230</f>
        <v>CCE130723IR7</v>
      </c>
      <c r="O456" s="15">
        <f t="shared" si="10"/>
        <v>4697747.84</v>
      </c>
      <c r="P456" s="15">
        <f>O456</f>
        <v>4697747.84</v>
      </c>
      <c r="Q456" s="21" t="s">
        <v>948</v>
      </c>
      <c r="R456" s="22">
        <f>O456/3454</f>
        <v>1360.0891256514185</v>
      </c>
      <c r="S456" s="12" t="s">
        <v>42</v>
      </c>
      <c r="T456" s="17">
        <v>98623</v>
      </c>
      <c r="U456" s="14" t="s">
        <v>43</v>
      </c>
      <c r="V456" s="12" t="s">
        <v>378</v>
      </c>
      <c r="W456" s="13">
        <f>'[1]V, inciso p) (OP)'!AM230</f>
        <v>43031</v>
      </c>
      <c r="X456" s="13">
        <f>'[1]V, inciso p) (OP)'!AN230</f>
        <v>43106</v>
      </c>
      <c r="Y456" s="12" t="s">
        <v>615</v>
      </c>
      <c r="Z456" s="12" t="s">
        <v>127</v>
      </c>
      <c r="AA456" s="12" t="s">
        <v>945</v>
      </c>
      <c r="AB456" s="14" t="s">
        <v>1438</v>
      </c>
      <c r="AC456" s="14" t="s">
        <v>48</v>
      </c>
      <c r="AD456" s="14" t="s">
        <v>1571</v>
      </c>
    </row>
    <row r="457" spans="1:30" ht="80.099999999999994" customHeight="1">
      <c r="A457" s="5">
        <v>175</v>
      </c>
      <c r="B457" s="12">
        <v>2017</v>
      </c>
      <c r="C457" s="14" t="str">
        <f>'[1]V, inciso p) (OP)'!B231</f>
        <v>Licitación Pública</v>
      </c>
      <c r="D457" s="14" t="str">
        <f>'[1]V, inciso p) (OP)'!D231</f>
        <v>DOPI-FED-FF-PAV-LP-175-2017</v>
      </c>
      <c r="E457" s="13">
        <f>'[1]V, inciso p) (OP)'!AD231</f>
        <v>43031</v>
      </c>
      <c r="F457" s="14" t="str">
        <f>'[1]V, inciso p) (OP)'!AL231</f>
        <v>Pavimentación con concreto hidráulico de la Av. Royal Country, segunda etapa, en los fraccionamientos Royal Country, Puerta de Hierro y Puerta Plata, municipio de Zapopan, Jalisco, frente 1.</v>
      </c>
      <c r="G457" s="14" t="str">
        <f>'[1]V, inciso p) (OP)'!AR231</f>
        <v>FONDO PARA EL FORTALECIMIENTO FINANCIERO PARA LA INVERSIÓN (FORTALECIMIENTO) 2017 “D”</v>
      </c>
      <c r="H457" s="15">
        <f>'[1]V, inciso p) (OP)'!AJ231</f>
        <v>4149575.14</v>
      </c>
      <c r="I457" s="14" t="str">
        <f>'[1]V, inciso p) (OP)'!AS231</f>
        <v>Colonia Puerta Plata</v>
      </c>
      <c r="J457" s="14" t="str">
        <f>'[1]V, inciso p) (OP)'!T231</f>
        <v>JULIO EDUARDO</v>
      </c>
      <c r="K457" s="14" t="str">
        <f>'[1]V, inciso p) (OP)'!U231</f>
        <v>LÓPEZ</v>
      </c>
      <c r="L457" s="14" t="str">
        <f>'[1]V, inciso p) (OP)'!V231</f>
        <v>PÉREZ</v>
      </c>
      <c r="M457" s="14" t="str">
        <f>'[1]V, inciso p) (OP)'!W231</f>
        <v>PROYECTOS E INSUMOS INDUSTRIALES JELP, S.A. DE C.V.</v>
      </c>
      <c r="N457" s="14" t="str">
        <f>'[1]V, inciso p) (OP)'!X231</f>
        <v>PEI020208RW0</v>
      </c>
      <c r="O457" s="15">
        <f t="shared" si="10"/>
        <v>4149575.14</v>
      </c>
      <c r="P457" s="15">
        <v>4650000</v>
      </c>
      <c r="Q457" s="21" t="s">
        <v>949</v>
      </c>
      <c r="R457" s="22">
        <f>O457/2933</f>
        <v>1414.7886600750085</v>
      </c>
      <c r="S457" s="12" t="s">
        <v>42</v>
      </c>
      <c r="T457" s="17">
        <v>122615</v>
      </c>
      <c r="U457" s="14" t="s">
        <v>43</v>
      </c>
      <c r="V457" s="12" t="s">
        <v>44</v>
      </c>
      <c r="W457" s="13">
        <f>'[1]V, inciso p) (OP)'!AM231</f>
        <v>43031</v>
      </c>
      <c r="X457" s="13">
        <f>'[1]V, inciso p) (OP)'!AN231</f>
        <v>43106</v>
      </c>
      <c r="Y457" s="12" t="s">
        <v>322</v>
      </c>
      <c r="Z457" s="12" t="s">
        <v>196</v>
      </c>
      <c r="AA457" s="12" t="s">
        <v>197</v>
      </c>
      <c r="AB457" s="14" t="s">
        <v>1439</v>
      </c>
      <c r="AC457" s="14" t="s">
        <v>125</v>
      </c>
      <c r="AD457" s="12"/>
    </row>
    <row r="458" spans="1:30" ht="80.099999999999994" customHeight="1">
      <c r="A458" s="5">
        <v>176</v>
      </c>
      <c r="B458" s="12">
        <v>2017</v>
      </c>
      <c r="C458" s="14" t="str">
        <f>'[1]V, inciso p) (OP)'!B232</f>
        <v>Licitación Pública</v>
      </c>
      <c r="D458" s="14" t="str">
        <f>'[1]V, inciso p) (OP)'!D232</f>
        <v>DOPI-FED-FF-PAV-LP-176-2017</v>
      </c>
      <c r="E458" s="13">
        <f>'[1]V, inciso p) (OP)'!AD232</f>
        <v>43031</v>
      </c>
      <c r="F458" s="14" t="str">
        <f>'[1]V, inciso p) (OP)'!AL232</f>
        <v>Pavimentación con concreto hidráulico de la Av. Royal Country, segunda etapa, en los fraccionamientos Royal Country, Puerta de Hierro y Puerta Plata, municipio de Zapopan, Jalisco, frente 2.</v>
      </c>
      <c r="G458" s="14" t="str">
        <f>'[1]V, inciso p) (OP)'!AR232</f>
        <v>FONDO PARA EL FORTALECIMIENTO FINANCIERO PARA LA INVERSIÓN (FORTALECIMIENTO) 2017 “D”</v>
      </c>
      <c r="H458" s="15">
        <f>'[1]V, inciso p) (OP)'!AJ232</f>
        <v>3737898.1</v>
      </c>
      <c r="I458" s="14" t="str">
        <f>'[1]V, inciso p) (OP)'!AS232</f>
        <v>Colonia Puerta Plata</v>
      </c>
      <c r="J458" s="14" t="str">
        <f>'[1]V, inciso p) (OP)'!T232</f>
        <v>J. GERARDO</v>
      </c>
      <c r="K458" s="14" t="str">
        <f>'[1]V, inciso p) (OP)'!U232</f>
        <v>NICANOR</v>
      </c>
      <c r="L458" s="14" t="str">
        <f>'[1]V, inciso p) (OP)'!V232</f>
        <v>MEJIA MARISCAL</v>
      </c>
      <c r="M458" s="14" t="str">
        <f>'[1]V, inciso p) (OP)'!W232</f>
        <v>INECO CONSTRUYE, S.A. DE C.V.</v>
      </c>
      <c r="N458" s="14" t="str">
        <f>'[1]V, inciso p) (OP)'!X232</f>
        <v>ICO980722MQ4</v>
      </c>
      <c r="O458" s="15">
        <f t="shared" si="10"/>
        <v>3737898.1</v>
      </c>
      <c r="P458" s="15">
        <v>4650000</v>
      </c>
      <c r="Q458" s="21" t="s">
        <v>950</v>
      </c>
      <c r="R458" s="22">
        <f>O458/2720</f>
        <v>1374.2272426470588</v>
      </c>
      <c r="S458" s="12" t="s">
        <v>42</v>
      </c>
      <c r="T458" s="17">
        <v>122615</v>
      </c>
      <c r="U458" s="14" t="s">
        <v>43</v>
      </c>
      <c r="V458" s="12" t="s">
        <v>44</v>
      </c>
      <c r="W458" s="13">
        <f>'[1]V, inciso p) (OP)'!AM232</f>
        <v>43031</v>
      </c>
      <c r="X458" s="13">
        <f>'[1]V, inciso p) (OP)'!AN232</f>
        <v>43106</v>
      </c>
      <c r="Y458" s="12" t="s">
        <v>322</v>
      </c>
      <c r="Z458" s="12" t="s">
        <v>196</v>
      </c>
      <c r="AA458" s="12" t="s">
        <v>197</v>
      </c>
      <c r="AB458" s="14" t="s">
        <v>1440</v>
      </c>
      <c r="AC458" s="14" t="s">
        <v>125</v>
      </c>
      <c r="AD458" s="12"/>
    </row>
    <row r="459" spans="1:30" ht="80.099999999999994" customHeight="1">
      <c r="A459" s="5">
        <v>177</v>
      </c>
      <c r="B459" s="12">
        <v>2017</v>
      </c>
      <c r="C459" s="14" t="str">
        <f>'[1]V, inciso p) (OP)'!B233</f>
        <v>Licitación Pública</v>
      </c>
      <c r="D459" s="14" t="str">
        <f>'[1]V, inciso p) (OP)'!D233</f>
        <v>DOPI-FED-FF-PAV-LP-177-2017</v>
      </c>
      <c r="E459" s="13">
        <f>'[1]V, inciso p) (OP)'!AD233</f>
        <v>43031</v>
      </c>
      <c r="F459" s="14" t="str">
        <f>'[1]V, inciso p) (OP)'!AL233</f>
        <v>Pavimentación de vialidad de acceso a la Unidad Deportiva Villa de Guadalupe, calle San Pedro y calle Febronio Lara, en la colonia Villa de Guadalupe, municipio de Zapopan, Jalisco, frente 1.</v>
      </c>
      <c r="G459" s="14" t="str">
        <f>'[1]V, inciso p) (OP)'!AR233</f>
        <v>FONDO PARA EL FORTALECIMIENTO FINANCIERO PARA LA INVERSIÓN (FORTALECIMIENTO) 2017 “D”</v>
      </c>
      <c r="H459" s="15">
        <f>'[1]V, inciso p) (OP)'!AJ233</f>
        <v>3294425.04</v>
      </c>
      <c r="I459" s="14" t="str">
        <f>'[1]V, inciso p) (OP)'!AS233</f>
        <v>Colonia Villa de Guadalupe</v>
      </c>
      <c r="J459" s="14" t="str">
        <f>'[1]V, inciso p) (OP)'!T233</f>
        <v>ERICK</v>
      </c>
      <c r="K459" s="14" t="str">
        <f>'[1]V, inciso p) (OP)'!U233</f>
        <v>VILLASEÑOR</v>
      </c>
      <c r="L459" s="14" t="str">
        <f>'[1]V, inciso p) (OP)'!V233</f>
        <v>GUTIÉRREZ</v>
      </c>
      <c r="M459" s="14" t="str">
        <f>'[1]V, inciso p) (OP)'!W233</f>
        <v>PIXIDE CONSTRUCTORA, S.A. DE C.V.</v>
      </c>
      <c r="N459" s="14" t="str">
        <f>'[1]V, inciso p) (OP)'!X233</f>
        <v>PCO140829425</v>
      </c>
      <c r="O459" s="15">
        <f t="shared" si="10"/>
        <v>3294425.04</v>
      </c>
      <c r="P459" s="15">
        <v>4000000</v>
      </c>
      <c r="Q459" s="21" t="s">
        <v>951</v>
      </c>
      <c r="R459" s="22">
        <f>O459/1361</f>
        <v>2420.5915062454078</v>
      </c>
      <c r="S459" s="12" t="s">
        <v>42</v>
      </c>
      <c r="T459" s="17">
        <v>4596</v>
      </c>
      <c r="U459" s="14" t="s">
        <v>43</v>
      </c>
      <c r="V459" s="12" t="s">
        <v>44</v>
      </c>
      <c r="W459" s="13">
        <f>'[1]V, inciso p) (OP)'!AM233</f>
        <v>43031</v>
      </c>
      <c r="X459" s="13">
        <f>'[1]V, inciso p) (OP)'!AN233</f>
        <v>43106</v>
      </c>
      <c r="Y459" s="12" t="s">
        <v>439</v>
      </c>
      <c r="Z459" s="12" t="s">
        <v>186</v>
      </c>
      <c r="AA459" s="12" t="s">
        <v>92</v>
      </c>
      <c r="AB459" s="14" t="s">
        <v>1441</v>
      </c>
      <c r="AC459" s="14" t="s">
        <v>125</v>
      </c>
      <c r="AD459" s="12"/>
    </row>
    <row r="460" spans="1:30" ht="80.099999999999994" customHeight="1">
      <c r="A460" s="5">
        <v>178</v>
      </c>
      <c r="B460" s="12">
        <v>2017</v>
      </c>
      <c r="C460" s="14" t="str">
        <f>'[1]V, inciso p) (OP)'!B234</f>
        <v>Licitación Pública</v>
      </c>
      <c r="D460" s="14" t="str">
        <f>'[1]V, inciso p) (OP)'!D234</f>
        <v>DOPI-FED-FF-PAV-LP-178-2017</v>
      </c>
      <c r="E460" s="13">
        <f>'[1]V, inciso p) (OP)'!AD234</f>
        <v>43031</v>
      </c>
      <c r="F460" s="14" t="str">
        <f>'[1]V, inciso p) (OP)'!AL234</f>
        <v>Pavimentación de vialidad de acceso a la Unidad Deportiva Villa de Guadalupe, calle San Pedro y calle Febronio Lara, en la colonia Villa de Guadalupe, municipio de Zapopan, Jalisco, frente 2.</v>
      </c>
      <c r="G460" s="14" t="str">
        <f>'[1]V, inciso p) (OP)'!AR234</f>
        <v>FONDO PARA EL FORTALECIMIENTO FINANCIERO PARA LA INVERSIÓN (FORTALECIMIENTO) 2017 “D”</v>
      </c>
      <c r="H460" s="15">
        <f>'[1]V, inciso p) (OP)'!AJ234</f>
        <v>3727363.88</v>
      </c>
      <c r="I460" s="14" t="str">
        <f>'[1]V, inciso p) (OP)'!AS234</f>
        <v>Colonia Villa de Guadalupe</v>
      </c>
      <c r="J460" s="14" t="str">
        <f>'[1]V, inciso p) (OP)'!T234</f>
        <v>FELIPE DANIEL II</v>
      </c>
      <c r="K460" s="14" t="str">
        <f>'[1]V, inciso p) (OP)'!U234</f>
        <v>NUÑEZ</v>
      </c>
      <c r="L460" s="14" t="str">
        <f>'[1]V, inciso p) (OP)'!V234</f>
        <v>PINZON</v>
      </c>
      <c r="M460" s="14" t="str">
        <f>'[1]V, inciso p) (OP)'!W234</f>
        <v>GRUPO NUVECO, S.A. DE C.V.</v>
      </c>
      <c r="N460" s="14" t="str">
        <f>'[1]V, inciso p) (OP)'!X234</f>
        <v>GNU120809KX1</v>
      </c>
      <c r="O460" s="15">
        <f t="shared" si="10"/>
        <v>3727363.88</v>
      </c>
      <c r="P460" s="15">
        <v>4000000</v>
      </c>
      <c r="Q460" s="21" t="s">
        <v>952</v>
      </c>
      <c r="R460" s="22">
        <f>O460/1438</f>
        <v>2592.0472044506259</v>
      </c>
      <c r="S460" s="12" t="s">
        <v>42</v>
      </c>
      <c r="T460" s="17">
        <v>4596</v>
      </c>
      <c r="U460" s="14" t="s">
        <v>43</v>
      </c>
      <c r="V460" s="12" t="s">
        <v>44</v>
      </c>
      <c r="W460" s="13">
        <f>'[1]V, inciso p) (OP)'!AM234</f>
        <v>43031</v>
      </c>
      <c r="X460" s="13">
        <f>'[1]V, inciso p) (OP)'!AN234</f>
        <v>43106</v>
      </c>
      <c r="Y460" s="12" t="s">
        <v>439</v>
      </c>
      <c r="Z460" s="12" t="s">
        <v>186</v>
      </c>
      <c r="AA460" s="12" t="s">
        <v>92</v>
      </c>
      <c r="AB460" s="14" t="s">
        <v>1442</v>
      </c>
      <c r="AC460" s="14" t="s">
        <v>125</v>
      </c>
      <c r="AD460" s="12"/>
    </row>
    <row r="461" spans="1:30" ht="80.099999999999994" customHeight="1">
      <c r="A461" s="5">
        <v>179</v>
      </c>
      <c r="B461" s="12">
        <v>2017</v>
      </c>
      <c r="C461" s="12" t="s">
        <v>65</v>
      </c>
      <c r="D461" s="14" t="str">
        <f>'[1]V, inciso o) (OP)'!C233</f>
        <v>DOPI-EST-CR-PAV-AD-179-2017</v>
      </c>
      <c r="E461" s="13">
        <f>'[1]V, inciso o) (OP)'!V233</f>
        <v>42958</v>
      </c>
      <c r="F461" s="14" t="str">
        <f>'[1]V, inciso o) (OP)'!AA233</f>
        <v>Construcción de la primera etapa de la calle Paseo de los Membrillos de Paseo de los Aguacates a Paseo de los Camichines de concreto hidráulico en la zona de la Mesa Colorada, incluye: guarniciones, banquetas, red de agua potable, alcantarillado y servicios complementarios, municipio de Zapopan, Jalisco.</v>
      </c>
      <c r="G461" s="14" t="s">
        <v>437</v>
      </c>
      <c r="H461" s="15">
        <f>'[1]V, inciso o) (OP)'!Y233</f>
        <v>956408.83</v>
      </c>
      <c r="I461" s="14" t="s">
        <v>953</v>
      </c>
      <c r="J461" s="14" t="str">
        <f>'[1]V, inciso o) (OP)'!M233</f>
        <v>OSCAR</v>
      </c>
      <c r="K461" s="12" t="str">
        <f>'[1]V, inciso o) (OP)'!N233</f>
        <v>MARTÍNEZ</v>
      </c>
      <c r="L461" s="12" t="str">
        <f>'[1]V, inciso o) (OP)'!O233</f>
        <v>RODRÍGUEZ</v>
      </c>
      <c r="M461" s="14" t="str">
        <f>'[1]V, inciso o) (OP)'!P233</f>
        <v>CADACO CONSTRUCCIÓNES, S.A. DE C.V.</v>
      </c>
      <c r="N461" s="12" t="str">
        <f>'[1]V, inciso o) (OP)'!Q233</f>
        <v>CCO070612CT2</v>
      </c>
      <c r="O461" s="15">
        <f t="shared" si="10"/>
        <v>956408.83</v>
      </c>
      <c r="P461" s="15">
        <v>956408.83</v>
      </c>
      <c r="Q461" s="12" t="s">
        <v>954</v>
      </c>
      <c r="R461" s="15">
        <f>O461/660</f>
        <v>1449.1042878787878</v>
      </c>
      <c r="S461" s="12" t="s">
        <v>42</v>
      </c>
      <c r="T461" s="17">
        <v>456</v>
      </c>
      <c r="U461" s="14" t="s">
        <v>43</v>
      </c>
      <c r="V461" s="12" t="s">
        <v>378</v>
      </c>
      <c r="W461" s="13">
        <f>'[1]V, inciso o) (OP)'!AD233</f>
        <v>42958</v>
      </c>
      <c r="X461" s="13">
        <f>'[1]V, inciso o) (OP)'!AE233</f>
        <v>43008</v>
      </c>
      <c r="Y461" s="12" t="s">
        <v>350</v>
      </c>
      <c r="Z461" s="12" t="s">
        <v>955</v>
      </c>
      <c r="AA461" s="12" t="s">
        <v>956</v>
      </c>
      <c r="AB461" s="14" t="s">
        <v>1556</v>
      </c>
      <c r="AC461" s="14" t="s">
        <v>48</v>
      </c>
      <c r="AD461" s="14"/>
    </row>
    <row r="462" spans="1:30" ht="80.099999999999994" customHeight="1">
      <c r="A462" s="5">
        <v>180</v>
      </c>
      <c r="B462" s="12">
        <v>2017</v>
      </c>
      <c r="C462" s="12" t="s">
        <v>65</v>
      </c>
      <c r="D462" s="14" t="str">
        <f>'[1]V, inciso o) (OP)'!C234</f>
        <v>DOPI-MUN-RM-APDS-180-2017</v>
      </c>
      <c r="E462" s="13">
        <f>'[1]V, inciso o) (OP)'!V234</f>
        <v>42951</v>
      </c>
      <c r="F462" s="14" t="str">
        <f>'[1]V, inciso o) (OP)'!AA234</f>
        <v>Construcción de línea de impulsión del pozo a tanque de almacenamiento y rehabilitación de tanque superficial de almacenamiento de agua en el Ejido Copalita, municipio de Zapopan, Jalisco.</v>
      </c>
      <c r="G462" s="14" t="s">
        <v>66</v>
      </c>
      <c r="H462" s="15">
        <f>'[1]V, inciso o) (OP)'!Y234</f>
        <v>1248911.51</v>
      </c>
      <c r="I462" s="14" t="s">
        <v>957</v>
      </c>
      <c r="J462" s="14" t="str">
        <f>'[1]V, inciso o) (OP)'!M234</f>
        <v>ERICK</v>
      </c>
      <c r="K462" s="12" t="str">
        <f>'[1]V, inciso o) (OP)'!N234</f>
        <v>VILLASEÑOR</v>
      </c>
      <c r="L462" s="12" t="str">
        <f>'[1]V, inciso o) (OP)'!O234</f>
        <v>GUTIÉRREZ</v>
      </c>
      <c r="M462" s="14" t="str">
        <f>'[1]V, inciso o) (OP)'!P234</f>
        <v>PIXIDE CONSTRUCTORA, S.A. DE C.V.</v>
      </c>
      <c r="N462" s="12" t="str">
        <f>'[1]V, inciso o) (OP)'!Q234</f>
        <v>PCO140829425</v>
      </c>
      <c r="O462" s="15">
        <f t="shared" si="10"/>
        <v>1248911.51</v>
      </c>
      <c r="P462" s="15">
        <v>1219343.31</v>
      </c>
      <c r="Q462" s="12" t="s">
        <v>958</v>
      </c>
      <c r="R462" s="15">
        <f>O462/392</f>
        <v>3185.9987500000002</v>
      </c>
      <c r="S462" s="12" t="s">
        <v>42</v>
      </c>
      <c r="T462" s="17">
        <v>186</v>
      </c>
      <c r="U462" s="14" t="s">
        <v>43</v>
      </c>
      <c r="V462" s="12" t="s">
        <v>44</v>
      </c>
      <c r="W462" s="13">
        <f>'[1]V, inciso o) (OP)'!AD234</f>
        <v>42954</v>
      </c>
      <c r="X462" s="13">
        <f>'[1]V, inciso o) (OP)'!AE234</f>
        <v>43008</v>
      </c>
      <c r="Y462" s="12" t="s">
        <v>468</v>
      </c>
      <c r="Z462" s="12" t="s">
        <v>307</v>
      </c>
      <c r="AA462" s="12" t="s">
        <v>308</v>
      </c>
      <c r="AB462" s="8" t="s">
        <v>1952</v>
      </c>
      <c r="AC462" s="14" t="s">
        <v>48</v>
      </c>
      <c r="AD462" s="14"/>
    </row>
    <row r="463" spans="1:30" ht="80.099999999999994" customHeight="1">
      <c r="A463" s="5">
        <v>181</v>
      </c>
      <c r="B463" s="12">
        <v>2017</v>
      </c>
      <c r="C463" s="12" t="s">
        <v>65</v>
      </c>
      <c r="D463" s="14" t="str">
        <f>'[1]V, inciso o) (OP)'!C235</f>
        <v>DOPI-MUN-R33R-APDS-AD-181-2017</v>
      </c>
      <c r="E463" s="13">
        <f>'[1]V, inciso o) (OP)'!V235</f>
        <v>42977</v>
      </c>
      <c r="F463" s="14" t="str">
        <f>'[1]V, inciso o) (OP)'!AA235</f>
        <v>Construcción de red de agua potable en la calle Colegio Militar, entre Flamingo y Alazan Lucero, colonia La Granja; Construcción de red de drenaje sanitario en la calle Hilo Verde de calle Hilo Blanco a calle Hilo Azul, en la colonia Las Agujas; Construcción de drenaje sanitario en la calle Vista Real de la calle Vista a la Campiña a cerrada, colonia Vista Hermosa, municipio de Zapopan, Jalisco.</v>
      </c>
      <c r="G463" s="14" t="s">
        <v>959</v>
      </c>
      <c r="H463" s="15">
        <f>'[1]V, inciso o) (OP)'!Y235</f>
        <v>1655035.68</v>
      </c>
      <c r="I463" s="14" t="s">
        <v>960</v>
      </c>
      <c r="J463" s="14" t="str">
        <f>'[1]V, inciso o) (OP)'!M235</f>
        <v>RAFAEL AUGUSTO</v>
      </c>
      <c r="K463" s="12" t="str">
        <f>'[1]V, inciso o) (OP)'!N235</f>
        <v>CABALLERO</v>
      </c>
      <c r="L463" s="12" t="str">
        <f>'[1]V, inciso o) (OP)'!O235</f>
        <v>QUIRARTE</v>
      </c>
      <c r="M463" s="14" t="str">
        <f>'[1]V, inciso o) (OP)'!P235</f>
        <v>PROYECTOS ARQUITECTONICOS TRIANGULO, S.A. DE C.V.</v>
      </c>
      <c r="N463" s="12" t="str">
        <f>'[1]V, inciso o) (OP)'!Q235</f>
        <v>PAT110331HH0</v>
      </c>
      <c r="O463" s="15">
        <f t="shared" si="10"/>
        <v>1655035.68</v>
      </c>
      <c r="P463" s="15">
        <v>1618933.68</v>
      </c>
      <c r="Q463" s="12" t="s">
        <v>961</v>
      </c>
      <c r="R463" s="15">
        <f>O463/489</f>
        <v>3384.531042944785</v>
      </c>
      <c r="S463" s="12" t="s">
        <v>42</v>
      </c>
      <c r="T463" s="17">
        <v>695</v>
      </c>
      <c r="U463" s="14" t="s">
        <v>43</v>
      </c>
      <c r="V463" s="12" t="s">
        <v>44</v>
      </c>
      <c r="W463" s="13">
        <f>'[1]V, inciso o) (OP)'!AD235</f>
        <v>42982</v>
      </c>
      <c r="X463" s="13">
        <f>'[1]V, inciso o) (OP)'!AE235</f>
        <v>43039</v>
      </c>
      <c r="Y463" s="12" t="s">
        <v>822</v>
      </c>
      <c r="Z463" s="12" t="s">
        <v>962</v>
      </c>
      <c r="AA463" s="12" t="s">
        <v>963</v>
      </c>
      <c r="AB463" s="14" t="s">
        <v>1557</v>
      </c>
      <c r="AC463" s="14" t="s">
        <v>125</v>
      </c>
      <c r="AD463" s="14"/>
    </row>
    <row r="464" spans="1:30" ht="80.099999999999994" customHeight="1">
      <c r="A464" s="5">
        <v>182</v>
      </c>
      <c r="B464" s="12">
        <v>2017</v>
      </c>
      <c r="C464" s="12" t="s">
        <v>65</v>
      </c>
      <c r="D464" s="14" t="str">
        <f>'[1]V, inciso o) (OP)'!C236</f>
        <v>DOPI-MUN-RM-MOV-AD-182-2017</v>
      </c>
      <c r="E464" s="13">
        <f>'[1]V, inciso o) (OP)'!V236</f>
        <v>42920</v>
      </c>
      <c r="F464" s="14" t="str">
        <f>'[1]V, inciso o) (OP)'!AA236</f>
        <v>Señalética horizontal-vertical y obra complementaria en la calle Jalisco de la calle Aldama a la calle San Francisco, en la localidad de Tesistán, municipio de Zapopan, Jalisco.</v>
      </c>
      <c r="G464" s="14" t="s">
        <v>66</v>
      </c>
      <c r="H464" s="15">
        <f>'[1]V, inciso o) (OP)'!Y236</f>
        <v>328518.01</v>
      </c>
      <c r="I464" s="14" t="s">
        <v>563</v>
      </c>
      <c r="J464" s="14" t="str">
        <f>'[1]V, inciso o) (OP)'!M236</f>
        <v>JULIO EDUARDO</v>
      </c>
      <c r="K464" s="12" t="str">
        <f>'[1]V, inciso o) (OP)'!N236</f>
        <v>LÓPEZ</v>
      </c>
      <c r="L464" s="12" t="str">
        <f>'[1]V, inciso o) (OP)'!O236</f>
        <v>PÉREZ</v>
      </c>
      <c r="M464" s="14" t="str">
        <f>'[1]V, inciso o) (OP)'!P236</f>
        <v>PROYECTOS E INSUMOS INDUSTRIALES JELP, S.A. DE C.V.</v>
      </c>
      <c r="N464" s="12" t="str">
        <f>'[1]V, inciso o) (OP)'!Q236</f>
        <v>PEI020208RW0</v>
      </c>
      <c r="O464" s="15">
        <f t="shared" si="10"/>
        <v>328518.01</v>
      </c>
      <c r="P464" s="15">
        <v>328518.01</v>
      </c>
      <c r="Q464" s="12" t="s">
        <v>964</v>
      </c>
      <c r="R464" s="15">
        <f>O464/28</f>
        <v>11732.786071428573</v>
      </c>
      <c r="S464" s="12" t="s">
        <v>42</v>
      </c>
      <c r="T464" s="17">
        <v>956</v>
      </c>
      <c r="U464" s="14" t="s">
        <v>43</v>
      </c>
      <c r="V464" s="12" t="s">
        <v>44</v>
      </c>
      <c r="W464" s="13">
        <f>'[1]V, inciso o) (OP)'!AD236</f>
        <v>42926</v>
      </c>
      <c r="X464" s="13">
        <f>'[1]V, inciso o) (OP)'!AE236</f>
        <v>42962</v>
      </c>
      <c r="Y464" s="12" t="s">
        <v>731</v>
      </c>
      <c r="Z464" s="12" t="s">
        <v>965</v>
      </c>
      <c r="AA464" s="12" t="s">
        <v>120</v>
      </c>
      <c r="AB464" s="8" t="s">
        <v>1953</v>
      </c>
      <c r="AC464" s="14" t="s">
        <v>48</v>
      </c>
      <c r="AD464" s="14"/>
    </row>
    <row r="465" spans="1:30" ht="80.099999999999994" customHeight="1">
      <c r="A465" s="5">
        <v>183</v>
      </c>
      <c r="B465" s="12">
        <v>2017</v>
      </c>
      <c r="C465" s="12" t="s">
        <v>65</v>
      </c>
      <c r="D465" s="14" t="str">
        <f>'[1]V, inciso o) (OP)'!C237</f>
        <v>DOPI-MUN-R33R-AP-AD-183-2017</v>
      </c>
      <c r="E465" s="13">
        <f>'[1]V, inciso o) (OP)'!V237</f>
        <v>42979</v>
      </c>
      <c r="F465" s="14" t="str">
        <f>'[1]V, inciso o) (OP)'!AA237</f>
        <v>Construcción de red de agua potable en la calle Vicente Guerrero de Pinos a la Av. Agua Fría, Privada Vicente Guerrero, Andador Pinos de Pinos a calle Agua Fría en la colonia Miguel Hidalgo, municipio de Zapopan, Jalisco.</v>
      </c>
      <c r="G465" s="14" t="s">
        <v>959</v>
      </c>
      <c r="H465" s="15">
        <f>'[1]V, inciso o) (OP)'!Y237</f>
        <v>892500.25</v>
      </c>
      <c r="I465" s="14" t="s">
        <v>966</v>
      </c>
      <c r="J465" s="14" t="str">
        <f>'[1]V, inciso o) (OP)'!M237</f>
        <v>MIGUEL ÁNGEL</v>
      </c>
      <c r="K465" s="12" t="str">
        <f>'[1]V, inciso o) (OP)'!N237</f>
        <v>RUÍZ</v>
      </c>
      <c r="L465" s="12" t="str">
        <f>'[1]V, inciso o) (OP)'!O237</f>
        <v>CASTAÑEDA</v>
      </c>
      <c r="M465" s="14" t="str">
        <f>'[1]V, inciso o) (OP)'!P237</f>
        <v>SERVICIOS DE INGENIERIA APLICADA, S.A. DE C.V.</v>
      </c>
      <c r="N465" s="12" t="str">
        <f>'[1]V, inciso o) (OP)'!Q237</f>
        <v>SIA011224UN1</v>
      </c>
      <c r="O465" s="15">
        <f t="shared" si="10"/>
        <v>892500.25</v>
      </c>
      <c r="P465" s="15">
        <v>845764.89</v>
      </c>
      <c r="Q465" s="12" t="s">
        <v>967</v>
      </c>
      <c r="R465" s="15">
        <f>O465/512</f>
        <v>1743.16455078125</v>
      </c>
      <c r="S465" s="12" t="s">
        <v>42</v>
      </c>
      <c r="T465" s="17">
        <v>351</v>
      </c>
      <c r="U465" s="14" t="s">
        <v>43</v>
      </c>
      <c r="V465" s="12" t="s">
        <v>44</v>
      </c>
      <c r="W465" s="13">
        <f>'[1]V, inciso o) (OP)'!AD237</f>
        <v>42984</v>
      </c>
      <c r="X465" s="13">
        <f>'[1]V, inciso o) (OP)'!AE237</f>
        <v>43033</v>
      </c>
      <c r="Y465" s="12" t="s">
        <v>767</v>
      </c>
      <c r="Z465" s="12" t="s">
        <v>843</v>
      </c>
      <c r="AA465" s="12" t="s">
        <v>769</v>
      </c>
      <c r="AB465" s="14" t="s">
        <v>1558</v>
      </c>
      <c r="AC465" s="14" t="s">
        <v>125</v>
      </c>
      <c r="AD465" s="14"/>
    </row>
    <row r="466" spans="1:30" ht="80.099999999999994" customHeight="1">
      <c r="A466" s="5">
        <v>184</v>
      </c>
      <c r="B466" s="12">
        <v>2017</v>
      </c>
      <c r="C466" s="14" t="str">
        <f>'[1]V, inciso p) (OP)'!B235</f>
        <v>Licitación por Invitación Restringida</v>
      </c>
      <c r="D466" s="14" t="str">
        <f>'[1]V, inciso p) (OP)'!D235</f>
        <v>DOPI-MUN-RM-SP-CI-184-2017</v>
      </c>
      <c r="E466" s="13">
        <f>'[1]V, inciso p) (OP)'!AD235</f>
        <v>43031</v>
      </c>
      <c r="F466" s="14" t="str">
        <f>'[1]V, inciso p) (OP)'!AL235</f>
        <v>Elaboración de proyecto, obra complementaria suministro de equipos y puesta en marcha del Centro de comando, control, comunicaciones, cómputo y coordinación del complejo C4 en el Edificio de Seguridad Pública en Zapopan, Jalisco.</v>
      </c>
      <c r="G466" s="14" t="str">
        <f>'[1]V, inciso p) (OP)'!AR235</f>
        <v>Recurso Propio</v>
      </c>
      <c r="H466" s="15">
        <f>'[1]V, inciso p) (OP)'!AJ235</f>
        <v>134997173.33000001</v>
      </c>
      <c r="I466" s="14" t="str">
        <f>'[1]V, inciso p) (OP)'!AS235</f>
        <v>Colonia Villa de los Belenes</v>
      </c>
      <c r="J466" s="14" t="str">
        <f>'[1]V, inciso p) (OP)'!T235</f>
        <v>HÉCTOR MARIO</v>
      </c>
      <c r="K466" s="14" t="str">
        <f>'[1]V, inciso p) (OP)'!U235</f>
        <v xml:space="preserve">CHAVIRA </v>
      </c>
      <c r="L466" s="14" t="str">
        <f>'[1]V, inciso p) (OP)'!V235</f>
        <v>PEÑA</v>
      </c>
      <c r="M466" s="14" t="str">
        <f>'[1]V, inciso p) (OP)'!W235</f>
        <v>HEMAC TELEINFORMATICA, S.A DE C.V.</v>
      </c>
      <c r="N466" s="14" t="str">
        <f>'[1]V, inciso p) (OP)'!X235</f>
        <v>HTE990426RR1</v>
      </c>
      <c r="O466" s="15">
        <f t="shared" si="10"/>
        <v>134997173.33000001</v>
      </c>
      <c r="P466" s="15">
        <f>O466</f>
        <v>134997173.33000001</v>
      </c>
      <c r="Q466" s="21" t="s">
        <v>630</v>
      </c>
      <c r="R466" s="22">
        <f>O466</f>
        <v>134997173.33000001</v>
      </c>
      <c r="S466" s="12" t="s">
        <v>42</v>
      </c>
      <c r="T466" s="17">
        <v>1332272</v>
      </c>
      <c r="U466" s="14" t="s">
        <v>43</v>
      </c>
      <c r="V466" s="12" t="s">
        <v>378</v>
      </c>
      <c r="W466" s="13">
        <f>'[1]V, inciso p) (OP)'!AM235</f>
        <v>43031</v>
      </c>
      <c r="X466" s="13">
        <f>'[1]V, inciso p) (OP)'!AN235</f>
        <v>43179</v>
      </c>
      <c r="Y466" s="12" t="s">
        <v>439</v>
      </c>
      <c r="Z466" s="12" t="s">
        <v>186</v>
      </c>
      <c r="AA466" s="12" t="s">
        <v>92</v>
      </c>
      <c r="AB466" s="14" t="s">
        <v>1443</v>
      </c>
      <c r="AC466" s="14" t="s">
        <v>48</v>
      </c>
      <c r="AD466" s="14" t="s">
        <v>1571</v>
      </c>
    </row>
    <row r="467" spans="1:30" ht="80.099999999999994" customHeight="1">
      <c r="A467" s="5">
        <v>185</v>
      </c>
      <c r="B467" s="12">
        <v>2017</v>
      </c>
      <c r="C467" s="14" t="str">
        <f>'[1]V, inciso p) (OP)'!B236</f>
        <v>Invitación a Cuando Menos Tres Personas</v>
      </c>
      <c r="D467" s="14" t="str">
        <f>'[1]V, inciso p) (OP)'!D236</f>
        <v>DOPI-FED-FF-PAV-CI-185-2017</v>
      </c>
      <c r="E467" s="13">
        <f>'[1]V, inciso p) (OP)'!AD236</f>
        <v>43031</v>
      </c>
      <c r="F467" s="14" t="str">
        <f>'[1]V, inciso p) (OP)'!AL236</f>
        <v>Pavimentación de vialidad de acceso al Centro de Desarrollo Comunitario Miramar, calle Prolongación Guadalupe, en las colonias Miramar y Carlos Rivera Aceves, municipio de Zapopan, Jalisco.</v>
      </c>
      <c r="G467" s="14" t="str">
        <f>'[1]V, inciso p) (OP)'!AR236</f>
        <v>FONDO PARA EL FORTALECIMIENTO FINANCIERO PARA LA INVERSIÓN (FORTALECIMIENTO) 2017 “D”</v>
      </c>
      <c r="H467" s="15">
        <f>'[1]V, inciso p) (OP)'!AJ236</f>
        <v>2964448.14</v>
      </c>
      <c r="I467" s="14" t="str">
        <f>'[1]V, inciso p) (OP)'!AS236</f>
        <v>Colonia Miramar</v>
      </c>
      <c r="J467" s="14" t="str">
        <f>'[1]V, inciso p) (OP)'!T236</f>
        <v>JOSÉ OMAR</v>
      </c>
      <c r="K467" s="14" t="str">
        <f>'[1]V, inciso p) (OP)'!U236</f>
        <v>FERNÁNDEZ</v>
      </c>
      <c r="L467" s="14" t="str">
        <f>'[1]V, inciso p) (OP)'!V236</f>
        <v>VÁZQUEZ</v>
      </c>
      <c r="M467" s="14" t="str">
        <f>'[1]V, inciso p) (OP)'!W236</f>
        <v>EXTRA CONSTRUCCIÓNES, S.A. DE C.V.</v>
      </c>
      <c r="N467" s="14" t="str">
        <f>'[1]V, inciso p) (OP)'!X236</f>
        <v>ECO0908115Z7</v>
      </c>
      <c r="O467" s="15">
        <f t="shared" si="10"/>
        <v>2964448.14</v>
      </c>
      <c r="P467" s="15">
        <v>3000000</v>
      </c>
      <c r="Q467" s="21" t="s">
        <v>968</v>
      </c>
      <c r="R467" s="22">
        <f>O467/619</f>
        <v>4789.0923101777062</v>
      </c>
      <c r="S467" s="12" t="s">
        <v>42</v>
      </c>
      <c r="T467" s="17">
        <v>5231</v>
      </c>
      <c r="U467" s="14" t="s">
        <v>43</v>
      </c>
      <c r="V467" s="12" t="s">
        <v>44</v>
      </c>
      <c r="W467" s="13">
        <f>'[1]V, inciso p) (OP)'!AM236</f>
        <v>43031</v>
      </c>
      <c r="X467" s="13">
        <f>'[1]V, inciso p) (OP)'!AN236</f>
        <v>43106</v>
      </c>
      <c r="Y467" s="12" t="s">
        <v>735</v>
      </c>
      <c r="Z467" s="12" t="s">
        <v>236</v>
      </c>
      <c r="AA467" s="12" t="s">
        <v>147</v>
      </c>
      <c r="AB467" s="14" t="s">
        <v>1444</v>
      </c>
      <c r="AC467" s="14" t="s">
        <v>125</v>
      </c>
      <c r="AD467" s="12"/>
    </row>
    <row r="468" spans="1:30" ht="80.099999999999994" customHeight="1">
      <c r="A468" s="5">
        <v>186</v>
      </c>
      <c r="B468" s="12">
        <v>2017</v>
      </c>
      <c r="C468" s="14" t="str">
        <f>'[1]V, inciso p) (OP)'!B237</f>
        <v>Invitación a Cuando Menos Tres Personas</v>
      </c>
      <c r="D468" s="14" t="str">
        <f>'[1]V, inciso p) (OP)'!D237</f>
        <v>DOPI-FED-FF-PAV-CI-186-2017</v>
      </c>
      <c r="E468" s="13">
        <f>'[1]V, inciso p) (OP)'!AD237</f>
        <v>43031</v>
      </c>
      <c r="F468" s="14" t="str">
        <f>'[1]V, inciso p) (OP)'!AL237</f>
        <v>Pavimentación de vialidad de acceso al Centro de Desarrollo Comunitario San Juan de Ocotán, calle 16 de Septiembre, en San Juan de Ocotán, municipio de Zapopan, Jalisco.</v>
      </c>
      <c r="G468" s="14" t="str">
        <f>'[1]V, inciso p) (OP)'!AR237</f>
        <v>FONDO PARA EL FORTALECIMIENTO FINANCIERO PARA LA INVERSIÓN (FORTALECIMIENTO) 2017 “D”</v>
      </c>
      <c r="H468" s="15">
        <f>'[1]V, inciso p) (OP)'!AJ237</f>
        <v>3951124.41</v>
      </c>
      <c r="I468" s="14" t="str">
        <f>'[1]V, inciso p) (OP)'!AS237</f>
        <v>San Juan de Ocotán</v>
      </c>
      <c r="J468" s="14" t="str">
        <f>'[1]V, inciso p) (OP)'!T237</f>
        <v>JUAN JOSÉ</v>
      </c>
      <c r="K468" s="14" t="str">
        <f>'[1]V, inciso p) (OP)'!U237</f>
        <v>GUTIÉRREZ</v>
      </c>
      <c r="L468" s="14" t="str">
        <f>'[1]V, inciso p) (OP)'!V237</f>
        <v>CONTRERAS</v>
      </c>
      <c r="M468" s="14" t="str">
        <f>'[1]V, inciso p) (OP)'!W237</f>
        <v>RENCOIST CONSTRUCCIÓNES, S.A. DE C.V.</v>
      </c>
      <c r="N468" s="14" t="str">
        <f>'[1]V, inciso p) (OP)'!X237</f>
        <v>RCO130920JX9</v>
      </c>
      <c r="O468" s="15">
        <f t="shared" si="10"/>
        <v>3951124.41</v>
      </c>
      <c r="P468" s="15">
        <f>O468</f>
        <v>3951124.41</v>
      </c>
      <c r="Q468" s="21" t="s">
        <v>969</v>
      </c>
      <c r="R468" s="22">
        <f>O468/1296</f>
        <v>3048.7071064814818</v>
      </c>
      <c r="S468" s="12" t="s">
        <v>42</v>
      </c>
      <c r="T468" s="17">
        <v>4320</v>
      </c>
      <c r="U468" s="14" t="s">
        <v>43</v>
      </c>
      <c r="V468" s="12" t="s">
        <v>378</v>
      </c>
      <c r="W468" s="13">
        <f>'[1]V, inciso p) (OP)'!AM237</f>
        <v>43031</v>
      </c>
      <c r="X468" s="13">
        <f>'[1]V, inciso p) (OP)'!AN237</f>
        <v>43106</v>
      </c>
      <c r="Y468" s="12" t="s">
        <v>854</v>
      </c>
      <c r="Z468" s="12" t="s">
        <v>455</v>
      </c>
      <c r="AA468" s="12" t="s">
        <v>456</v>
      </c>
      <c r="AB468" s="14" t="s">
        <v>1445</v>
      </c>
      <c r="AC468" s="14" t="s">
        <v>48</v>
      </c>
      <c r="AD468" s="14" t="s">
        <v>1571</v>
      </c>
    </row>
    <row r="469" spans="1:30" ht="80.099999999999994" customHeight="1">
      <c r="A469" s="5">
        <v>187</v>
      </c>
      <c r="B469" s="12">
        <v>2017</v>
      </c>
      <c r="C469" s="14" t="str">
        <f>'[1]V, inciso p) (OP)'!B238</f>
        <v>Invitación a Cuando Menos Tres Personas</v>
      </c>
      <c r="D469" s="14" t="str">
        <f>'[1]V, inciso p) (OP)'!D238</f>
        <v>DOPI-FED-FF-PAV-CI-187-2017</v>
      </c>
      <c r="E469" s="13">
        <f>'[1]V, inciso p) (OP)'!AD238</f>
        <v>43031</v>
      </c>
      <c r="F469" s="14" t="str">
        <f>'[1]V, inciso p) (OP)'!AL238</f>
        <v>Pavimentación de vialidad de acceso a la Unidad Paseos del Briseño, calle Magnolia, en las colonias Paseos del Briseño y Agrícola, municipio de Zapopan, Jalisco.</v>
      </c>
      <c r="G469" s="14" t="str">
        <f>'[1]V, inciso p) (OP)'!AR238</f>
        <v>FONDO PARA EL FORTALECIMIENTO FINANCIERO PARA LA INVERSIÓN (FORTALECIMIENTO) 2017 “D”</v>
      </c>
      <c r="H469" s="15">
        <f>'[1]V, inciso p) (OP)'!AJ238</f>
        <v>3457394.66</v>
      </c>
      <c r="I469" s="14" t="str">
        <f>'[1]V, inciso p) (OP)'!AS238</f>
        <v>Colonias Paseos del Briseño y Agrícola</v>
      </c>
      <c r="J469" s="14" t="str">
        <f>'[1]V, inciso p) (OP)'!T238</f>
        <v xml:space="preserve"> BERNARDO </v>
      </c>
      <c r="K469" s="14" t="str">
        <f>'[1]V, inciso p) (OP)'!U238</f>
        <v xml:space="preserve">SAENZ </v>
      </c>
      <c r="L469" s="14" t="str">
        <f>'[1]V, inciso p) (OP)'!V238</f>
        <v>BARBA</v>
      </c>
      <c r="M469" s="14" t="str">
        <f>'[1]V, inciso p) (OP)'!W238</f>
        <v>GRUPO EDIFICADOR MAYAB, S.A. DE C.V.</v>
      </c>
      <c r="N469" s="14" t="str">
        <f>'[1]V, inciso p) (OP)'!X238</f>
        <v>GEM070112PX8</v>
      </c>
      <c r="O469" s="15">
        <f t="shared" si="10"/>
        <v>3457394.66</v>
      </c>
      <c r="P469" s="15">
        <f>O469</f>
        <v>3457394.66</v>
      </c>
      <c r="Q469" s="21" t="s">
        <v>970</v>
      </c>
      <c r="R469" s="22">
        <f>O469/1015</f>
        <v>3406.3001576354682</v>
      </c>
      <c r="S469" s="12" t="s">
        <v>42</v>
      </c>
      <c r="T469" s="17">
        <v>3569</v>
      </c>
      <c r="U469" s="14" t="s">
        <v>43</v>
      </c>
      <c r="V469" s="12" t="s">
        <v>378</v>
      </c>
      <c r="W469" s="13">
        <f>'[1]V, inciso p) (OP)'!AM238</f>
        <v>43031</v>
      </c>
      <c r="X469" s="13">
        <f>'[1]V, inciso p) (OP)'!AN238</f>
        <v>43106</v>
      </c>
      <c r="Y469" s="12" t="s">
        <v>735</v>
      </c>
      <c r="Z469" s="12" t="s">
        <v>279</v>
      </c>
      <c r="AA469" s="12" t="s">
        <v>280</v>
      </c>
      <c r="AB469" s="14" t="s">
        <v>1446</v>
      </c>
      <c r="AC469" s="14" t="s">
        <v>48</v>
      </c>
      <c r="AD469" s="14" t="s">
        <v>1571</v>
      </c>
    </row>
    <row r="470" spans="1:30" ht="80.099999999999994" customHeight="1">
      <c r="A470" s="5">
        <v>188</v>
      </c>
      <c r="B470" s="12">
        <v>2017</v>
      </c>
      <c r="C470" s="14" t="str">
        <f>'[1]V, inciso p) (OP)'!B239</f>
        <v>Invitación a Cuando Menos Tres Personas</v>
      </c>
      <c r="D470" s="14" t="str">
        <f>'[1]V, inciso p) (OP)'!D239</f>
        <v>DOPI-FED-FF-PAV-CI-188-2017</v>
      </c>
      <c r="E470" s="13">
        <f>'[1]V, inciso p) (OP)'!AD239</f>
        <v>43031</v>
      </c>
      <c r="F470" s="14" t="str">
        <f>'[1]V, inciso p) (OP)'!AL239</f>
        <v>Reencarpetado y peatonalización de vialidad de acceso a la Unidad Deportiva Santa María del Pueblito, calle independencia, en Santa María del Pueblito, municipio de Zapopan, Jalisco.</v>
      </c>
      <c r="G470" s="14" t="str">
        <f>'[1]V, inciso p) (OP)'!AR239</f>
        <v>FONDO PARA EL FORTALECIMIENTO FINANCIERO PARA LA INVERSIÓN (FORTALECIMIENTO) 2017 “D”</v>
      </c>
      <c r="H470" s="15">
        <f>'[1]V, inciso p) (OP)'!AJ239</f>
        <v>3951449.09</v>
      </c>
      <c r="I470" s="14" t="str">
        <f>'[1]V, inciso p) (OP)'!AS239</f>
        <v>Colonia Santa Maria del Pueblito</v>
      </c>
      <c r="J470" s="14" t="str">
        <f>'[1]V, inciso p) (OP)'!T239</f>
        <v>ÁNGEL SALOMÓN</v>
      </c>
      <c r="K470" s="14" t="str">
        <f>'[1]V, inciso p) (OP)'!U239</f>
        <v>RINCÓN</v>
      </c>
      <c r="L470" s="14" t="str">
        <f>'[1]V, inciso p) (OP)'!V239</f>
        <v>DE LA ROSA</v>
      </c>
      <c r="M470" s="14" t="str">
        <f>'[1]V, inciso p) (OP)'!W239</f>
        <v>ARO ASFALTOS Y RIEGOS DE OCCIDENTE, S.A. DE C.V.</v>
      </c>
      <c r="N470" s="14" t="str">
        <f>'[1]V, inciso p) (OP)'!X239</f>
        <v>AAR120507VA9</v>
      </c>
      <c r="O470" s="15">
        <f t="shared" si="10"/>
        <v>3951449.09</v>
      </c>
      <c r="P470" s="15">
        <v>4000000</v>
      </c>
      <c r="Q470" s="21" t="s">
        <v>971</v>
      </c>
      <c r="R470" s="22">
        <f>O470/4885</f>
        <v>808.89438894575233</v>
      </c>
      <c r="S470" s="12" t="s">
        <v>42</v>
      </c>
      <c r="T470" s="17">
        <v>6982</v>
      </c>
      <c r="U470" s="14" t="s">
        <v>43</v>
      </c>
      <c r="V470" s="12" t="s">
        <v>44</v>
      </c>
      <c r="W470" s="13">
        <f>'[1]V, inciso p) (OP)'!AM239</f>
        <v>43031</v>
      </c>
      <c r="X470" s="13">
        <f>'[1]V, inciso p) (OP)'!AN239</f>
        <v>43106</v>
      </c>
      <c r="Y470" s="12" t="s">
        <v>385</v>
      </c>
      <c r="Z470" s="12" t="s">
        <v>46</v>
      </c>
      <c r="AA470" s="12" t="s">
        <v>47</v>
      </c>
      <c r="AB470" s="14" t="s">
        <v>1447</v>
      </c>
      <c r="AC470" s="14" t="s">
        <v>125</v>
      </c>
      <c r="AD470" s="12"/>
    </row>
    <row r="471" spans="1:30" ht="80.099999999999994" customHeight="1">
      <c r="A471" s="5">
        <v>189</v>
      </c>
      <c r="B471" s="12">
        <v>2017</v>
      </c>
      <c r="C471" s="14" t="str">
        <f>'[1]V, inciso p) (OP)'!B240</f>
        <v>Invitación a Cuando Menos Tres Personas</v>
      </c>
      <c r="D471" s="14" t="str">
        <f>'[1]V, inciso p) (OP)'!D240</f>
        <v>DOPI-FED-FF-PAV-CI-189-2017</v>
      </c>
      <c r="E471" s="13">
        <f>'[1]V, inciso p) (OP)'!AD240</f>
        <v>43031</v>
      </c>
      <c r="F471" s="14" t="str">
        <f>'[1]V, inciso p) (OP)'!AL240</f>
        <v>Reencarpetado y peatonalización de vialidad de acceso a la Unidad Deportiva Santa Margarita, calle Santa Matilde, en la colonia Santa Margarita, municipio de Zapopan, Jalisco.</v>
      </c>
      <c r="G471" s="14" t="str">
        <f>'[1]V, inciso p) (OP)'!AR240</f>
        <v>FONDO PARA EL FORTALECIMIENTO FINANCIERO PARA LA INVERSIÓN (FORTALECIMIENTO) 2017 “D”</v>
      </c>
      <c r="H471" s="15">
        <f>'[1]V, inciso p) (OP)'!AJ240</f>
        <v>988095.31</v>
      </c>
      <c r="I471" s="14" t="str">
        <f>'[1]V, inciso p) (OP)'!AS240</f>
        <v>Colonia Santa Margarita</v>
      </c>
      <c r="J471" s="14" t="str">
        <f>'[1]V, inciso p) (OP)'!T240</f>
        <v>RODRIGO</v>
      </c>
      <c r="K471" s="14" t="str">
        <f>'[1]V, inciso p) (OP)'!U240</f>
        <v>RAMOS</v>
      </c>
      <c r="L471" s="14" t="str">
        <f>'[1]V, inciso p) (OP)'!V240</f>
        <v>GARIBI</v>
      </c>
      <c r="M471" s="14" t="str">
        <f>'[1]V, inciso p) (OP)'!W240</f>
        <v>METRO ASFALTOS, S.A. DE C.V.</v>
      </c>
      <c r="N471" s="14" t="str">
        <f>'[1]V, inciso p) (OP)'!X240</f>
        <v>CMA070307RU6</v>
      </c>
      <c r="O471" s="15">
        <f t="shared" si="10"/>
        <v>988095.31</v>
      </c>
      <c r="P471" s="15">
        <v>988095.3</v>
      </c>
      <c r="Q471" s="21" t="s">
        <v>972</v>
      </c>
      <c r="R471" s="22">
        <f>O471/676</f>
        <v>1461.679452662722</v>
      </c>
      <c r="S471" s="12" t="s">
        <v>42</v>
      </c>
      <c r="T471" s="17">
        <v>8842</v>
      </c>
      <c r="U471" s="14" t="s">
        <v>43</v>
      </c>
      <c r="V471" s="12" t="s">
        <v>378</v>
      </c>
      <c r="W471" s="13">
        <f>'[1]V, inciso p) (OP)'!AM240</f>
        <v>43031</v>
      </c>
      <c r="X471" s="13">
        <f>'[1]V, inciso p) (OP)'!AN240</f>
        <v>43106</v>
      </c>
      <c r="Y471" s="12" t="s">
        <v>615</v>
      </c>
      <c r="Z471" s="12" t="s">
        <v>616</v>
      </c>
      <c r="AA471" s="12" t="s">
        <v>617</v>
      </c>
      <c r="AB471" s="14" t="s">
        <v>1448</v>
      </c>
      <c r="AC471" s="14" t="s">
        <v>48</v>
      </c>
      <c r="AD471" s="14"/>
    </row>
    <row r="472" spans="1:30" ht="80.099999999999994" customHeight="1">
      <c r="A472" s="5">
        <v>190</v>
      </c>
      <c r="B472" s="12">
        <v>2017</v>
      </c>
      <c r="C472" s="14" t="str">
        <f>'[1]V, inciso p) (OP)'!B241</f>
        <v>Invitación a Cuando Menos Tres Personas</v>
      </c>
      <c r="D472" s="14" t="str">
        <f>'[1]V, inciso p) (OP)'!D241</f>
        <v>DOPI-FED-FF-DS-CI-190-2017</v>
      </c>
      <c r="E472" s="13">
        <f>'[1]V, inciso p) (OP)'!AD241</f>
        <v>43031</v>
      </c>
      <c r="F472" s="14" t="str">
        <f>'[1]V, inciso p) (OP)'!AL241</f>
        <v>Construcción de colector pluvial sobre la calle Cuarta Poniente, en la colonia Nuevo México, municipio de Zapopan, Jalisco.</v>
      </c>
      <c r="G472" s="14" t="str">
        <f>'[1]V, inciso p) (OP)'!AR241</f>
        <v>FONDO PARA EL FORTALECIMIENTO FINANCIERO PARA LA INVERSIÓN (FORTALECIMIENTO) 2017 “D”</v>
      </c>
      <c r="H472" s="15">
        <f>'[1]V, inciso p) (OP)'!AJ241</f>
        <v>3950882.69</v>
      </c>
      <c r="I472" s="14" t="str">
        <f>'[1]V, inciso p) (OP)'!AS241</f>
        <v>Colonia Nuevo México</v>
      </c>
      <c r="J472" s="14" t="str">
        <f>'[1]V, inciso p) (OP)'!T241</f>
        <v>CARLOS</v>
      </c>
      <c r="K472" s="14" t="str">
        <f>'[1]V, inciso p) (OP)'!U241</f>
        <v>PÉREZ</v>
      </c>
      <c r="L472" s="14" t="str">
        <f>'[1]V, inciso p) (OP)'!V241</f>
        <v>CRUZ</v>
      </c>
      <c r="M472" s="14" t="str">
        <f>'[1]V, inciso p) (OP)'!W241</f>
        <v>CONSTRUCTORA PECRU, S.A. DE C.V.</v>
      </c>
      <c r="N472" s="14" t="str">
        <f>'[1]V, inciso p) (OP)'!X241</f>
        <v>CPE070123PD4</v>
      </c>
      <c r="O472" s="15">
        <f t="shared" si="10"/>
        <v>3950882.69</v>
      </c>
      <c r="P472" s="15">
        <v>3999875.28</v>
      </c>
      <c r="Q472" s="21" t="s">
        <v>973</v>
      </c>
      <c r="R472" s="22">
        <f>O472/722</f>
        <v>5472.1366897506923</v>
      </c>
      <c r="S472" s="12" t="s">
        <v>42</v>
      </c>
      <c r="T472" s="17">
        <v>1098</v>
      </c>
      <c r="U472" s="14" t="s">
        <v>43</v>
      </c>
      <c r="V472" s="12" t="s">
        <v>44</v>
      </c>
      <c r="W472" s="13">
        <f>'[1]V, inciso p) (OP)'!AM241</f>
        <v>43031</v>
      </c>
      <c r="X472" s="13">
        <f>'[1]V, inciso p) (OP)'!AN241</f>
        <v>43106</v>
      </c>
      <c r="Y472" s="12" t="s">
        <v>336</v>
      </c>
      <c r="Z472" s="12" t="s">
        <v>337</v>
      </c>
      <c r="AA472" s="12" t="s">
        <v>120</v>
      </c>
      <c r="AB472" s="14" t="s">
        <v>1449</v>
      </c>
      <c r="AC472" s="14" t="s">
        <v>125</v>
      </c>
      <c r="AD472" s="12"/>
    </row>
    <row r="473" spans="1:30" ht="80.099999999999994" customHeight="1">
      <c r="A473" s="5">
        <v>191</v>
      </c>
      <c r="B473" s="12">
        <v>2017</v>
      </c>
      <c r="C473" s="14" t="str">
        <f>'[1]V, inciso p) (OP)'!B242</f>
        <v>Invitación a Cuando Menos Tres Personas</v>
      </c>
      <c r="D473" s="14" t="str">
        <f>'[1]V, inciso p) (OP)'!D242</f>
        <v>DOPI-FED-FF-DS-CI-191-2017</v>
      </c>
      <c r="E473" s="13">
        <f>'[1]V, inciso p) (OP)'!AD242</f>
        <v>43031</v>
      </c>
      <c r="F473" s="14" t="str">
        <f>'[1]V, inciso p) (OP)'!AL242</f>
        <v>Construcción de colector pluvial calle Atotonilco, en la colonia Nuevo México, municipio de Zapopan, Jalisco.</v>
      </c>
      <c r="G473" s="14" t="str">
        <f>'[1]V, inciso p) (OP)'!AR242</f>
        <v>FONDO PARA EL FORTALECIMIENTO FINANCIERO PARA LA INVERSIÓN (FORTALECIMIENTO) 2017 “D”</v>
      </c>
      <c r="H473" s="15">
        <f>'[1]V, inciso p) (OP)'!AJ242</f>
        <v>3993163.18</v>
      </c>
      <c r="I473" s="14" t="str">
        <f>'[1]V, inciso p) (OP)'!AS242</f>
        <v>Colonia Nuevo México</v>
      </c>
      <c r="J473" s="14" t="str">
        <f>'[1]V, inciso p) (OP)'!T242</f>
        <v>ALFREDO</v>
      </c>
      <c r="K473" s="14" t="str">
        <f>'[1]V, inciso p) (OP)'!U242</f>
        <v>AGUIRRE</v>
      </c>
      <c r="L473" s="14" t="str">
        <f>'[1]V, inciso p) (OP)'!V242</f>
        <v>MONTOYA</v>
      </c>
      <c r="M473" s="14" t="str">
        <f>'[1]V, inciso p) (OP)'!W242</f>
        <v>TORRES AGUIRRE INGENIEROS, S.A. DE C.V.</v>
      </c>
      <c r="N473" s="14" t="str">
        <f>'[1]V, inciso p) (OP)'!X242</f>
        <v>TAI920312952</v>
      </c>
      <c r="O473" s="15">
        <f t="shared" si="10"/>
        <v>3993163.18</v>
      </c>
      <c r="P473" s="15">
        <v>1004378.12</v>
      </c>
      <c r="Q473" s="21" t="s">
        <v>974</v>
      </c>
      <c r="R473" s="22">
        <f>O473/934</f>
        <v>4275.3353104925054</v>
      </c>
      <c r="S473" s="12" t="s">
        <v>42</v>
      </c>
      <c r="T473" s="17">
        <v>989</v>
      </c>
      <c r="U473" s="14" t="s">
        <v>43</v>
      </c>
      <c r="V473" s="12" t="s">
        <v>378</v>
      </c>
      <c r="W473" s="13">
        <f>'[1]V, inciso p) (OP)'!AM242</f>
        <v>43031</v>
      </c>
      <c r="X473" s="13">
        <f>'[1]V, inciso p) (OP)'!AN242</f>
        <v>43106</v>
      </c>
      <c r="Y473" s="12" t="s">
        <v>336</v>
      </c>
      <c r="Z473" s="12" t="s">
        <v>337</v>
      </c>
      <c r="AA473" s="12" t="s">
        <v>120</v>
      </c>
      <c r="AB473" s="14" t="s">
        <v>1450</v>
      </c>
      <c r="AC473" s="14" t="s">
        <v>48</v>
      </c>
      <c r="AD473" s="14"/>
    </row>
    <row r="474" spans="1:30" ht="80.099999999999994" customHeight="1">
      <c r="A474" s="5">
        <v>192</v>
      </c>
      <c r="B474" s="12">
        <v>2017</v>
      </c>
      <c r="C474" s="14" t="str">
        <f>'[1]V, inciso p) (OP)'!B243</f>
        <v>Licitación Pública</v>
      </c>
      <c r="D474" s="14" t="str">
        <f>'[1]V, inciso p) (OP)'!D243</f>
        <v>DOPI-MUN-CUSMAX-IU-LP-192-2017</v>
      </c>
      <c r="E474" s="13">
        <f>'[1]V, inciso p) (OP)'!AD243</f>
        <v>43047</v>
      </c>
      <c r="F474" s="14" t="str">
        <f>'[1]V, inciso p) (OP)'!AL243</f>
        <v>Construcción de Plazoleta sobre Av. Virreyes, Zona Comercial Landmark-Andares, zona Andares, primera etapa: losas de cubierta, ductería eléctrica, ajuste de geometría, adecuaciones hidrosanitarias y pluviales, municipio de Zapopan, Jalisco.</v>
      </c>
      <c r="G474" s="14" t="str">
        <f>'[1]V, inciso p) (OP)'!AR243</f>
        <v>Cusmax 2017</v>
      </c>
      <c r="H474" s="15">
        <f>'[1]V, inciso p) (OP)'!AJ243</f>
        <v>6386920.4000000004</v>
      </c>
      <c r="I474" s="14" t="str">
        <f>'[1]V, inciso p) (OP)'!AS243</f>
        <v>Zona Andares</v>
      </c>
      <c r="J474" s="14" t="str">
        <f>'[1]V, inciso p) (OP)'!T243</f>
        <v>EDWIN</v>
      </c>
      <c r="K474" s="14" t="str">
        <f>'[1]V, inciso p) (OP)'!U243</f>
        <v>AGUIAR</v>
      </c>
      <c r="L474" s="14" t="str">
        <f>'[1]V, inciso p) (OP)'!V243</f>
        <v>ESCATEL</v>
      </c>
      <c r="M474" s="14" t="str">
        <f>'[1]V, inciso p) (OP)'!W243</f>
        <v>MANJARREZ URBANIZACIONES, S.A. DE C.V.</v>
      </c>
      <c r="N474" s="14" t="str">
        <f>'[1]V, inciso p) (OP)'!X243</f>
        <v>MUR090325P33</v>
      </c>
      <c r="O474" s="15">
        <f t="shared" si="10"/>
        <v>6386920.4000000004</v>
      </c>
      <c r="P474" s="15">
        <f>O474</f>
        <v>6386920.4000000004</v>
      </c>
      <c r="Q474" s="21" t="s">
        <v>975</v>
      </c>
      <c r="R474" s="22">
        <f>H474/3975</f>
        <v>1606.7724276729562</v>
      </c>
      <c r="S474" s="12" t="s">
        <v>42</v>
      </c>
      <c r="T474" s="17">
        <v>68952</v>
      </c>
      <c r="U474" s="14" t="s">
        <v>43</v>
      </c>
      <c r="V474" s="12" t="s">
        <v>378</v>
      </c>
      <c r="W474" s="13">
        <f>'[1]V, inciso p) (OP)'!AM243</f>
        <v>43047</v>
      </c>
      <c r="X474" s="13">
        <f>'[1]V, inciso p) (OP)'!AN243</f>
        <v>42801</v>
      </c>
      <c r="Y474" s="12" t="s">
        <v>976</v>
      </c>
      <c r="Z474" s="12" t="s">
        <v>977</v>
      </c>
      <c r="AA474" s="12" t="s">
        <v>877</v>
      </c>
      <c r="AB474" s="14" t="s">
        <v>1522</v>
      </c>
      <c r="AC474" s="14" t="s">
        <v>48</v>
      </c>
      <c r="AD474" s="14" t="s">
        <v>1571</v>
      </c>
    </row>
    <row r="475" spans="1:30" ht="80.099999999999994" customHeight="1">
      <c r="A475" s="6">
        <v>193</v>
      </c>
      <c r="B475" s="12">
        <v>2017</v>
      </c>
      <c r="C475" s="14" t="str">
        <f>'[1]V, inciso p) (OP)'!B244</f>
        <v>Licitación Pública</v>
      </c>
      <c r="D475" s="14" t="str">
        <f>'[1]V, inciso p) (OP)'!D244</f>
        <v>DOPI-MUN-CUSMAX-IU-LP-193-2017</v>
      </c>
      <c r="E475" s="13">
        <f>'[1]V, inciso p) (OP)'!AD244</f>
        <v>43047</v>
      </c>
      <c r="F475" s="14" t="str">
        <f>'[1]V, inciso p) (OP)'!AL244</f>
        <v>Construcción de Plazoleta sobre Av. Virreyes, Zona Comercial Landmark-Andares, zona Andares, segunda etapa: banquetas, accesibilidad, mobiliario urbano, iluminación y jardinería, municipio de Zapopan, Jalisco.</v>
      </c>
      <c r="G475" s="14" t="str">
        <f>'[1]V, inciso p) (OP)'!AR244</f>
        <v>Cusmax 2017</v>
      </c>
      <c r="H475" s="15">
        <f>'[1]V, inciso p) (OP)'!AJ244</f>
        <v>9098010.3499999996</v>
      </c>
      <c r="I475" s="14" t="str">
        <f>'[1]V, inciso p) (OP)'!AS244</f>
        <v>Zona Andares</v>
      </c>
      <c r="J475" s="14" t="str">
        <f>'[1]V, inciso p) (OP)'!T244</f>
        <v>JUAN JOSÉ</v>
      </c>
      <c r="K475" s="14" t="str">
        <f>'[1]V, inciso p) (OP)'!U244</f>
        <v>GUTIÉRREZ</v>
      </c>
      <c r="L475" s="14" t="str">
        <f>'[1]V, inciso p) (OP)'!V244</f>
        <v>CONTRERAS</v>
      </c>
      <c r="M475" s="14" t="str">
        <f>'[1]V, inciso p) (OP)'!W244</f>
        <v>RENCOIST CONSTRUCCIÓNES, S.A. DE C.V.</v>
      </c>
      <c r="N475" s="14" t="str">
        <f>'[1]V, inciso p) (OP)'!X244</f>
        <v>RCO130920JX9</v>
      </c>
      <c r="O475" s="15">
        <f t="shared" si="10"/>
        <v>9098010.3499999996</v>
      </c>
      <c r="P475" s="15">
        <f>O475</f>
        <v>9098010.3499999996</v>
      </c>
      <c r="Q475" s="21" t="s">
        <v>978</v>
      </c>
      <c r="R475" s="22">
        <f>H475/1370</f>
        <v>6640.8834671532841</v>
      </c>
      <c r="S475" s="12" t="s">
        <v>42</v>
      </c>
      <c r="T475" s="17">
        <v>68952</v>
      </c>
      <c r="U475" s="14" t="s">
        <v>43</v>
      </c>
      <c r="V475" s="12" t="s">
        <v>378</v>
      </c>
      <c r="W475" s="13">
        <f>'[1]V, inciso p) (OP)'!AM244</f>
        <v>43047</v>
      </c>
      <c r="X475" s="13">
        <f>'[1]V, inciso p) (OP)'!AN244</f>
        <v>43166</v>
      </c>
      <c r="Y475" s="12" t="s">
        <v>976</v>
      </c>
      <c r="Z475" s="12" t="s">
        <v>977</v>
      </c>
      <c r="AA475" s="12" t="s">
        <v>877</v>
      </c>
      <c r="AB475" s="14" t="s">
        <v>1523</v>
      </c>
      <c r="AC475" s="14" t="s">
        <v>48</v>
      </c>
      <c r="AD475" s="14" t="s">
        <v>1571</v>
      </c>
    </row>
    <row r="476" spans="1:30" ht="80.099999999999994" customHeight="1">
      <c r="A476" s="6">
        <v>194</v>
      </c>
      <c r="B476" s="12">
        <v>2017</v>
      </c>
      <c r="C476" s="14" t="str">
        <f>'[1]V, inciso p) (OP)'!B245</f>
        <v>Licitación Pública</v>
      </c>
      <c r="D476" s="14" t="str">
        <f>'[1]V, inciso p) (OP)'!D245</f>
        <v>DOPI-MUN-CUSMAX-IU-LP-194-2017</v>
      </c>
      <c r="E476" s="13">
        <f>'[1]V, inciso p) (OP)'!AD245</f>
        <v>43047</v>
      </c>
      <c r="F476" s="14" t="str">
        <f>'[1]V, inciso p) (OP)'!AL245</f>
        <v>Sistema de retención y control de escurrimientos pluviales, Parque Novelistas, municipio de Zapopan, Jalisco.</v>
      </c>
      <c r="G476" s="14" t="str">
        <f>'[1]V, inciso p) (OP)'!AR245</f>
        <v>Cusmax 2017</v>
      </c>
      <c r="H476" s="15">
        <f>'[1]V, inciso p) (OP)'!AJ245</f>
        <v>11549879.380000001</v>
      </c>
      <c r="I476" s="14" t="str">
        <f>'[1]V, inciso p) (OP)'!AS245</f>
        <v>Colonia Jardines Vallarta</v>
      </c>
      <c r="J476" s="14" t="str">
        <f>'[1]V, inciso p) (OP)'!T245</f>
        <v>ENRIQUE CHRISTIAN</v>
      </c>
      <c r="K476" s="14" t="str">
        <f>'[1]V, inciso p) (OP)'!U245</f>
        <v>ANSHIRO MINAKATA</v>
      </c>
      <c r="L476" s="14" t="str">
        <f>'[1]V, inciso p) (OP)'!V245</f>
        <v>MORENTIN</v>
      </c>
      <c r="M476" s="14" t="str">
        <f>'[1]V, inciso p) (OP)'!W245</f>
        <v>CONSTRUCCIÓNES MIROT, S.A. DE C.V.</v>
      </c>
      <c r="N476" s="14" t="str">
        <f>'[1]V, inciso p) (OP)'!X245</f>
        <v>CMI110222AA0</v>
      </c>
      <c r="O476" s="15">
        <f t="shared" si="10"/>
        <v>11549879.380000001</v>
      </c>
      <c r="P476" s="15">
        <v>11549877.59</v>
      </c>
      <c r="Q476" s="21" t="s">
        <v>979</v>
      </c>
      <c r="R476" s="22">
        <f>H476/956.47</f>
        <v>12075.527073509886</v>
      </c>
      <c r="S476" s="12" t="s">
        <v>42</v>
      </c>
      <c r="T476" s="17">
        <v>1332272</v>
      </c>
      <c r="U476" s="14" t="s">
        <v>43</v>
      </c>
      <c r="V476" s="12" t="s">
        <v>378</v>
      </c>
      <c r="W476" s="13">
        <f>'[1]V, inciso p) (OP)'!AM245</f>
        <v>43047</v>
      </c>
      <c r="X476" s="13">
        <f>'[1]V, inciso p) (OP)'!AN245</f>
        <v>43166</v>
      </c>
      <c r="Y476" s="12" t="s">
        <v>322</v>
      </c>
      <c r="Z476" s="12" t="s">
        <v>196</v>
      </c>
      <c r="AA476" s="12" t="s">
        <v>197</v>
      </c>
      <c r="AB476" s="14" t="s">
        <v>1524</v>
      </c>
      <c r="AC476" s="14" t="s">
        <v>48</v>
      </c>
      <c r="AD476" s="14"/>
    </row>
    <row r="477" spans="1:30" ht="80.099999999999994" customHeight="1">
      <c r="A477" s="5">
        <v>195</v>
      </c>
      <c r="B477" s="12">
        <v>2017</v>
      </c>
      <c r="C477" s="14" t="str">
        <f>'[1]V, inciso p) (OP)'!B246</f>
        <v>Licitación Pública</v>
      </c>
      <c r="D477" s="14" t="str">
        <f>'[1]V, inciso p) (OP)'!D246</f>
        <v>DOPI-MUN-CUSMAX-IS-LP-195-2017</v>
      </c>
      <c r="E477" s="13">
        <f>'[1]V, inciso p) (OP)'!AD246</f>
        <v>43047</v>
      </c>
      <c r="F477" s="14" t="str">
        <f>'[1]V, inciso p) (OP)'!AL246</f>
        <v>Construcción de Centro de Atención a niños con Autismo, municipio de Zapopan, Jalisco.</v>
      </c>
      <c r="G477" s="14" t="str">
        <f>'[1]V, inciso p) (OP)'!AR246</f>
        <v>Cusmax 2017</v>
      </c>
      <c r="H477" s="15">
        <f>'[1]V, inciso p) (OP)'!AJ246</f>
        <v>4465382.4400000004</v>
      </c>
      <c r="I477" s="14" t="str">
        <f>'[1]V, inciso p) (OP)'!AS246</f>
        <v>Zapopan</v>
      </c>
      <c r="J477" s="14" t="str">
        <f>'[1]V, inciso p) (OP)'!T246</f>
        <v>ARTURO</v>
      </c>
      <c r="K477" s="14" t="str">
        <f>'[1]V, inciso p) (OP)'!U246</f>
        <v>SARMIENTO</v>
      </c>
      <c r="L477" s="14" t="str">
        <f>'[1]V, inciso p) (OP)'!V246</f>
        <v>SÁNCHEZ</v>
      </c>
      <c r="M477" s="14" t="str">
        <f>'[1]V, inciso p) (OP)'!W246</f>
        <v>CONSTRUBRAVO, S.A. DE C.V.</v>
      </c>
      <c r="N477" s="14" t="str">
        <f>'[1]V, inciso p) (OP)'!X246</f>
        <v>CON020208696</v>
      </c>
      <c r="O477" s="15">
        <f t="shared" si="10"/>
        <v>4465382.4400000004</v>
      </c>
      <c r="P477" s="15">
        <f>O477</f>
        <v>4465382.4400000004</v>
      </c>
      <c r="Q477" s="21" t="s">
        <v>980</v>
      </c>
      <c r="R477" s="22">
        <f>H477/1941.61</f>
        <v>2299.8348999026584</v>
      </c>
      <c r="S477" s="12" t="s">
        <v>42</v>
      </c>
      <c r="T477" s="17">
        <v>29866</v>
      </c>
      <c r="U477" s="14" t="s">
        <v>43</v>
      </c>
      <c r="V477" s="12" t="s">
        <v>378</v>
      </c>
      <c r="W477" s="13">
        <f>'[1]V, inciso p) (OP)'!AM246</f>
        <v>43047</v>
      </c>
      <c r="X477" s="13">
        <f>'[1]V, inciso p) (OP)'!AN246</f>
        <v>43137</v>
      </c>
      <c r="Y477" s="12" t="s">
        <v>611</v>
      </c>
      <c r="Z477" s="12" t="s">
        <v>312</v>
      </c>
      <c r="AA477" s="12" t="s">
        <v>64</v>
      </c>
      <c r="AB477" s="14" t="s">
        <v>1525</v>
      </c>
      <c r="AC477" s="14" t="s">
        <v>48</v>
      </c>
      <c r="AD477" s="14" t="s">
        <v>1571</v>
      </c>
    </row>
    <row r="478" spans="1:30" ht="80.099999999999994" customHeight="1">
      <c r="A478" s="5">
        <v>197</v>
      </c>
      <c r="B478" s="12">
        <v>2017</v>
      </c>
      <c r="C478" s="14" t="str">
        <f>'[1]V, inciso p) (OP)'!B247</f>
        <v>Concurso por Invitación</v>
      </c>
      <c r="D478" s="14" t="str">
        <f>'[1]V, inciso p) (OP)'!D247</f>
        <v>DOPI-EST-CR-BAN-CI-197-2017</v>
      </c>
      <c r="E478" s="13">
        <f>'[1]V, inciso p) (OP)'!AD247</f>
        <v>43031</v>
      </c>
      <c r="F478" s="14" t="str">
        <f>'[1]V, inciso p) (OP)'!AL247</f>
        <v>Peatonalización, construcción de banquetas, sustitución de guarniciones, bolardos, primera etapa en la colonia Santa Margarita, municipio de Zapopan, Jalisco.</v>
      </c>
      <c r="G478" s="14" t="str">
        <f>'[1]V, inciso p) (OP)'!AR247</f>
        <v>CRÉDITO ESTATAL 92 MDP</v>
      </c>
      <c r="H478" s="15">
        <f>'[1]V, inciso p) (OP)'!AJ247</f>
        <v>2389794.62</v>
      </c>
      <c r="I478" s="14" t="str">
        <f>'[1]V, inciso p) (OP)'!AS247</f>
        <v>Colonia Santa Margarita</v>
      </c>
      <c r="J478" s="14" t="str">
        <f>'[1]V, inciso p) (OP)'!T247</f>
        <v>JESÚS DAVID</v>
      </c>
      <c r="K478" s="14" t="str">
        <f>'[1]V, inciso p) (OP)'!U247</f>
        <v xml:space="preserve">GARZA </v>
      </c>
      <c r="L478" s="14" t="str">
        <f>'[1]V, inciso p) (OP)'!V247</f>
        <v>GARCÍA</v>
      </c>
      <c r="M478" s="14" t="str">
        <f>'[1]V, inciso p) (OP)'!W247</f>
        <v>CONSTRUCCIÓNES  ELECTRIFICACIONES Y ARRENDAMIENTO DE MAQUINARIA S.A. DE C.V.</v>
      </c>
      <c r="N478" s="14" t="str">
        <f>'[1]V, inciso p) (OP)'!X247</f>
        <v>CEA010615GT0</v>
      </c>
      <c r="O478" s="15">
        <f t="shared" si="10"/>
        <v>2389794.62</v>
      </c>
      <c r="P478" s="15">
        <v>2389794.62</v>
      </c>
      <c r="Q478" s="21" t="s">
        <v>981</v>
      </c>
      <c r="R478" s="22">
        <f>O478/1461</f>
        <v>1635.7252703627653</v>
      </c>
      <c r="S478" s="12" t="s">
        <v>42</v>
      </c>
      <c r="T478" s="17">
        <v>859</v>
      </c>
      <c r="U478" s="14" t="s">
        <v>43</v>
      </c>
      <c r="V478" s="12" t="s">
        <v>44</v>
      </c>
      <c r="W478" s="13">
        <f>'[1]V, inciso p) (OP)'!AM247</f>
        <v>43031</v>
      </c>
      <c r="X478" s="13">
        <f>'[1]V, inciso p) (OP)'!AN247</f>
        <v>43106</v>
      </c>
      <c r="Y478" s="12" t="s">
        <v>615</v>
      </c>
      <c r="Z478" s="12" t="s">
        <v>127</v>
      </c>
      <c r="AA478" s="12" t="s">
        <v>945</v>
      </c>
      <c r="AB478" s="14" t="s">
        <v>1451</v>
      </c>
      <c r="AC478" s="14" t="s">
        <v>125</v>
      </c>
      <c r="AD478" s="12"/>
    </row>
    <row r="479" spans="1:30" ht="80.099999999999994" customHeight="1">
      <c r="A479" s="5">
        <v>198</v>
      </c>
      <c r="B479" s="12">
        <v>2017</v>
      </c>
      <c r="C479" s="14" t="str">
        <f>'[1]V, inciso p) (OP)'!B248</f>
        <v>Concurso por Invitación</v>
      </c>
      <c r="D479" s="14" t="str">
        <f>'[1]V, inciso p) (OP)'!D248</f>
        <v>DOPI-EST-CR-PAV-CI-198-2017</v>
      </c>
      <c r="E479" s="13">
        <f>'[1]V, inciso p) (OP)'!AD248</f>
        <v>43031</v>
      </c>
      <c r="F479" s="14" t="str">
        <f>'[1]V, inciso p) (OP)'!AL248</f>
        <v>Reencarpetamiento de calles en la colonia Lomas de Tabachines, incluye: guarniciones, banquetas, renivelación de pozos y cajas, señalamiento vertical y horizontal, municipio de Zapopan, Jalisco.</v>
      </c>
      <c r="G479" s="14" t="str">
        <f>'[1]V, inciso p) (OP)'!AR248</f>
        <v>CRÉDITO ESTATAL 92 MDP</v>
      </c>
      <c r="H479" s="15">
        <f>'[1]V, inciso p) (OP)'!AJ248</f>
        <v>2436115.7999999998</v>
      </c>
      <c r="I479" s="14" t="str">
        <f>'[1]V, inciso p) (OP)'!AS248</f>
        <v>Colonia Lomas de Tabachines</v>
      </c>
      <c r="J479" s="14" t="str">
        <f>'[1]V, inciso p) (OP)'!T248</f>
        <v>VICTOR</v>
      </c>
      <c r="K479" s="14" t="str">
        <f>'[1]V, inciso p) (OP)'!U248</f>
        <v>ZAYAS</v>
      </c>
      <c r="L479" s="14" t="str">
        <f>'[1]V, inciso p) (OP)'!V248</f>
        <v>RIQUELME</v>
      </c>
      <c r="M479" s="14" t="str">
        <f>'[1]V, inciso p) (OP)'!W248</f>
        <v>GEMINIS INTERNACIONAL CONSTRUCTORA, S.A. DE C.V.</v>
      </c>
      <c r="N479" s="14" t="str">
        <f>'[1]V, inciso p) (OP)'!X248</f>
        <v>GIC810323RA6</v>
      </c>
      <c r="O479" s="15">
        <f t="shared" si="10"/>
        <v>2436115.7999999998</v>
      </c>
      <c r="P479" s="15">
        <v>2436115.7999999998</v>
      </c>
      <c r="Q479" s="21" t="s">
        <v>982</v>
      </c>
      <c r="R479" s="22">
        <f>O479/870</f>
        <v>2800.1331034482755</v>
      </c>
      <c r="S479" s="12" t="s">
        <v>42</v>
      </c>
      <c r="T479" s="17">
        <v>2115</v>
      </c>
      <c r="U479" s="14" t="s">
        <v>43</v>
      </c>
      <c r="V479" s="12" t="s">
        <v>44</v>
      </c>
      <c r="W479" s="13">
        <f>'[1]V, inciso p) (OP)'!AM248</f>
        <v>43031</v>
      </c>
      <c r="X479" s="13">
        <f>'[1]V, inciso p) (OP)'!AN248</f>
        <v>43106</v>
      </c>
      <c r="Y479" s="12" t="s">
        <v>470</v>
      </c>
      <c r="Z479" s="12" t="s">
        <v>315</v>
      </c>
      <c r="AA479" s="12" t="s">
        <v>134</v>
      </c>
      <c r="AB479" s="14" t="s">
        <v>1452</v>
      </c>
      <c r="AC479" s="14" t="s">
        <v>125</v>
      </c>
      <c r="AD479" s="12"/>
    </row>
    <row r="480" spans="1:30" ht="80.099999999999994" customHeight="1">
      <c r="A480" s="5">
        <v>199</v>
      </c>
      <c r="B480" s="12">
        <v>2017</v>
      </c>
      <c r="C480" s="14" t="str">
        <f>'[1]V, inciso p) (OP)'!B249</f>
        <v>Concurso por Invitación</v>
      </c>
      <c r="D480" s="14" t="str">
        <f>'[1]V, inciso p) (OP)'!D249</f>
        <v>DOPI-EST-CR-PAV-CI-199-2017</v>
      </c>
      <c r="E480" s="13">
        <f>'[1]V, inciso p) (OP)'!AD249</f>
        <v>43031</v>
      </c>
      <c r="F480" s="14" t="str">
        <f>'[1]V, inciso p) (OP)'!AL249</f>
        <v>Reencarpetamiento de vialidades en la colonia Parque del Auditorio, incluye: guarniciones, banquetas, renivelaciones de pozos y cajas, señalamiento vertical y horizontal, municipio de Zapopan, Jalisco.</v>
      </c>
      <c r="G480" s="14" t="str">
        <f>'[1]V, inciso p) (OP)'!AR249</f>
        <v>CRÉDITO ESTATAL 92 MDP</v>
      </c>
      <c r="H480" s="15">
        <f>'[1]V, inciso p) (OP)'!AJ249</f>
        <v>3601466.96</v>
      </c>
      <c r="I480" s="14" t="str">
        <f>'[1]V, inciso p) (OP)'!AS249</f>
        <v>Colonia Parque del Auditorio</v>
      </c>
      <c r="J480" s="14" t="str">
        <f>'[1]V, inciso p) (OP)'!T249</f>
        <v>GUILLERMO</v>
      </c>
      <c r="K480" s="14" t="str">
        <f>'[1]V, inciso p) (OP)'!U249</f>
        <v>LARA</v>
      </c>
      <c r="L480" s="14" t="str">
        <f>'[1]V, inciso p) (OP)'!V249</f>
        <v>VARGAS</v>
      </c>
      <c r="M480" s="14" t="str">
        <f>'[1]V, inciso p) (OP)'!W249</f>
        <v>DESARROLLADORA GLAR, S.A. DE C.V.</v>
      </c>
      <c r="N480" s="14" t="str">
        <f>'[1]V, inciso p) (OP)'!X249</f>
        <v>DGL060620SUA</v>
      </c>
      <c r="O480" s="15">
        <f t="shared" si="10"/>
        <v>3601466.96</v>
      </c>
      <c r="P480" s="15">
        <v>3595761.01</v>
      </c>
      <c r="Q480" s="21" t="s">
        <v>983</v>
      </c>
      <c r="R480" s="22">
        <f>O480/115</f>
        <v>31317.103999999999</v>
      </c>
      <c r="S480" s="12" t="s">
        <v>42</v>
      </c>
      <c r="T480" s="17">
        <v>562</v>
      </c>
      <c r="U480" s="14" t="s">
        <v>43</v>
      </c>
      <c r="V480" s="12" t="s">
        <v>378</v>
      </c>
      <c r="W480" s="13">
        <f>'[1]V, inciso p) (OP)'!AM249</f>
        <v>43031</v>
      </c>
      <c r="X480" s="13">
        <f>'[1]V, inciso p) (OP)'!AN249</f>
        <v>43106</v>
      </c>
      <c r="Y480" s="12" t="s">
        <v>470</v>
      </c>
      <c r="Z480" s="12" t="s">
        <v>315</v>
      </c>
      <c r="AA480" s="12" t="s">
        <v>134</v>
      </c>
      <c r="AB480" s="14" t="s">
        <v>1453</v>
      </c>
      <c r="AC480" s="14" t="s">
        <v>48</v>
      </c>
      <c r="AD480" s="14"/>
    </row>
    <row r="481" spans="1:30" ht="80.099999999999994" customHeight="1">
      <c r="A481" s="5">
        <v>200</v>
      </c>
      <c r="B481" s="12">
        <v>2017</v>
      </c>
      <c r="C481" s="14" t="str">
        <f>'[1]V, inciso p) (OP)'!B250</f>
        <v>Concurso por Invitación</v>
      </c>
      <c r="D481" s="14" t="str">
        <f>'[1]V, inciso p) (OP)'!D250</f>
        <v>DOPI-EST-CR-PAV-CI-200-2017</v>
      </c>
      <c r="E481" s="13">
        <f>'[1]V, inciso p) (OP)'!AD250</f>
        <v>43031</v>
      </c>
      <c r="F481" s="14" t="str">
        <f>'[1]V, inciso p) (OP)'!AL250</f>
        <v>Construcción de la segunda etapa de la calle Hidalgo, con concreto hidráulico en San Juan de Ocotán, incluye: guarniciones, banquetas y alumbrado público, Municipio de Zapopan, Jalisco.</v>
      </c>
      <c r="G481" s="14" t="str">
        <f>'[1]V, inciso p) (OP)'!AR250</f>
        <v>CRÉDITO ESTATAL 92 MDP</v>
      </c>
      <c r="H481" s="15">
        <f>'[1]V, inciso p) (OP)'!AJ250</f>
        <v>2877141.05</v>
      </c>
      <c r="I481" s="14" t="str">
        <f>'[1]V, inciso p) (OP)'!AS250</f>
        <v>San Juan de Ocotán</v>
      </c>
      <c r="J481" s="14" t="str">
        <f>'[1]V, inciso p) (OP)'!T250</f>
        <v>SERGIO ALBERTO</v>
      </c>
      <c r="K481" s="14" t="str">
        <f>'[1]V, inciso p) (OP)'!U250</f>
        <v>BAYLON</v>
      </c>
      <c r="L481" s="14" t="str">
        <f>'[1]V, inciso p) (OP)'!V250</f>
        <v>MORENO</v>
      </c>
      <c r="M481" s="14" t="str">
        <f>'[1]V, inciso p) (OP)'!W250</f>
        <v>EDIFICACIONES ESTRUCTURALES COBAY, S.A. DE C.V.</v>
      </c>
      <c r="N481" s="14" t="str">
        <f>'[1]V, inciso p) (OP)'!X250</f>
        <v>EEC9909173A7</v>
      </c>
      <c r="O481" s="15">
        <f t="shared" si="10"/>
        <v>2877141.05</v>
      </c>
      <c r="P481" s="15">
        <v>2877038.65</v>
      </c>
      <c r="Q481" s="21" t="s">
        <v>984</v>
      </c>
      <c r="R481" s="22">
        <f>O481/919</f>
        <v>3130.7301958650705</v>
      </c>
      <c r="S481" s="12" t="s">
        <v>42</v>
      </c>
      <c r="T481" s="17">
        <v>895</v>
      </c>
      <c r="U481" s="14" t="s">
        <v>43</v>
      </c>
      <c r="V481" s="12" t="s">
        <v>378</v>
      </c>
      <c r="W481" s="13">
        <f>'[1]V, inciso p) (OP)'!AM250</f>
        <v>43031</v>
      </c>
      <c r="X481" s="13">
        <f>'[1]V, inciso p) (OP)'!AN250</f>
        <v>43106</v>
      </c>
      <c r="Y481" s="12" t="s">
        <v>322</v>
      </c>
      <c r="Z481" s="12" t="s">
        <v>196</v>
      </c>
      <c r="AA481" s="12" t="s">
        <v>197</v>
      </c>
      <c r="AB481" s="14" t="s">
        <v>1454</v>
      </c>
      <c r="AC481" s="14" t="s">
        <v>48</v>
      </c>
      <c r="AD481" s="14"/>
    </row>
    <row r="482" spans="1:30" ht="80.099999999999994" customHeight="1">
      <c r="A482" s="5">
        <v>201</v>
      </c>
      <c r="B482" s="12">
        <v>2017</v>
      </c>
      <c r="C482" s="14" t="str">
        <f>'[1]V, inciso p) (OP)'!B251</f>
        <v>Concurso por Invitación</v>
      </c>
      <c r="D482" s="14" t="str">
        <f>'[1]V, inciso p) (OP)'!D251</f>
        <v>DOPI-EST-CM-PAV-CI-201-2017</v>
      </c>
      <c r="E482" s="13">
        <f>'[1]V, inciso p) (OP)'!AD251</f>
        <v>43031</v>
      </c>
      <c r="F482" s="14" t="str">
        <f>'[1]V, inciso p) (OP)'!AL251</f>
        <v>Renovación urbana en área habitacional y de zona comercial de Av. López Mateos, de las Águilas a Plaza del Sol, en el municipio de Zapopan, Jalisco.</v>
      </c>
      <c r="G482" s="14" t="str">
        <f>'[1]V, inciso p) (OP)'!AR251</f>
        <v>Consejo Metropolitano 2017</v>
      </c>
      <c r="H482" s="15">
        <f>'[1]V, inciso p) (OP)'!AJ251</f>
        <v>3799523.95</v>
      </c>
      <c r="I482" s="14" t="str">
        <f>'[1]V, inciso p) (OP)'!AS251</f>
        <v>Colonia Las Águilas</v>
      </c>
      <c r="J482" s="14" t="str">
        <f>'[1]V, inciso p) (OP)'!T251</f>
        <v>ANA KARINA</v>
      </c>
      <c r="K482" s="14" t="str">
        <f>'[1]V, inciso p) (OP)'!U251</f>
        <v>OJEDA</v>
      </c>
      <c r="L482" s="14" t="str">
        <f>'[1]V, inciso p) (OP)'!V251</f>
        <v>FERRELL</v>
      </c>
      <c r="M482" s="14" t="str">
        <f>'[1]V, inciso p) (OP)'!W251</f>
        <v>KP CONSTRUCTORA E INMOBILIARIA, S.A. DE C.V.</v>
      </c>
      <c r="N482" s="14" t="str">
        <f>'[1]V, inciso p) (OP)'!X251</f>
        <v>KCI120928CD5</v>
      </c>
      <c r="O482" s="15">
        <f t="shared" si="10"/>
        <v>3799523.95</v>
      </c>
      <c r="P482" s="15">
        <v>3799523.95</v>
      </c>
      <c r="Q482" s="21" t="s">
        <v>985</v>
      </c>
      <c r="R482" s="22">
        <f>O482/2673</f>
        <v>1421.4455480733259</v>
      </c>
      <c r="S482" s="12" t="s">
        <v>42</v>
      </c>
      <c r="T482" s="17">
        <v>1332272</v>
      </c>
      <c r="U482" s="14" t="s">
        <v>43</v>
      </c>
      <c r="V482" s="12" t="s">
        <v>44</v>
      </c>
      <c r="W482" s="13">
        <f>'[1]V, inciso p) (OP)'!AM251</f>
        <v>43031</v>
      </c>
      <c r="X482" s="13">
        <f>'[1]V, inciso p) (OP)'!AN251</f>
        <v>43106</v>
      </c>
      <c r="Y482" s="12" t="s">
        <v>875</v>
      </c>
      <c r="Z482" s="12" t="s">
        <v>876</v>
      </c>
      <c r="AA482" s="12" t="s">
        <v>877</v>
      </c>
      <c r="AB482" s="14" t="s">
        <v>1455</v>
      </c>
      <c r="AC482" s="14" t="s">
        <v>125</v>
      </c>
      <c r="AD482" s="12"/>
    </row>
    <row r="483" spans="1:30" ht="80.099999999999994" customHeight="1">
      <c r="A483" s="5">
        <v>203</v>
      </c>
      <c r="B483" s="12">
        <v>2017</v>
      </c>
      <c r="C483" s="14" t="str">
        <f>'[1]V, inciso p) (OP)'!B252</f>
        <v>Licitación Pública</v>
      </c>
      <c r="D483" s="14" t="str">
        <f>'[1]V, inciso p) (OP)'!D252</f>
        <v>DOPI-MUN-CUSMAX-IS-LP-203-2017</v>
      </c>
      <c r="E483" s="13">
        <f>'[1]V, inciso p) (OP)'!AD252</f>
        <v>43047</v>
      </c>
      <c r="F483" s="14" t="str">
        <f>'[1]V, inciso p) (OP)'!AL252</f>
        <v>Construcción de Alberca para Rehabilitación de niños con Fibrosis Muscular, municipio de Zapopan, Jalisco.</v>
      </c>
      <c r="G483" s="14" t="str">
        <f>'[1]V, inciso p) (OP)'!AR252</f>
        <v>Cusmax 2017</v>
      </c>
      <c r="H483" s="15">
        <f>'[1]V, inciso p) (OP)'!AJ252</f>
        <v>19280189.670000002</v>
      </c>
      <c r="I483" s="14" t="str">
        <f>'[1]V, inciso p) (OP)'!AS252</f>
        <v>Zapopan</v>
      </c>
      <c r="J483" s="14" t="str">
        <f>'[1]V, inciso p) (OP)'!T252</f>
        <v xml:space="preserve">EDUARDO </v>
      </c>
      <c r="K483" s="14" t="str">
        <f>'[1]V, inciso p) (OP)'!U252</f>
        <v>CRUZ</v>
      </c>
      <c r="L483" s="14" t="str">
        <f>'[1]V, inciso p) (OP)'!V252</f>
        <v>MOGUEL</v>
      </c>
      <c r="M483" s="14" t="str">
        <f>'[1]V, inciso p) (OP)'!W252</f>
        <v>BALKEN, S.A. DE C.V.</v>
      </c>
      <c r="N483" s="14" t="str">
        <f>'[1]V, inciso p) (OP)'!X252</f>
        <v>BAL990803661</v>
      </c>
      <c r="O483" s="15">
        <f t="shared" ref="O483:O546" si="11">H483</f>
        <v>19280189.670000002</v>
      </c>
      <c r="P483" s="15">
        <f>O483</f>
        <v>19280189.670000002</v>
      </c>
      <c r="Q483" s="21" t="s">
        <v>986</v>
      </c>
      <c r="R483" s="22">
        <f>H483/2650</f>
        <v>7275.543271698114</v>
      </c>
      <c r="S483" s="12" t="s">
        <v>42</v>
      </c>
      <c r="T483" s="17">
        <v>21596</v>
      </c>
      <c r="U483" s="14" t="s">
        <v>43</v>
      </c>
      <c r="V483" s="12" t="s">
        <v>378</v>
      </c>
      <c r="W483" s="13">
        <f>'[1]V, inciso p) (OP)'!AM252</f>
        <v>43047</v>
      </c>
      <c r="X483" s="13">
        <f>'[1]V, inciso p) (OP)'!AN252</f>
        <v>43166</v>
      </c>
      <c r="Y483" s="12" t="s">
        <v>767</v>
      </c>
      <c r="Z483" s="12" t="s">
        <v>843</v>
      </c>
      <c r="AA483" s="12" t="s">
        <v>769</v>
      </c>
      <c r="AB483" s="14" t="s">
        <v>1456</v>
      </c>
      <c r="AC483" s="14" t="s">
        <v>48</v>
      </c>
      <c r="AD483" s="14" t="s">
        <v>1571</v>
      </c>
    </row>
    <row r="484" spans="1:30" ht="80.099999999999994" customHeight="1">
      <c r="A484" s="5">
        <v>204</v>
      </c>
      <c r="B484" s="12">
        <v>2017</v>
      </c>
      <c r="C484" s="12" t="s">
        <v>65</v>
      </c>
      <c r="D484" s="14" t="str">
        <f>'[1]V, inciso o) (OP)'!C238</f>
        <v>DOPI-MUN-CUSMAX-SER-AD-204-2017</v>
      </c>
      <c r="E484" s="13">
        <f>'[1]V, inciso o) (OP)'!V238</f>
        <v>43012</v>
      </c>
      <c r="F484" s="14" t="str">
        <f>'[1]V, inciso o) (OP)'!AA238</f>
        <v>Proyecto ejecutivo arquitectónico de la primera etapa de integración peatonal y paisaje de espacio público en la zona Andares, en el municipio de Zapopan, Jalisco.</v>
      </c>
      <c r="G484" s="14" t="s">
        <v>987</v>
      </c>
      <c r="H484" s="15">
        <f>'[1]V, inciso o) (OP)'!Y238</f>
        <v>1498350.24</v>
      </c>
      <c r="I484" s="14" t="s">
        <v>124</v>
      </c>
      <c r="J484" s="14" t="str">
        <f>'[1]V, inciso o) (OP)'!M238</f>
        <v xml:space="preserve">GERARDO </v>
      </c>
      <c r="K484" s="14" t="str">
        <f>'[1]V, inciso o) (OP)'!N238</f>
        <v>SÁNCHEZ</v>
      </c>
      <c r="L484" s="14" t="str">
        <f>'[1]V, inciso o) (OP)'!O238</f>
        <v>SENDRA</v>
      </c>
      <c r="M484" s="14" t="str">
        <f>'[1]V, inciso o) (OP)'!P238</f>
        <v>ESTUDIO PI. S.C.</v>
      </c>
      <c r="N484" s="14" t="str">
        <f>'[1]V, inciso o) (OP)'!Q238</f>
        <v>EPI070531P51</v>
      </c>
      <c r="O484" s="15">
        <f t="shared" si="11"/>
        <v>1498350.24</v>
      </c>
      <c r="P484" s="15">
        <v>1498350.24</v>
      </c>
      <c r="Q484" s="12" t="s">
        <v>508</v>
      </c>
      <c r="R484" s="15">
        <f>O484/1</f>
        <v>1498350.24</v>
      </c>
      <c r="S484" s="12" t="s">
        <v>125</v>
      </c>
      <c r="T484" s="17" t="s">
        <v>125</v>
      </c>
      <c r="U484" s="14" t="s">
        <v>43</v>
      </c>
      <c r="V484" s="12" t="s">
        <v>378</v>
      </c>
      <c r="W484" s="13">
        <f>'[1]V, inciso o) (OP)'!AD238</f>
        <v>43012</v>
      </c>
      <c r="X484" s="13">
        <f>'[1]V, inciso o) (OP)'!AE238</f>
        <v>43131</v>
      </c>
      <c r="Y484" s="12" t="s">
        <v>692</v>
      </c>
      <c r="Z484" s="12" t="s">
        <v>693</v>
      </c>
      <c r="AA484" s="12" t="s">
        <v>136</v>
      </c>
      <c r="AB484" s="8" t="s">
        <v>1954</v>
      </c>
      <c r="AC484" s="14" t="s">
        <v>48</v>
      </c>
      <c r="AD484" s="14"/>
    </row>
    <row r="485" spans="1:30" ht="80.099999999999994" customHeight="1">
      <c r="A485" s="5">
        <v>205</v>
      </c>
      <c r="B485" s="12">
        <v>2017</v>
      </c>
      <c r="C485" s="12" t="s">
        <v>65</v>
      </c>
      <c r="D485" s="14" t="str">
        <f>'[1]V, inciso o) (OP)'!C239</f>
        <v>DOPI-MUN-RM-IS-AD-205-2017</v>
      </c>
      <c r="E485" s="13">
        <f>'[1]V, inciso o) (OP)'!V239</f>
        <v>42993</v>
      </c>
      <c r="F485" s="14" t="str">
        <f>'[1]V, inciso o) (OP)'!AA239</f>
        <v>Adecuación del área de urgencias y obra complementaria en la Cruz Verde Federalismo, municipio de Zapopan, Jalisco.</v>
      </c>
      <c r="G485" s="14" t="s">
        <v>499</v>
      </c>
      <c r="H485" s="15">
        <f>'[1]V, inciso o) (OP)'!Y239</f>
        <v>1570922.15</v>
      </c>
      <c r="I485" s="14" t="s">
        <v>988</v>
      </c>
      <c r="J485" s="14" t="str">
        <f>'[1]V, inciso o) (OP)'!M239</f>
        <v>JOSÉ DE JESÚS</v>
      </c>
      <c r="K485" s="14" t="str">
        <f>'[1]V, inciso o) (OP)'!N239</f>
        <v>ROMERO</v>
      </c>
      <c r="L485" s="14" t="str">
        <f>'[1]V, inciso o) (OP)'!O239</f>
        <v>GARCÍA</v>
      </c>
      <c r="M485" s="14" t="str">
        <f>'[1]V, inciso o) (OP)'!P239</f>
        <v>URBANIZADORA Y CONSTRUCTORA ROAL, S.A. DE C.V.</v>
      </c>
      <c r="N485" s="14" t="str">
        <f>'[1]V, inciso o) (OP)'!Q239</f>
        <v>URC160310857</v>
      </c>
      <c r="O485" s="15">
        <f t="shared" si="11"/>
        <v>1570922.15</v>
      </c>
      <c r="P485" s="15">
        <v>1462451.87</v>
      </c>
      <c r="Q485" s="12" t="s">
        <v>989</v>
      </c>
      <c r="R485" s="15">
        <f>O485/55</f>
        <v>28562.220909090909</v>
      </c>
      <c r="S485" s="12" t="s">
        <v>42</v>
      </c>
      <c r="T485" s="17">
        <v>1332272</v>
      </c>
      <c r="U485" s="14" t="s">
        <v>43</v>
      </c>
      <c r="V485" s="12" t="s">
        <v>378</v>
      </c>
      <c r="W485" s="13">
        <f>'[1]V, inciso o) (OP)'!AD239</f>
        <v>42996</v>
      </c>
      <c r="X485" s="13">
        <f>'[1]V, inciso o) (OP)'!AE239</f>
        <v>43049</v>
      </c>
      <c r="Y485" s="12" t="s">
        <v>875</v>
      </c>
      <c r="Z485" s="12" t="s">
        <v>876</v>
      </c>
      <c r="AA485" s="12" t="s">
        <v>877</v>
      </c>
      <c r="AB485" s="8" t="s">
        <v>1955</v>
      </c>
      <c r="AC485" s="14" t="s">
        <v>48</v>
      </c>
      <c r="AD485" s="14"/>
    </row>
    <row r="486" spans="1:30" ht="80.099999999999994" customHeight="1">
      <c r="A486" s="5">
        <v>206</v>
      </c>
      <c r="B486" s="12">
        <v>2017</v>
      </c>
      <c r="C486" s="12" t="s">
        <v>65</v>
      </c>
      <c r="D486" s="14" t="str">
        <f>'[1]V, inciso o) (OP)'!C240</f>
        <v>DOPI-MUN-FORTA-PAV-AD-206-2017</v>
      </c>
      <c r="E486" s="13">
        <f>'[1]V, inciso o) (OP)'!V240</f>
        <v>42984</v>
      </c>
      <c r="F486" s="14" t="str">
        <f>'[1]V, inciso o) (OP)'!AA240</f>
        <v>Obra complementaria en la pavimentación de la calle Mármol, de calle Cantera al Arroyo y en la calle Obsidiana, de calle Ópalo a calle Coral, en la Colonia Pedregal de Zapopan (Loma del Pedregal), en Zapopan, Jalisco.</v>
      </c>
      <c r="G486" s="14" t="s">
        <v>707</v>
      </c>
      <c r="H486" s="15">
        <f>'[1]V, inciso o) (OP)'!Y240</f>
        <v>585223.57999999996</v>
      </c>
      <c r="I486" s="14" t="s">
        <v>990</v>
      </c>
      <c r="J486" s="14" t="str">
        <f>'[1]V, inciso o) (OP)'!M240</f>
        <v>HUGO ARMANDO</v>
      </c>
      <c r="K486" s="14" t="str">
        <f>'[1]V, inciso o) (OP)'!N240</f>
        <v>PRIETO</v>
      </c>
      <c r="L486" s="14" t="str">
        <f>'[1]V, inciso o) (OP)'!O240</f>
        <v>JIMÉNEZ</v>
      </c>
      <c r="M486" s="14" t="str">
        <f>'[1]V, inciso o) (OP)'!P240</f>
        <v>CONSTRUCTORA RURAL DEL PAIS, S.A. DE C.V.</v>
      </c>
      <c r="N486" s="14" t="str">
        <f>'[1]V, inciso o) (OP)'!Q240</f>
        <v>CRP870708I62</v>
      </c>
      <c r="O486" s="15">
        <f t="shared" si="11"/>
        <v>585223.57999999996</v>
      </c>
      <c r="P486" s="15">
        <v>585202.68999999994</v>
      </c>
      <c r="Q486" s="12" t="s">
        <v>991</v>
      </c>
      <c r="R486" s="15">
        <f>O486/176</f>
        <v>3325.133977272727</v>
      </c>
      <c r="S486" s="12" t="s">
        <v>42</v>
      </c>
      <c r="T486" s="17">
        <v>659</v>
      </c>
      <c r="U486" s="14" t="s">
        <v>43</v>
      </c>
      <c r="V486" s="12" t="s">
        <v>44</v>
      </c>
      <c r="W486" s="13">
        <f>'[1]V, inciso o) (OP)'!AD240</f>
        <v>42984</v>
      </c>
      <c r="X486" s="13">
        <f>'[1]V, inciso o) (OP)'!AE240</f>
        <v>43028</v>
      </c>
      <c r="Y486" s="12" t="s">
        <v>794</v>
      </c>
      <c r="Z486" s="12" t="s">
        <v>992</v>
      </c>
      <c r="AA486" s="12" t="s">
        <v>164</v>
      </c>
      <c r="AB486" s="8" t="s">
        <v>1956</v>
      </c>
      <c r="AC486" s="14" t="s">
        <v>48</v>
      </c>
      <c r="AD486" s="14"/>
    </row>
    <row r="487" spans="1:30" ht="80.099999999999994" customHeight="1">
      <c r="A487" s="5">
        <v>207</v>
      </c>
      <c r="B487" s="12">
        <v>2017</v>
      </c>
      <c r="C487" s="12" t="s">
        <v>65</v>
      </c>
      <c r="D487" s="14" t="str">
        <f>'[1]V, inciso o) (OP)'!C241</f>
        <v>DOPI-MUN-R33R-AP-AD-207-2017</v>
      </c>
      <c r="E487" s="13">
        <f>'[1]V, inciso o) (OP)'!V241</f>
        <v>43005</v>
      </c>
      <c r="F487" s="14" t="str">
        <f>'[1]V, inciso o) (OP)'!AA241</f>
        <v>Construcción de red de agua potable del pozo El Trébol a la colonia La Agrícola, en Santa Ana Tepetitlan, Municipio de Zapopan, Jalisco.</v>
      </c>
      <c r="G487" s="14" t="s">
        <v>841</v>
      </c>
      <c r="H487" s="15">
        <f>'[1]V, inciso o) (OP)'!Y241</f>
        <v>1203779.8</v>
      </c>
      <c r="I487" s="14" t="s">
        <v>993</v>
      </c>
      <c r="J487" s="14" t="str">
        <f>'[1]V, inciso o) (OP)'!M241</f>
        <v>ROBERTO</v>
      </c>
      <c r="K487" s="14" t="str">
        <f>'[1]V, inciso o) (OP)'!N241</f>
        <v>FLORES</v>
      </c>
      <c r="L487" s="14" t="str">
        <f>'[1]V, inciso o) (OP)'!O241</f>
        <v>ARREOLA</v>
      </c>
      <c r="M487" s="14" t="str">
        <f>'[1]V, inciso o) (OP)'!P241</f>
        <v>ESTUDIOS SISTEMAS Y CONSTRUCCIÓNES, S.A. DE C.V.</v>
      </c>
      <c r="N487" s="14" t="str">
        <f>'[1]V, inciso o) (OP)'!Q241</f>
        <v>ESC930617KW9</v>
      </c>
      <c r="O487" s="15">
        <f t="shared" si="11"/>
        <v>1203779.8</v>
      </c>
      <c r="P487" s="15">
        <v>1203779.8</v>
      </c>
      <c r="Q487" s="12" t="s">
        <v>994</v>
      </c>
      <c r="R487" s="15">
        <f>O487/365</f>
        <v>3298.0268493150688</v>
      </c>
      <c r="S487" s="12" t="s">
        <v>42</v>
      </c>
      <c r="T487" s="17">
        <v>455</v>
      </c>
      <c r="U487" s="14" t="s">
        <v>43</v>
      </c>
      <c r="V487" s="12" t="s">
        <v>44</v>
      </c>
      <c r="W487" s="13">
        <f>'[1]V, inciso o) (OP)'!AD241</f>
        <v>43005</v>
      </c>
      <c r="X487" s="13">
        <f>'[1]V, inciso o) (OP)'!AE241</f>
        <v>43084</v>
      </c>
      <c r="Y487" s="12" t="s">
        <v>995</v>
      </c>
      <c r="Z487" s="12" t="s">
        <v>810</v>
      </c>
      <c r="AA487" s="12" t="s">
        <v>996</v>
      </c>
      <c r="AB487" s="14" t="s">
        <v>1559</v>
      </c>
      <c r="AC487" s="14" t="s">
        <v>125</v>
      </c>
      <c r="AD487" s="14"/>
    </row>
    <row r="488" spans="1:30" ht="80.099999999999994" customHeight="1">
      <c r="A488" s="5">
        <v>208</v>
      </c>
      <c r="B488" s="12">
        <v>2017</v>
      </c>
      <c r="C488" s="12" t="s">
        <v>65</v>
      </c>
      <c r="D488" s="14" t="str">
        <f>'[1]V, inciso o) (OP)'!C242</f>
        <v>DOPI-MUN-FORTA-CONT-AD-208-2017</v>
      </c>
      <c r="E488" s="13">
        <f>'[1]V, inciso o) (OP)'!V242</f>
        <v>43003</v>
      </c>
      <c r="F488" s="14" t="str">
        <f>'[1]V, inciso o) (OP)'!AA242</f>
        <v>Obra emergente para la reconstrucción de muro de contención en el arroyo seco en el tramo de la calle Michoacán a Privada Arroyo y en el tramo de la calle Guanajuato y Tlaxcala a calle Michoacán, en la colonia El Mante, Municipio de Zapopan, Jalisco.</v>
      </c>
      <c r="G488" s="14" t="s">
        <v>707</v>
      </c>
      <c r="H488" s="15">
        <f>'[1]V, inciso o) (OP)'!Y242</f>
        <v>625674.23</v>
      </c>
      <c r="I488" s="14" t="s">
        <v>997</v>
      </c>
      <c r="J488" s="14" t="str">
        <f>'[1]V, inciso o) (OP)'!M242</f>
        <v>EMILIO MIGUEL</v>
      </c>
      <c r="K488" s="14" t="str">
        <f>'[1]V, inciso o) (OP)'!N242</f>
        <v>ZULOAGA</v>
      </c>
      <c r="L488" s="14" t="str">
        <f>'[1]V, inciso o) (OP)'!O242</f>
        <v>SAENZ</v>
      </c>
      <c r="M488" s="14" t="str">
        <f>'[1]V, inciso o) (OP)'!P242</f>
        <v>CONSTRUCTORA Y SERVICIOS NOVACREA, S.A. DE C.V.</v>
      </c>
      <c r="N488" s="14" t="str">
        <f>'[1]V, inciso o) (OP)'!Q242</f>
        <v>CSN150923FGA</v>
      </c>
      <c r="O488" s="15">
        <f t="shared" si="11"/>
        <v>625674.23</v>
      </c>
      <c r="P488" s="15">
        <v>318976.75</v>
      </c>
      <c r="Q488" s="12" t="s">
        <v>998</v>
      </c>
      <c r="R488" s="15">
        <f>O488/82</f>
        <v>7630.1735365853656</v>
      </c>
      <c r="S488" s="12" t="s">
        <v>42</v>
      </c>
      <c r="T488" s="17">
        <v>1523</v>
      </c>
      <c r="U488" s="14" t="s">
        <v>43</v>
      </c>
      <c r="V488" s="12" t="s">
        <v>378</v>
      </c>
      <c r="W488" s="13">
        <f>'[1]V, inciso o) (OP)'!AD242</f>
        <v>43004</v>
      </c>
      <c r="X488" s="13">
        <f>'[1]V, inciso o) (OP)'!AE242</f>
        <v>43034</v>
      </c>
      <c r="Y488" s="12" t="s">
        <v>439</v>
      </c>
      <c r="Z488" s="12" t="s">
        <v>186</v>
      </c>
      <c r="AA488" s="12" t="s">
        <v>92</v>
      </c>
      <c r="AB488" s="8" t="s">
        <v>1957</v>
      </c>
      <c r="AC488" s="14" t="s">
        <v>48</v>
      </c>
      <c r="AD488" s="14"/>
    </row>
    <row r="489" spans="1:30" ht="80.099999999999994" customHeight="1">
      <c r="A489" s="5">
        <v>209</v>
      </c>
      <c r="B489" s="12">
        <v>2017</v>
      </c>
      <c r="C489" s="12" t="s">
        <v>65</v>
      </c>
      <c r="D489" s="14" t="str">
        <f>'[1]V, inciso o) (OP)'!C243</f>
        <v>DOPI-EST-CR-PAV-AD-209-2017</v>
      </c>
      <c r="E489" s="13">
        <f>'[1]V, inciso o) (OP)'!V243</f>
        <v>43005</v>
      </c>
      <c r="F489" s="14" t="str">
        <f>'[1]V, inciso o) (OP)'!AA243</f>
        <v>Construcción de la segunda etapa de la calle Juárez, de la calle 5 de Mayo a calle Primavera con concreto hidráulico en Santa Ana Tepetitlan, incluye: guarniciones, banquetas, red de agua potable, alcantarillado y alumbrado público, Municipio de Zapopan, Jalisco.</v>
      </c>
      <c r="G489" s="14" t="s">
        <v>999</v>
      </c>
      <c r="H489" s="15">
        <f>'[1]V, inciso o) (OP)'!Y243</f>
        <v>940711.37</v>
      </c>
      <c r="I489" s="14" t="s">
        <v>281</v>
      </c>
      <c r="J489" s="14" t="str">
        <f>'[1]V, inciso o) (OP)'!M243</f>
        <v>J. JESÚS</v>
      </c>
      <c r="K489" s="14" t="str">
        <f>'[1]V, inciso o) (OP)'!N243</f>
        <v>CONTRERAS</v>
      </c>
      <c r="L489" s="14" t="str">
        <f>'[1]V, inciso o) (OP)'!O243</f>
        <v>VILLANUEVA</v>
      </c>
      <c r="M489" s="14" t="str">
        <f>'[1]V, inciso o) (OP)'!P243</f>
        <v>CONSTRUCCIÓNES COVIMEX, S.A. DE C.V.</v>
      </c>
      <c r="N489" s="14" t="str">
        <f>'[1]V, inciso o) (OP)'!Q243</f>
        <v>CCO0404226D8</v>
      </c>
      <c r="O489" s="15">
        <f t="shared" si="11"/>
        <v>940711.37</v>
      </c>
      <c r="P489" s="15">
        <f>O489</f>
        <v>940711.37</v>
      </c>
      <c r="Q489" s="12" t="s">
        <v>1000</v>
      </c>
      <c r="R489" s="15">
        <f>O489/297</f>
        <v>3167.3783501683502</v>
      </c>
      <c r="S489" s="12" t="s">
        <v>42</v>
      </c>
      <c r="T489" s="17">
        <v>528</v>
      </c>
      <c r="U489" s="14" t="s">
        <v>43</v>
      </c>
      <c r="V489" s="12" t="s">
        <v>378</v>
      </c>
      <c r="W489" s="13">
        <f>'[1]V, inciso o) (OP)'!AD243</f>
        <v>43006</v>
      </c>
      <c r="X489" s="13">
        <f>'[1]V, inciso o) (OP)'!AE243</f>
        <v>43069</v>
      </c>
      <c r="Y489" s="12" t="s">
        <v>735</v>
      </c>
      <c r="Z489" s="12" t="s">
        <v>236</v>
      </c>
      <c r="AA489" s="12" t="s">
        <v>147</v>
      </c>
      <c r="AB489" s="8" t="s">
        <v>1958</v>
      </c>
      <c r="AC489" s="14" t="s">
        <v>48</v>
      </c>
      <c r="AD489" s="14" t="s">
        <v>1571</v>
      </c>
    </row>
    <row r="490" spans="1:30" ht="80.099999999999994" customHeight="1">
      <c r="A490" s="5">
        <v>210</v>
      </c>
      <c r="B490" s="12">
        <v>2017</v>
      </c>
      <c r="C490" s="12" t="s">
        <v>65</v>
      </c>
      <c r="D490" s="14" t="str">
        <f>'[1]V, inciso o) (OP)'!C244</f>
        <v>DOPI-MUN-RM-PROY-AD-210-2017</v>
      </c>
      <c r="E490" s="13">
        <f>'[1]V, inciso o) (OP)'!V244</f>
        <v>42947</v>
      </c>
      <c r="F490" s="14" t="str">
        <f>'[1]V, inciso o) (OP)'!AA244</f>
        <v>Elaboración de proyecto ejecutivo para la rehabilitación del área infantil y del Parque Unidad de Manejo Ambiental Villa Fantasía, colonia Tepeyac, Municipio de Zapopan, Jalisco.</v>
      </c>
      <c r="G490" s="14" t="s">
        <v>499</v>
      </c>
      <c r="H490" s="15">
        <f>'[1]V, inciso o) (OP)'!Y244</f>
        <v>754115.28</v>
      </c>
      <c r="I490" s="14" t="s">
        <v>1001</v>
      </c>
      <c r="J490" s="14" t="str">
        <f>'[1]V, inciso o) (OP)'!M244</f>
        <v xml:space="preserve">JUAN IGNACIO </v>
      </c>
      <c r="K490" s="14" t="str">
        <f>'[1]V, inciso o) (OP)'!N244</f>
        <v xml:space="preserve">MICHEL </v>
      </c>
      <c r="L490" s="14" t="str">
        <f>'[1]V, inciso o) (OP)'!O244</f>
        <v>ZEPEDA</v>
      </c>
      <c r="M490" s="14" t="str">
        <f>'[1]V, inciso o) (OP)'!P244</f>
        <v>PROTOTIPOS COMPETITIVOS, S.A. DE C.V.</v>
      </c>
      <c r="N490" s="14" t="str">
        <f>'[1]V, inciso o) (OP)'!Q244</f>
        <v>PCO051124BL2</v>
      </c>
      <c r="O490" s="15">
        <f t="shared" si="11"/>
        <v>754115.28</v>
      </c>
      <c r="P490" s="15">
        <v>754115.28</v>
      </c>
      <c r="Q490" s="12" t="s">
        <v>508</v>
      </c>
      <c r="R490" s="15">
        <f>O490/1</f>
        <v>754115.28</v>
      </c>
      <c r="S490" s="12" t="s">
        <v>125</v>
      </c>
      <c r="T490" s="17" t="s">
        <v>125</v>
      </c>
      <c r="U490" s="14" t="s">
        <v>43</v>
      </c>
      <c r="V490" s="12" t="s">
        <v>44</v>
      </c>
      <c r="W490" s="13">
        <f>'[1]V, inciso o) (OP)'!AD244</f>
        <v>42948</v>
      </c>
      <c r="X490" s="13">
        <f>'[1]V, inciso o) (OP)'!AE244</f>
        <v>43054</v>
      </c>
      <c r="Y490" s="12" t="s">
        <v>854</v>
      </c>
      <c r="Z490" s="12" t="s">
        <v>455</v>
      </c>
      <c r="AA490" s="12" t="s">
        <v>456</v>
      </c>
      <c r="AB490" s="14" t="s">
        <v>48</v>
      </c>
      <c r="AC490" s="14" t="s">
        <v>48</v>
      </c>
      <c r="AD490" s="14"/>
    </row>
    <row r="491" spans="1:30" ht="80.099999999999994" customHeight="1">
      <c r="A491" s="5">
        <v>211</v>
      </c>
      <c r="B491" s="12">
        <v>2017</v>
      </c>
      <c r="C491" s="12" t="s">
        <v>65</v>
      </c>
      <c r="D491" s="14" t="str">
        <f>'[1]V, inciso o) (OP)'!C245</f>
        <v>DOPI-MUN-R33R-ELE-AD-211-2017</v>
      </c>
      <c r="E491" s="13">
        <f>'[1]V, inciso o) (OP)'!V245</f>
        <v>43021</v>
      </c>
      <c r="F491" s="14" t="str">
        <f>'[1]V, inciso o) (OP)'!AA245</f>
        <v>Electrificación en las calles 1ra Norte, 2a Norte, 11a Poniente y 10a Poniente, colonia Jardines de Nuevo México, municipio de Zapopan, Jalisco.</v>
      </c>
      <c r="G491" s="14" t="s">
        <v>841</v>
      </c>
      <c r="H491" s="15">
        <f>'[1]V, inciso o) (OP)'!Y245</f>
        <v>1496418.42</v>
      </c>
      <c r="I491" s="14" t="s">
        <v>82</v>
      </c>
      <c r="J491" s="14" t="str">
        <f>'[1]V, inciso o) (OP)'!M245</f>
        <v>JOSÉ DE JESÚS</v>
      </c>
      <c r="K491" s="14" t="str">
        <f>'[1]V, inciso o) (OP)'!N245</f>
        <v>MARQUEZ</v>
      </c>
      <c r="L491" s="14" t="str">
        <f>'[1]V, inciso o) (OP)'!O245</f>
        <v>ÁVILA</v>
      </c>
      <c r="M491" s="14" t="str">
        <f>'[1]V, inciso o) (OP)'!P245</f>
        <v>FUTUROBRAS, S.A. DE C.V.</v>
      </c>
      <c r="N491" s="14" t="str">
        <f>'[1]V, inciso o) (OP)'!Q245</f>
        <v>FUT1110275V9</v>
      </c>
      <c r="O491" s="15">
        <f t="shared" si="11"/>
        <v>1496418.42</v>
      </c>
      <c r="P491" s="15">
        <v>1357570.51</v>
      </c>
      <c r="Q491" s="12" t="s">
        <v>1002</v>
      </c>
      <c r="R491" s="15">
        <f>O491/800</f>
        <v>1870.523025</v>
      </c>
      <c r="S491" s="12" t="s">
        <v>42</v>
      </c>
      <c r="T491" s="17">
        <v>423</v>
      </c>
      <c r="U491" s="14" t="s">
        <v>43</v>
      </c>
      <c r="V491" s="12" t="s">
        <v>378</v>
      </c>
      <c r="W491" s="13">
        <f>'[1]V, inciso o) (OP)'!AD245</f>
        <v>43024</v>
      </c>
      <c r="X491" s="13">
        <f>'[1]V, inciso o) (OP)'!AE245</f>
        <v>43084</v>
      </c>
      <c r="Y491" s="12" t="s">
        <v>408</v>
      </c>
      <c r="Z491" s="12" t="s">
        <v>301</v>
      </c>
      <c r="AA491" s="12" t="s">
        <v>518</v>
      </c>
      <c r="AB491" s="14" t="s">
        <v>1560</v>
      </c>
      <c r="AC491" s="14" t="s">
        <v>48</v>
      </c>
      <c r="AD491" s="14"/>
    </row>
    <row r="492" spans="1:30" ht="80.099999999999994" customHeight="1">
      <c r="A492" s="5">
        <v>212</v>
      </c>
      <c r="B492" s="12">
        <v>2017</v>
      </c>
      <c r="C492" s="12" t="s">
        <v>65</v>
      </c>
      <c r="D492" s="14" t="str">
        <f>'[1]V, inciso o) (OP)'!C246</f>
        <v>DOPI-MUN-RM-MOV-AD-212-2017</v>
      </c>
      <c r="E492" s="13">
        <f>'[1]V, inciso o) (OP)'!V246</f>
        <v>43013</v>
      </c>
      <c r="F492" s="14" t="str">
        <f>'[1]V, inciso o) (OP)'!AA246</f>
        <v>Señalética horizontal-vertical y obra complementaria en la Prolongación Laureles de Av. Del Rodeo a Periférico Norte Manuel Gómez Morín, municipio de Zapopan, Jalisco.</v>
      </c>
      <c r="G492" s="14" t="s">
        <v>499</v>
      </c>
      <c r="H492" s="15">
        <f>'[1]V, inciso o) (OP)'!Y246</f>
        <v>591006.87</v>
      </c>
      <c r="I492" s="14" t="s">
        <v>1003</v>
      </c>
      <c r="J492" s="14" t="str">
        <f>'[1]V, inciso o) (OP)'!M246</f>
        <v>ANTONIO</v>
      </c>
      <c r="K492" s="14" t="str">
        <f>'[1]V, inciso o) (OP)'!N246</f>
        <v>CARRILLO</v>
      </c>
      <c r="L492" s="14" t="str">
        <f>'[1]V, inciso o) (OP)'!O246</f>
        <v>SEGURA</v>
      </c>
      <c r="M492" s="14" t="str">
        <f>'[1]V, inciso o) (OP)'!P246</f>
        <v>ITERACION, S.A. DE C.V.</v>
      </c>
      <c r="N492" s="14" t="str">
        <f>'[1]V, inciso o) (OP)'!Q246</f>
        <v>ITE080214UD3</v>
      </c>
      <c r="O492" s="15">
        <f t="shared" si="11"/>
        <v>591006.87</v>
      </c>
      <c r="P492" s="15">
        <v>590957.97</v>
      </c>
      <c r="Q492" s="12" t="s">
        <v>1004</v>
      </c>
      <c r="R492" s="15">
        <f>O492/640</f>
        <v>923.44823437499997</v>
      </c>
      <c r="S492" s="12" t="s">
        <v>42</v>
      </c>
      <c r="T492" s="17">
        <v>2599</v>
      </c>
      <c r="U492" s="14" t="s">
        <v>43</v>
      </c>
      <c r="V492" s="12" t="s">
        <v>378</v>
      </c>
      <c r="W492" s="13">
        <f>'[1]V, inciso o) (OP)'!AD246</f>
        <v>43017</v>
      </c>
      <c r="X492" s="13">
        <f>'[1]V, inciso o) (OP)'!AE246</f>
        <v>43039</v>
      </c>
      <c r="Y492" s="12" t="s">
        <v>408</v>
      </c>
      <c r="Z492" s="12" t="s">
        <v>1005</v>
      </c>
      <c r="AA492" s="12" t="s">
        <v>1006</v>
      </c>
      <c r="AB492" s="14" t="s">
        <v>48</v>
      </c>
      <c r="AC492" s="14" t="s">
        <v>48</v>
      </c>
      <c r="AD492" s="14"/>
    </row>
    <row r="493" spans="1:30" ht="80.099999999999994" customHeight="1">
      <c r="A493" s="5">
        <v>213</v>
      </c>
      <c r="B493" s="12">
        <v>2017</v>
      </c>
      <c r="C493" s="12" t="s">
        <v>65</v>
      </c>
      <c r="D493" s="14" t="str">
        <f>'[1]V, inciso o) (OP)'!C247</f>
        <v>DOPI-EST-CR-PAV-AD-213-2017</v>
      </c>
      <c r="E493" s="13">
        <f>'[1]V, inciso o) (OP)'!V247</f>
        <v>43011</v>
      </c>
      <c r="F493" s="14" t="str">
        <f>'[1]V, inciso o) (OP)'!AA247</f>
        <v>Construcción de la primera etapa de la calle Elote de calle Chícharo a calle Chícharo con concreto hidráulico en la zona de la Mesa Colorada, incluye: guarniciones, banquetas, red de agua potable, alcantarillado y alumbrado público, municipio de Zapopan, Jalisco.</v>
      </c>
      <c r="G493" s="14" t="s">
        <v>999</v>
      </c>
      <c r="H493" s="15">
        <f>'[1]V, inciso o) (OP)'!Y247</f>
        <v>889217.79</v>
      </c>
      <c r="I493" s="14" t="s">
        <v>1007</v>
      </c>
      <c r="J493" s="14" t="str">
        <f>'[1]V, inciso o) (OP)'!M247</f>
        <v>FELIPE DANIEL II</v>
      </c>
      <c r="K493" s="14" t="str">
        <f>'[1]V, inciso o) (OP)'!N247</f>
        <v>NUÑEZ</v>
      </c>
      <c r="L493" s="14" t="str">
        <f>'[1]V, inciso o) (OP)'!O247</f>
        <v>PINZON</v>
      </c>
      <c r="M493" s="14" t="str">
        <f>'[1]V, inciso o) (OP)'!P247</f>
        <v>GRUPO NUVECO, S.A. DE C.V.</v>
      </c>
      <c r="N493" s="14" t="str">
        <f>'[1]V, inciso o) (OP)'!Q247</f>
        <v>GNU120809KX1</v>
      </c>
      <c r="O493" s="15">
        <f t="shared" si="11"/>
        <v>889217.79</v>
      </c>
      <c r="P493" s="15">
        <f>O493</f>
        <v>889217.79</v>
      </c>
      <c r="Q493" s="12" t="s">
        <v>1008</v>
      </c>
      <c r="R493" s="15">
        <f>O493/489</f>
        <v>1818.4412883435584</v>
      </c>
      <c r="S493" s="12" t="s">
        <v>42</v>
      </c>
      <c r="T493" s="17">
        <v>257</v>
      </c>
      <c r="U493" s="14" t="s">
        <v>43</v>
      </c>
      <c r="V493" s="12" t="s">
        <v>378</v>
      </c>
      <c r="W493" s="13">
        <f>'[1]V, inciso o) (OP)'!AD247</f>
        <v>43018</v>
      </c>
      <c r="X493" s="13">
        <f>'[1]V, inciso o) (OP)'!AE247</f>
        <v>43084</v>
      </c>
      <c r="Y493" s="12" t="s">
        <v>439</v>
      </c>
      <c r="Z493" s="12" t="s">
        <v>186</v>
      </c>
      <c r="AA493" s="12" t="s">
        <v>92</v>
      </c>
      <c r="AB493" s="8" t="s">
        <v>1959</v>
      </c>
      <c r="AC493" s="14" t="s">
        <v>48</v>
      </c>
      <c r="AD493" s="14" t="s">
        <v>1571</v>
      </c>
    </row>
    <row r="494" spans="1:30" ht="80.099999999999994" customHeight="1">
      <c r="A494" s="5">
        <v>214</v>
      </c>
      <c r="B494" s="12">
        <v>2017</v>
      </c>
      <c r="C494" s="12" t="s">
        <v>65</v>
      </c>
      <c r="D494" s="14" t="str">
        <f>'[1]V, inciso o) (OP)'!C248</f>
        <v>DOPI-MUN-CUSMAX-PROY-AD-214-2017</v>
      </c>
      <c r="E494" s="13">
        <f>'[1]V, inciso o) (OP)'!V248</f>
        <v>43017</v>
      </c>
      <c r="F494" s="14" t="str">
        <f>'[1]V, inciso o) (OP)'!AA248</f>
        <v>Elaboración de proyectos arquitectónicos para diferentes obras del programa Cusmax 2017, frente 1, municipio de Zapopan, Jalisco.</v>
      </c>
      <c r="G494" s="14" t="s">
        <v>987</v>
      </c>
      <c r="H494" s="15">
        <f>'[1]V, inciso o) (OP)'!Y248</f>
        <v>1394337.14</v>
      </c>
      <c r="I494" s="14" t="s">
        <v>124</v>
      </c>
      <c r="J494" s="14" t="str">
        <f>'[1]V, inciso o) (OP)'!M248</f>
        <v xml:space="preserve">RODOLFO </v>
      </c>
      <c r="K494" s="14" t="str">
        <f>'[1]V, inciso o) (OP)'!N248</f>
        <v xml:space="preserve">VELAZQUEZ </v>
      </c>
      <c r="L494" s="14" t="str">
        <f>'[1]V, inciso o) (OP)'!O248</f>
        <v>ORDOÑEZ</v>
      </c>
      <c r="M494" s="14" t="str">
        <f>'[1]V, inciso o) (OP)'!P248</f>
        <v>VELAZQUEZ INGENIERIA ECOLOGICA, S.A. DE C.V.</v>
      </c>
      <c r="N494" s="14" t="str">
        <f>'[1]V, inciso o) (OP)'!Q248</f>
        <v>VIE110125RL4</v>
      </c>
      <c r="O494" s="15">
        <f t="shared" si="11"/>
        <v>1394337.14</v>
      </c>
      <c r="P494" s="15">
        <f>O494</f>
        <v>1394337.14</v>
      </c>
      <c r="Q494" s="12" t="s">
        <v>508</v>
      </c>
      <c r="R494" s="15">
        <f>O494/1</f>
        <v>1394337.14</v>
      </c>
      <c r="S494" s="12" t="s">
        <v>125</v>
      </c>
      <c r="T494" s="17" t="s">
        <v>125</v>
      </c>
      <c r="U494" s="14" t="s">
        <v>43</v>
      </c>
      <c r="V494" s="12" t="s">
        <v>378</v>
      </c>
      <c r="W494" s="13">
        <f>'[1]V, inciso o) (OP)'!AD248</f>
        <v>43018</v>
      </c>
      <c r="X494" s="13">
        <f>'[1]V, inciso o) (OP)'!AE248</f>
        <v>43100</v>
      </c>
      <c r="Y494" s="12" t="s">
        <v>692</v>
      </c>
      <c r="Z494" s="12" t="s">
        <v>693</v>
      </c>
      <c r="AA494" s="12" t="s">
        <v>136</v>
      </c>
      <c r="AB494" s="8" t="s">
        <v>1960</v>
      </c>
      <c r="AC494" s="14" t="s">
        <v>48</v>
      </c>
      <c r="AD494" s="14" t="s">
        <v>1571</v>
      </c>
    </row>
    <row r="495" spans="1:30" ht="80.099999999999994" customHeight="1">
      <c r="A495" s="5">
        <v>215</v>
      </c>
      <c r="B495" s="12">
        <v>2017</v>
      </c>
      <c r="C495" s="12" t="s">
        <v>65</v>
      </c>
      <c r="D495" s="14" t="str">
        <f>'[1]V, inciso o) (OP)'!C249</f>
        <v>DOPI-MUN-RM-PROY-AD-215-2017</v>
      </c>
      <c r="E495" s="13">
        <f>'[1]V, inciso o) (OP)'!V249</f>
        <v>43017</v>
      </c>
      <c r="F495" s="14" t="str">
        <f>'[1]V, inciso o) (OP)'!AA249</f>
        <v>Elaboración de proyecto ejecutivo para la construcción del parque lineal constituyentes, proyecto arquitectónico para la rehabilitación de la vialidad Constituyentes en el tramo comprendido entre el Centro Cultural Constitución y la Glorieta Gusa, ubicados en la colonia Constitución municipio de Zapopan, Jalisco.</v>
      </c>
      <c r="G495" s="14" t="s">
        <v>499</v>
      </c>
      <c r="H495" s="15">
        <f>'[1]V, inciso o) (OP)'!Y249</f>
        <v>638122.43999999994</v>
      </c>
      <c r="I495" s="14" t="s">
        <v>476</v>
      </c>
      <c r="J495" s="14" t="str">
        <f>'[1]V, inciso o) (OP)'!M249</f>
        <v>ENRIQUE FRANCISCO</v>
      </c>
      <c r="K495" s="14" t="str">
        <f>'[1]V, inciso o) (OP)'!N249</f>
        <v>TOUSSAINT</v>
      </c>
      <c r="L495" s="14" t="str">
        <f>'[1]V, inciso o) (OP)'!O249</f>
        <v>OCHOA</v>
      </c>
      <c r="M495" s="14" t="str">
        <f>'[1]V, inciso o) (OP)'!P249</f>
        <v>GRUPO ARQUITECTOS TOUSSAINT Y ORENDAIN SC</v>
      </c>
      <c r="N495" s="14" t="str">
        <f>'[1]V, inciso o) (OP)'!Q249</f>
        <v>GAT920520R72</v>
      </c>
      <c r="O495" s="15">
        <f t="shared" si="11"/>
        <v>638122.43999999994</v>
      </c>
      <c r="P495" s="15">
        <v>638122.43999999994</v>
      </c>
      <c r="Q495" s="12" t="s">
        <v>508</v>
      </c>
      <c r="R495" s="15">
        <f>O495</f>
        <v>638122.43999999994</v>
      </c>
      <c r="S495" s="12" t="s">
        <v>125</v>
      </c>
      <c r="T495" s="17" t="s">
        <v>125</v>
      </c>
      <c r="U495" s="14" t="s">
        <v>43</v>
      </c>
      <c r="V495" s="12" t="s">
        <v>378</v>
      </c>
      <c r="W495" s="13">
        <f>'[1]V, inciso o) (OP)'!AD249</f>
        <v>43018</v>
      </c>
      <c r="X495" s="13">
        <f>'[1]V, inciso o) (OP)'!AE249</f>
        <v>43100</v>
      </c>
      <c r="Y495" s="12" t="s">
        <v>692</v>
      </c>
      <c r="Z495" s="12" t="s">
        <v>693</v>
      </c>
      <c r="AA495" s="12" t="s">
        <v>136</v>
      </c>
      <c r="AB495" s="8" t="s">
        <v>1961</v>
      </c>
      <c r="AC495" s="14" t="s">
        <v>48</v>
      </c>
      <c r="AD495" s="14"/>
    </row>
    <row r="496" spans="1:30" ht="80.099999999999994" customHeight="1">
      <c r="A496" s="5">
        <v>216</v>
      </c>
      <c r="B496" s="12">
        <v>2017</v>
      </c>
      <c r="C496" s="14" t="str">
        <f>'[1]V, inciso p) (OP)'!B253</f>
        <v>Licitación por Invitación Restringida</v>
      </c>
      <c r="D496" s="14" t="str">
        <f>'[1]V, inciso p) (OP)'!D253</f>
        <v>DOPI-MUN-RM-PAV-CI-216-2017</v>
      </c>
      <c r="E496" s="13">
        <f>'[1]V, inciso p) (OP)'!AD253</f>
        <v>43047</v>
      </c>
      <c r="F496" s="14" t="str">
        <f>'[1]V, inciso p) (OP)'!AL253</f>
        <v>Pavimentación con concreto hidráulico de calle Ignacio Zaragoza, de calle Vicente Guerrero a calle Justo Sierra, incluye agua potable, drenaje, guarniciones, banquetas, servicios complementarios y señalética, en la colonia Agua Blanca Industrial, primera etapa, municipio de Zapopan, Jalisco.</v>
      </c>
      <c r="G496" s="14" t="str">
        <f>'[1]V, inciso p) (OP)'!AR253</f>
        <v>Recurso Propio</v>
      </c>
      <c r="H496" s="15">
        <f>'[1]V, inciso p) (OP)'!AJ253</f>
        <v>1991192.71</v>
      </c>
      <c r="I496" s="14" t="str">
        <f>'[1]V, inciso p) (OP)'!AS253</f>
        <v>Colonia Agua Blanca</v>
      </c>
      <c r="J496" s="14" t="str">
        <f>'[1]V, inciso p) (OP)'!T253</f>
        <v>JUAN</v>
      </c>
      <c r="K496" s="14" t="str">
        <f>'[1]V, inciso p) (OP)'!U253</f>
        <v>PADILLA</v>
      </c>
      <c r="L496" s="14" t="str">
        <f>'[1]V, inciso p) (OP)'!V253</f>
        <v>AILHAUD</v>
      </c>
      <c r="M496" s="14" t="str">
        <f>'[1]V, inciso p) (OP)'!W253</f>
        <v>TRAMA CONSTRUCTORA Y MAQUINARIA, S.A. DE C.V.</v>
      </c>
      <c r="N496" s="14" t="str">
        <f>'[1]V, inciso p) (OP)'!X253</f>
        <v>TCM0111148H5</v>
      </c>
      <c r="O496" s="15">
        <f t="shared" si="11"/>
        <v>1991192.71</v>
      </c>
      <c r="P496" s="15">
        <f>O496</f>
        <v>1991192.71</v>
      </c>
      <c r="Q496" s="21" t="s">
        <v>1009</v>
      </c>
      <c r="R496" s="22">
        <f>H496/1051.32</f>
        <v>1893.9929897652476</v>
      </c>
      <c r="S496" s="12" t="s">
        <v>42</v>
      </c>
      <c r="T496" s="17">
        <v>12301</v>
      </c>
      <c r="U496" s="14" t="s">
        <v>43</v>
      </c>
      <c r="V496" s="12" t="s">
        <v>378</v>
      </c>
      <c r="W496" s="13">
        <f>'[1]V, inciso p) (OP)'!AM253</f>
        <v>43047</v>
      </c>
      <c r="X496" s="13">
        <f>'[1]V, inciso p) (OP)'!AN253</f>
        <v>43133</v>
      </c>
      <c r="Y496" s="12" t="s">
        <v>1010</v>
      </c>
      <c r="Z496" s="12" t="s">
        <v>743</v>
      </c>
      <c r="AA496" s="12" t="s">
        <v>1011</v>
      </c>
      <c r="AB496" s="14" t="s">
        <v>1457</v>
      </c>
      <c r="AC496" s="14" t="s">
        <v>48</v>
      </c>
      <c r="AD496" s="14" t="s">
        <v>1571</v>
      </c>
    </row>
    <row r="497" spans="1:30" ht="80.099999999999994" customHeight="1">
      <c r="A497" s="5">
        <v>217</v>
      </c>
      <c r="B497" s="12">
        <v>2017</v>
      </c>
      <c r="C497" s="14" t="str">
        <f>'[1]V, inciso p) (OP)'!B254</f>
        <v>Licitación por Invitación Restringida</v>
      </c>
      <c r="D497" s="14" t="str">
        <f>'[1]V, inciso p) (OP)'!D254</f>
        <v>DOPI-MUN-R33R-IH-CI-217-2017</v>
      </c>
      <c r="E497" s="13">
        <f>'[1]V, inciso p) (OP)'!AD254</f>
        <v>43047</v>
      </c>
      <c r="F497" s="14" t="str">
        <f>'[1]V, inciso p) (OP)'!AL254</f>
        <v>Construcción de red de drenaje en la calle Flor de Lirio de Flor de Orquídeas a Bugambilias, Calle Bugambilias de Flor de Lirio a Flor De Durazno y Calle Flor de Durazno de Bugambilias a Flor de Orquídeas, sobre el arroyo de calle Del Roble a Las Rosas y Calle Las Rosas de Jacarandas a Alcatraz en la colonia Lomas de la Primavera, municipio de Zapopan, Jalisco.</v>
      </c>
      <c r="G497" s="14" t="str">
        <f>'[1]V, inciso p) (OP)'!AR254</f>
        <v>Fondo para la Infraestructura Social Municipal 2017</v>
      </c>
      <c r="H497" s="15">
        <f>'[1]V, inciso p) (OP)'!AJ254</f>
        <v>2844117.16</v>
      </c>
      <c r="I497" s="14" t="str">
        <f>'[1]V, inciso p) (OP)'!AS254</f>
        <v>Colonia Lomas de la Primavera</v>
      </c>
      <c r="J497" s="14" t="str">
        <f>'[1]V, inciso p) (OP)'!T254</f>
        <v xml:space="preserve">NÉSTOR </v>
      </c>
      <c r="K497" s="14" t="str">
        <f>'[1]V, inciso p) (OP)'!U254</f>
        <v>DE LA TORRE</v>
      </c>
      <c r="L497" s="14" t="str">
        <f>'[1]V, inciso p) (OP)'!V254</f>
        <v>MENCHACA</v>
      </c>
      <c r="M497" s="14" t="str">
        <f>'[1]V, inciso p) (OP)'!W254</f>
        <v>INGENIEROS DE LA TORRE, S.A. DE C.V.</v>
      </c>
      <c r="N497" s="14" t="str">
        <f>'[1]V, inciso p) (OP)'!X254</f>
        <v>ITO951005HY5</v>
      </c>
      <c r="O497" s="15">
        <f t="shared" si="11"/>
        <v>2844117.16</v>
      </c>
      <c r="P497" s="15">
        <v>2844117.18</v>
      </c>
      <c r="Q497" s="21" t="s">
        <v>1012</v>
      </c>
      <c r="R497" s="22">
        <f>H497/985</f>
        <v>2887.4285888324875</v>
      </c>
      <c r="S497" s="12" t="s">
        <v>42</v>
      </c>
      <c r="T497" s="17">
        <v>389</v>
      </c>
      <c r="U497" s="14" t="s">
        <v>43</v>
      </c>
      <c r="V497" s="12" t="s">
        <v>378</v>
      </c>
      <c r="W497" s="13">
        <f>'[1]V, inciso p) (OP)'!AM254</f>
        <v>43047</v>
      </c>
      <c r="X497" s="13">
        <f>'[1]V, inciso p) (OP)'!AN254</f>
        <v>43102</v>
      </c>
      <c r="Y497" s="12" t="s">
        <v>735</v>
      </c>
      <c r="Z497" s="12" t="s">
        <v>236</v>
      </c>
      <c r="AA497" s="12" t="s">
        <v>147</v>
      </c>
      <c r="AB497" s="14" t="s">
        <v>1458</v>
      </c>
      <c r="AC497" s="14" t="s">
        <v>48</v>
      </c>
      <c r="AD497" s="14"/>
    </row>
    <row r="498" spans="1:30" ht="80.099999999999994" customHeight="1">
      <c r="A498" s="5">
        <v>218</v>
      </c>
      <c r="B498" s="12">
        <v>2017</v>
      </c>
      <c r="C498" s="14" t="str">
        <f>'[1]V, inciso p) (OP)'!B255</f>
        <v>Licitación por Invitación Restringida</v>
      </c>
      <c r="D498" s="14" t="str">
        <f>'[1]V, inciso p) (OP)'!D255</f>
        <v>DOPI-MUN-RM-IM-CI-218-2017</v>
      </c>
      <c r="E498" s="13">
        <f>'[1]V, inciso p) (OP)'!AD255</f>
        <v>43047</v>
      </c>
      <c r="F498" s="14" t="str">
        <f>'[1]V, inciso p) (OP)'!AL255</f>
        <v>Construcción de puente peatonal en López Mateos Sur – El Campanario, municipio de Zapopan, Jalisco.</v>
      </c>
      <c r="G498" s="14" t="str">
        <f>'[1]V, inciso p) (OP)'!AR255</f>
        <v>Recurso Propio</v>
      </c>
      <c r="H498" s="15">
        <f>'[1]V, inciso p) (OP)'!AJ255</f>
        <v>4149119.31</v>
      </c>
      <c r="I498" s="14" t="str">
        <f>'[1]V, inciso p) (OP)'!AS255</f>
        <v>Colonia El Campanario</v>
      </c>
      <c r="J498" s="14" t="str">
        <f>'[1]V, inciso p) (OP)'!T255</f>
        <v xml:space="preserve">EDUARDO </v>
      </c>
      <c r="K498" s="14" t="str">
        <f>'[1]V, inciso p) (OP)'!U255</f>
        <v>CORTES</v>
      </c>
      <c r="L498" s="14" t="str">
        <f>'[1]V, inciso p) (OP)'!V255</f>
        <v>ALARCON</v>
      </c>
      <c r="M498" s="14" t="str">
        <f>'[1]V, inciso p) (OP)'!W255</f>
        <v>DISTRIBUIDORA CORALCO, S.A. DE C.V.</v>
      </c>
      <c r="N498" s="14" t="str">
        <f>'[1]V, inciso p) (OP)'!X255</f>
        <v>DCO160318SK7</v>
      </c>
      <c r="O498" s="15">
        <f t="shared" si="11"/>
        <v>4149119.31</v>
      </c>
      <c r="P498" s="15">
        <f>O498</f>
        <v>4149119.31</v>
      </c>
      <c r="Q498" s="21" t="s">
        <v>1013</v>
      </c>
      <c r="R498" s="22">
        <f>H498/585.92</f>
        <v>7081.3751194702354</v>
      </c>
      <c r="S498" s="12" t="s">
        <v>42</v>
      </c>
      <c r="T498" s="17">
        <v>8563</v>
      </c>
      <c r="U498" s="14" t="s">
        <v>43</v>
      </c>
      <c r="V498" s="12" t="s">
        <v>378</v>
      </c>
      <c r="W498" s="13">
        <f>'[1]V, inciso p) (OP)'!AM255</f>
        <v>43047</v>
      </c>
      <c r="X498" s="13">
        <f>'[1]V, inciso p) (OP)'!AN255</f>
        <v>43133</v>
      </c>
      <c r="Y498" s="12" t="s">
        <v>735</v>
      </c>
      <c r="Z498" s="12" t="s">
        <v>236</v>
      </c>
      <c r="AA498" s="12" t="s">
        <v>147</v>
      </c>
      <c r="AB498" s="14" t="s">
        <v>1459</v>
      </c>
      <c r="AC498" s="14" t="s">
        <v>48</v>
      </c>
      <c r="AD498" s="14" t="s">
        <v>1571</v>
      </c>
    </row>
    <row r="499" spans="1:30" ht="80.099999999999994" customHeight="1">
      <c r="A499" s="5">
        <v>219</v>
      </c>
      <c r="B499" s="12">
        <v>2017</v>
      </c>
      <c r="C499" s="14" t="str">
        <f>'[1]V, inciso p) (OP)'!B256</f>
        <v>Licitación por Invitación Restringida</v>
      </c>
      <c r="D499" s="14" t="str">
        <f>'[1]V, inciso p) (OP)'!D256</f>
        <v>DOPI-MUN-FORTA-IM-CI-219-2017</v>
      </c>
      <c r="E499" s="13">
        <f>'[1]V, inciso p) (OP)'!AD256</f>
        <v>43047</v>
      </c>
      <c r="F499" s="14" t="str">
        <f>'[1]V, inciso p) (OP)'!AL256</f>
        <v>Obra complementaria en la rehabilitación de la Cruz Verde Las Águilas, ubicada en Av. López Mateos y calle Cruz del Sur, en la colonia Las Águilas, municipio de Zapopan, Jalisco.</v>
      </c>
      <c r="G499" s="14" t="str">
        <f>'[1]V, inciso p) (OP)'!AR256</f>
        <v>Fortamun 2017</v>
      </c>
      <c r="H499" s="15">
        <f>'[1]V, inciso p) (OP)'!AJ256</f>
        <v>2460035.12</v>
      </c>
      <c r="I499" s="14" t="str">
        <f>'[1]V, inciso p) (OP)'!AS256</f>
        <v>Colonia Las Aguilas</v>
      </c>
      <c r="J499" s="14" t="str">
        <f>'[1]V, inciso p) (OP)'!T256</f>
        <v xml:space="preserve">EDUARDO </v>
      </c>
      <c r="K499" s="14" t="str">
        <f>'[1]V, inciso p) (OP)'!U256</f>
        <v>PLASCENCIA</v>
      </c>
      <c r="L499" s="14" t="str">
        <f>'[1]V, inciso p) (OP)'!V256</f>
        <v>MACIAS</v>
      </c>
      <c r="M499" s="14" t="str">
        <f>'[1]V, inciso p) (OP)'!W256</f>
        <v>CONSTRUCTORA Y EDIFICADORA PLASMA, S.A. DE C.V.</v>
      </c>
      <c r="N499" s="14" t="str">
        <f>'[1]V, inciso p) (OP)'!X256</f>
        <v>CEP080129EK6</v>
      </c>
      <c r="O499" s="15">
        <f t="shared" si="11"/>
        <v>2460035.12</v>
      </c>
      <c r="P499" s="15">
        <v>1896698.61</v>
      </c>
      <c r="Q499" s="21" t="s">
        <v>1014</v>
      </c>
      <c r="R499" s="22">
        <f>H499/1232</f>
        <v>1996.7817532467534</v>
      </c>
      <c r="S499" s="12" t="s">
        <v>42</v>
      </c>
      <c r="T499" s="17">
        <v>1332272</v>
      </c>
      <c r="U499" s="14" t="s">
        <v>43</v>
      </c>
      <c r="V499" s="12" t="s">
        <v>378</v>
      </c>
      <c r="W499" s="13">
        <f>'[1]V, inciso p) (OP)'!AM256</f>
        <v>43047</v>
      </c>
      <c r="X499" s="13">
        <f>'[1]V, inciso p) (OP)'!AN256</f>
        <v>43133</v>
      </c>
      <c r="Y499" s="12" t="s">
        <v>976</v>
      </c>
      <c r="Z499" s="12" t="s">
        <v>977</v>
      </c>
      <c r="AA499" s="12" t="s">
        <v>877</v>
      </c>
      <c r="AB499" s="14" t="s">
        <v>1460</v>
      </c>
      <c r="AC499" s="14" t="s">
        <v>48</v>
      </c>
      <c r="AD499" s="14"/>
    </row>
    <row r="500" spans="1:30" ht="80.099999999999994" customHeight="1">
      <c r="A500" s="5">
        <v>220</v>
      </c>
      <c r="B500" s="12">
        <v>2017</v>
      </c>
      <c r="C500" s="14" t="str">
        <f>'[1]V, inciso p) (OP)'!B257</f>
        <v>Licitación por Invitación Restringida</v>
      </c>
      <c r="D500" s="14" t="str">
        <f>'[1]V, inciso p) (OP)'!D257</f>
        <v>DOPI-MUN-CUSMAX-IE-CI-220-2017</v>
      </c>
      <c r="E500" s="13">
        <f>'[1]V, inciso p) (OP)'!AD257</f>
        <v>43047</v>
      </c>
      <c r="F500" s="14" t="str">
        <f>'[1]V, inciso p) (OP)'!AL257</f>
        <v>Estructuras con lonaria para protección de rayos ultravioleta, en Primaria Federal Calmecac Clave: 14DPR1367L, Escuela 1286, Francisco Urquizo Benavides Clave: 14EPR1612E y Secundaria mixta 85 José Rogelio Álvarez Clave: 14EES0100R, municipio de Zapopan, Jalisco.</v>
      </c>
      <c r="G500" s="14" t="str">
        <f>'[1]V, inciso p) (OP)'!AR257</f>
        <v>Cusmax 2017</v>
      </c>
      <c r="H500" s="15">
        <f>'[1]V, inciso p) (OP)'!AJ257</f>
        <v>5989642.0700000003</v>
      </c>
      <c r="I500" s="14" t="s">
        <v>1349</v>
      </c>
      <c r="J500" s="14" t="str">
        <f>'[1]V, inciso p) (OP)'!T257</f>
        <v>JOSÉ ANTONIO</v>
      </c>
      <c r="K500" s="14" t="str">
        <f>'[1]V, inciso p) (OP)'!U257</f>
        <v>ÁLVAREZ</v>
      </c>
      <c r="L500" s="14" t="str">
        <f>'[1]V, inciso p) (OP)'!V257</f>
        <v>ZULOAGA</v>
      </c>
      <c r="M500" s="14" t="str">
        <f>'[1]V, inciso p) (OP)'!W257</f>
        <v>GRUPO DESARROLLADOR ALZU, S.A. DE C.V.</v>
      </c>
      <c r="N500" s="14" t="str">
        <f>'[1]V, inciso p) (OP)'!X257</f>
        <v>GDA150928286</v>
      </c>
      <c r="O500" s="15">
        <f t="shared" si="11"/>
        <v>5989642.0700000003</v>
      </c>
      <c r="P500" s="15">
        <f>O500</f>
        <v>5989642.0700000003</v>
      </c>
      <c r="Q500" s="21" t="s">
        <v>1015</v>
      </c>
      <c r="R500" s="22">
        <f>H500/1435.29</f>
        <v>4173.1232503535875</v>
      </c>
      <c r="S500" s="12" t="s">
        <v>42</v>
      </c>
      <c r="T500" s="17">
        <v>2698</v>
      </c>
      <c r="U500" s="14" t="s">
        <v>43</v>
      </c>
      <c r="V500" s="12" t="s">
        <v>378</v>
      </c>
      <c r="W500" s="13">
        <f>'[1]V, inciso p) (OP)'!AM257</f>
        <v>43047</v>
      </c>
      <c r="X500" s="13">
        <f>'[1]V, inciso p) (OP)'!AN257</f>
        <v>43161</v>
      </c>
      <c r="Y500" s="12" t="s">
        <v>436</v>
      </c>
      <c r="Z500" s="12" t="s">
        <v>295</v>
      </c>
      <c r="AA500" s="12" t="s">
        <v>76</v>
      </c>
      <c r="AB500" s="14" t="s">
        <v>1461</v>
      </c>
      <c r="AC500" s="14" t="s">
        <v>48</v>
      </c>
      <c r="AD500" s="14" t="s">
        <v>1571</v>
      </c>
    </row>
    <row r="501" spans="1:30" ht="80.099999999999994" customHeight="1">
      <c r="A501" s="5">
        <v>221</v>
      </c>
      <c r="B501" s="12">
        <v>2017</v>
      </c>
      <c r="C501" s="14" t="str">
        <f>'[1]V, inciso p) (OP)'!B258</f>
        <v>Licitación por Invitación Restringida</v>
      </c>
      <c r="D501" s="14" t="str">
        <f>'[1]V, inciso p) (OP)'!D258</f>
        <v>DOPI-MUN-CUSMAX-IE-CI-221-2017</v>
      </c>
      <c r="E501" s="13">
        <f>'[1]V, inciso p) (OP)'!AD258</f>
        <v>43047</v>
      </c>
      <c r="F501" s="14" t="str">
        <f>'[1]V, inciso p) (OP)'!AL258</f>
        <v>Estructuras con lonaria para protección de rayos ultravioleta, en Escuela Ignacio Zaragoza, Clave: 14DPR1389X, Jardín de niños Socorro Jiménez Carrillo, Clave: 14DJN1978V y Escuela Urbana No. 1024 Ricardo Flores Magón, Clave: 14EPR1459A, municipio de Zapopan, Jalisco.</v>
      </c>
      <c r="G501" s="14" t="str">
        <f>'[1]V, inciso p) (OP)'!AR258</f>
        <v>Cusmax 2017</v>
      </c>
      <c r="H501" s="15">
        <f>'[1]V, inciso p) (OP)'!AJ258</f>
        <v>5991380.2999999998</v>
      </c>
      <c r="I501" s="14" t="s">
        <v>1349</v>
      </c>
      <c r="J501" s="14" t="str">
        <f>'[1]V, inciso p) (OP)'!T258</f>
        <v>ARTURO</v>
      </c>
      <c r="K501" s="14" t="str">
        <f>'[1]V, inciso p) (OP)'!U258</f>
        <v>BOJORQUEZ</v>
      </c>
      <c r="L501" s="14" t="str">
        <f>'[1]V, inciso p) (OP)'!V258</f>
        <v>RIZO</v>
      </c>
      <c r="M501" s="14" t="str">
        <f>'[1]V, inciso p) (OP)'!W258</f>
        <v>EDIFICACIONES Y CONSTRUCCIÓNES LEALES, S.A. DE C.V.</v>
      </c>
      <c r="N501" s="14" t="str">
        <f>'[1]V, inciso p) (OP)'!X258</f>
        <v>ECL1301313F1</v>
      </c>
      <c r="O501" s="15">
        <f t="shared" si="11"/>
        <v>5991380.2999999998</v>
      </c>
      <c r="P501" s="15">
        <f>O501</f>
        <v>5991380.2999999998</v>
      </c>
      <c r="Q501" s="21" t="s">
        <v>1016</v>
      </c>
      <c r="R501" s="22">
        <f>H501/1675.59</f>
        <v>3575.68396803514</v>
      </c>
      <c r="S501" s="12" t="s">
        <v>42</v>
      </c>
      <c r="T501" s="17">
        <v>2378</v>
      </c>
      <c r="U501" s="14" t="s">
        <v>43</v>
      </c>
      <c r="V501" s="12" t="s">
        <v>378</v>
      </c>
      <c r="W501" s="13">
        <f>'[1]V, inciso p) (OP)'!AM258</f>
        <v>43047</v>
      </c>
      <c r="X501" s="13">
        <f>'[1]V, inciso p) (OP)'!AN258</f>
        <v>43161</v>
      </c>
      <c r="Y501" s="12" t="s">
        <v>436</v>
      </c>
      <c r="Z501" s="12" t="s">
        <v>295</v>
      </c>
      <c r="AA501" s="12" t="s">
        <v>76</v>
      </c>
      <c r="AB501" s="14" t="s">
        <v>1462</v>
      </c>
      <c r="AC501" s="14" t="s">
        <v>48</v>
      </c>
      <c r="AD501" s="14" t="s">
        <v>1571</v>
      </c>
    </row>
    <row r="502" spans="1:30" ht="80.099999999999994" customHeight="1">
      <c r="A502" s="5">
        <v>222</v>
      </c>
      <c r="B502" s="12">
        <v>2017</v>
      </c>
      <c r="C502" s="14" t="str">
        <f>'[1]V, inciso p) (OP)'!B259</f>
        <v>Licitación por Invitación Restringida</v>
      </c>
      <c r="D502" s="14" t="str">
        <f>'[1]V, inciso p) (OP)'!D259</f>
        <v>DOPI-MUN-CUSMAX-IE-CI-222-2017</v>
      </c>
      <c r="E502" s="13">
        <f>'[1]V, inciso p) (OP)'!AD259</f>
        <v>43047</v>
      </c>
      <c r="F502" s="14" t="str">
        <f>'[1]V, inciso p) (OP)'!AL259</f>
        <v>Estructuras con lonaria para protección de rayos ultravioleta, en Escuela José María Arreola Y Manuel De Jesús Clouthier Del Rincón T/V, Clave: 14EPR1221Q, Secundaria Mixta No. 61 Francisco De Jesús Ayón Zester, Clave: 14EES0065B y Escuela Niños Héroes De Chapultepec, Clave: 14EPR1112J, municipio de Zapopan, Jalisco.</v>
      </c>
      <c r="G502" s="14" t="str">
        <f>'[1]V, inciso p) (OP)'!AR259</f>
        <v>Cusmax 2017</v>
      </c>
      <c r="H502" s="15">
        <f>'[1]V, inciso p) (OP)'!AJ259</f>
        <v>5970323.4800000004</v>
      </c>
      <c r="I502" s="14" t="s">
        <v>1349</v>
      </c>
      <c r="J502" s="14" t="str">
        <f>'[1]V, inciso p) (OP)'!T259</f>
        <v xml:space="preserve">MARCO ANTONIO </v>
      </c>
      <c r="K502" s="14" t="str">
        <f>'[1]V, inciso p) (OP)'!U259</f>
        <v>LOZANO</v>
      </c>
      <c r="L502" s="14" t="str">
        <f>'[1]V, inciso p) (OP)'!V259</f>
        <v>ESTRADA</v>
      </c>
      <c r="M502" s="14" t="str">
        <f>'[1]V, inciso p) (OP)'!W259</f>
        <v>DESARROLLADORA FULHAM S. DE R.L. DE C.V.</v>
      </c>
      <c r="N502" s="14" t="str">
        <f>'[1]V, inciso p) (OP)'!X259</f>
        <v>DFU090928JB5</v>
      </c>
      <c r="O502" s="15">
        <f t="shared" si="11"/>
        <v>5970323.4800000004</v>
      </c>
      <c r="P502" s="15">
        <f>O502</f>
        <v>5970323.4800000004</v>
      </c>
      <c r="Q502" s="21" t="s">
        <v>1017</v>
      </c>
      <c r="R502" s="22">
        <f>H502/1023.75</f>
        <v>5831.8178070818076</v>
      </c>
      <c r="S502" s="12" t="s">
        <v>42</v>
      </c>
      <c r="T502" s="17">
        <v>1985</v>
      </c>
      <c r="U502" s="14" t="s">
        <v>43</v>
      </c>
      <c r="V502" s="12" t="s">
        <v>378</v>
      </c>
      <c r="W502" s="13">
        <f>'[1]V, inciso p) (OP)'!AM259</f>
        <v>43047</v>
      </c>
      <c r="X502" s="13">
        <f>'[1]V, inciso p) (OP)'!AN259</f>
        <v>43161</v>
      </c>
      <c r="Y502" s="12" t="s">
        <v>436</v>
      </c>
      <c r="Z502" s="12" t="s">
        <v>295</v>
      </c>
      <c r="AA502" s="12" t="s">
        <v>76</v>
      </c>
      <c r="AB502" s="14" t="s">
        <v>1463</v>
      </c>
      <c r="AC502" s="14" t="s">
        <v>48</v>
      </c>
      <c r="AD502" s="14" t="s">
        <v>1571</v>
      </c>
    </row>
    <row r="503" spans="1:30" ht="80.099999999999994" customHeight="1">
      <c r="A503" s="5">
        <v>224</v>
      </c>
      <c r="B503" s="12">
        <v>2017</v>
      </c>
      <c r="C503" s="14" t="str">
        <f>'[1]V, inciso p) (OP)'!B260</f>
        <v>Licitación por Invitación Restringida</v>
      </c>
      <c r="D503" s="14" t="str">
        <f>'[1]V, inciso p) (OP)'!D260</f>
        <v>DOPI-MUN-CUSMAX-DS-CI-224-2017</v>
      </c>
      <c r="E503" s="13">
        <f>'[1]V, inciso p) (OP)'!AD260</f>
        <v>43047</v>
      </c>
      <c r="F503" s="14" t="str">
        <f>'[1]V, inciso p) (OP)'!AL260</f>
        <v>Construcción de Colector Pluvial en La Venta del Astillero, frente 1, municipio de Zapopan, Jalisco.</v>
      </c>
      <c r="G503" s="14" t="str">
        <f>'[1]V, inciso p) (OP)'!AR260</f>
        <v>Cusmax 2017</v>
      </c>
      <c r="H503" s="15">
        <f>'[1]V, inciso p) (OP)'!AJ260</f>
        <v>7971544.1399999997</v>
      </c>
      <c r="I503" s="14" t="str">
        <f>'[1]V, inciso p) (OP)'!AS260</f>
        <v>Localidad La Venta del Astillero</v>
      </c>
      <c r="J503" s="14" t="str">
        <f>'[1]V, inciso p) (OP)'!T260</f>
        <v>SERGIO ALBERTO</v>
      </c>
      <c r="K503" s="14" t="str">
        <f>'[1]V, inciso p) (OP)'!U260</f>
        <v>BAYLON</v>
      </c>
      <c r="L503" s="14" t="str">
        <f>'[1]V, inciso p) (OP)'!V260</f>
        <v>MORENO</v>
      </c>
      <c r="M503" s="14" t="str">
        <f>'[1]V, inciso p) (OP)'!W260</f>
        <v>EDIFICACIONES ESTRUCTURALES COBAY, S.A. DE C.V.</v>
      </c>
      <c r="N503" s="14" t="str">
        <f>'[1]V, inciso p) (OP)'!X260</f>
        <v>EEC9909173A7</v>
      </c>
      <c r="O503" s="15">
        <f t="shared" si="11"/>
        <v>7971544.1399999997</v>
      </c>
      <c r="P503" s="15">
        <f>O503</f>
        <v>7971544.1399999997</v>
      </c>
      <c r="Q503" s="21" t="s">
        <v>1018</v>
      </c>
      <c r="R503" s="22">
        <f>H503/952.15</f>
        <v>8372.1515937614877</v>
      </c>
      <c r="S503" s="12" t="s">
        <v>42</v>
      </c>
      <c r="T503" s="17">
        <v>2664</v>
      </c>
      <c r="U503" s="14" t="s">
        <v>43</v>
      </c>
      <c r="V503" s="12" t="s">
        <v>378</v>
      </c>
      <c r="W503" s="13">
        <f>'[1]V, inciso p) (OP)'!AM260</f>
        <v>43047</v>
      </c>
      <c r="X503" s="13">
        <f>'[1]V, inciso p) (OP)'!AN260</f>
        <v>43161</v>
      </c>
      <c r="Y503" s="12" t="s">
        <v>385</v>
      </c>
      <c r="Z503" s="12" t="s">
        <v>46</v>
      </c>
      <c r="AA503" s="12" t="s">
        <v>47</v>
      </c>
      <c r="AB503" s="14" t="s">
        <v>1464</v>
      </c>
      <c r="AC503" s="14" t="s">
        <v>48</v>
      </c>
      <c r="AD503" s="14" t="s">
        <v>1571</v>
      </c>
    </row>
    <row r="504" spans="1:30" ht="80.099999999999994" customHeight="1">
      <c r="A504" s="5">
        <v>225</v>
      </c>
      <c r="B504" s="12">
        <v>2017</v>
      </c>
      <c r="C504" s="14" t="str">
        <f>'[1]V, inciso p) (OP)'!B261</f>
        <v>Licitación por Invitación Restringida</v>
      </c>
      <c r="D504" s="14" t="str">
        <f>'[1]V, inciso p) (OP)'!D261</f>
        <v>DOPI-MUN-CUSMAX-DS-CI-225-2017</v>
      </c>
      <c r="E504" s="13">
        <f>'[1]V, inciso p) (OP)'!AD261</f>
        <v>43047</v>
      </c>
      <c r="F504" s="14" t="str">
        <f>'[1]V, inciso p) (OP)'!AL261</f>
        <v>Construcción de Colector Pluvial en La Venta del Astillero, frente 2, municipio de Zapopan, Jalisco.</v>
      </c>
      <c r="G504" s="14" t="str">
        <f>'[1]V, inciso p) (OP)'!AR261</f>
        <v>Cusmax 2017</v>
      </c>
      <c r="H504" s="15">
        <f>'[1]V, inciso p) (OP)'!AJ261</f>
        <v>6997515.3200000003</v>
      </c>
      <c r="I504" s="14" t="str">
        <f>'[1]V, inciso p) (OP)'!AS261</f>
        <v>Localidad La Venta del Astillero</v>
      </c>
      <c r="J504" s="14" t="str">
        <f>'[1]V, inciso p) (OP)'!T261</f>
        <v xml:space="preserve"> BERNARDO </v>
      </c>
      <c r="K504" s="14" t="str">
        <f>'[1]V, inciso p) (OP)'!U261</f>
        <v xml:space="preserve">SAENZ </v>
      </c>
      <c r="L504" s="14" t="str">
        <f>'[1]V, inciso p) (OP)'!V261</f>
        <v>BARBA</v>
      </c>
      <c r="M504" s="14" t="str">
        <f>'[1]V, inciso p) (OP)'!W261</f>
        <v>GRUPO EDIFICADOR MAYAB, S.A. DE C.V.</v>
      </c>
      <c r="N504" s="14" t="str">
        <f>'[1]V, inciso p) (OP)'!X261</f>
        <v>GEM070112PX8</v>
      </c>
      <c r="O504" s="15">
        <f t="shared" si="11"/>
        <v>6997515.3200000003</v>
      </c>
      <c r="P504" s="15">
        <f>O504</f>
        <v>6997515.3200000003</v>
      </c>
      <c r="Q504" s="21" t="s">
        <v>1019</v>
      </c>
      <c r="R504" s="22">
        <f>H504/835.81</f>
        <v>8372.1363946351448</v>
      </c>
      <c r="S504" s="12" t="s">
        <v>42</v>
      </c>
      <c r="T504" s="17">
        <v>2664</v>
      </c>
      <c r="U504" s="14" t="s">
        <v>43</v>
      </c>
      <c r="V504" s="12" t="s">
        <v>378</v>
      </c>
      <c r="W504" s="13">
        <f>'[1]V, inciso p) (OP)'!AM261</f>
        <v>43047</v>
      </c>
      <c r="X504" s="13">
        <f>'[1]V, inciso p) (OP)'!AN261</f>
        <v>43161</v>
      </c>
      <c r="Y504" s="12" t="s">
        <v>385</v>
      </c>
      <c r="Z504" s="12" t="s">
        <v>46</v>
      </c>
      <c r="AA504" s="12" t="s">
        <v>47</v>
      </c>
      <c r="AB504" s="14" t="s">
        <v>1465</v>
      </c>
      <c r="AC504" s="14" t="s">
        <v>48</v>
      </c>
      <c r="AD504" s="14" t="s">
        <v>1571</v>
      </c>
    </row>
    <row r="505" spans="1:30" ht="80.099999999999994" customHeight="1">
      <c r="A505" s="5">
        <v>226</v>
      </c>
      <c r="B505" s="12">
        <v>2017</v>
      </c>
      <c r="C505" s="14" t="str">
        <f>'[1]V, inciso p) (OP)'!B262</f>
        <v>Licitación por Invitación Restringida</v>
      </c>
      <c r="D505" s="14" t="str">
        <f>'[1]V, inciso p) (OP)'!D262</f>
        <v>DOPI-MUN-CUSMAX-BAN-CI-226-2017</v>
      </c>
      <c r="E505" s="13">
        <f>'[1]V, inciso p) (OP)'!AD262</f>
        <v>43047</v>
      </c>
      <c r="F505" s="14" t="str">
        <f>'[1]V, inciso p) (OP)'!AL262</f>
        <v>Primera etapa de la peatonalización en la colonia Chapalita de Occidente (incluye: machuelos, banquetas, accesibilidad universal, bolardos y nomenclatura), municipio de Zapopan, Jalisco.</v>
      </c>
      <c r="G505" s="14" t="str">
        <f>'[1]V, inciso p) (OP)'!AR262</f>
        <v>Cusmax 2017</v>
      </c>
      <c r="H505" s="15">
        <f>'[1]V, inciso p) (OP)'!AJ262</f>
        <v>1985148.5</v>
      </c>
      <c r="I505" s="14" t="str">
        <f>'[1]V, inciso p) (OP)'!AS262</f>
        <v>Colonia Chapalita de Occidente</v>
      </c>
      <c r="J505" s="14" t="str">
        <f>'[1]V, inciso p) (OP)'!T262</f>
        <v>ADALBERTO</v>
      </c>
      <c r="K505" s="14" t="str">
        <f>'[1]V, inciso p) (OP)'!U262</f>
        <v>MEDINA</v>
      </c>
      <c r="L505" s="14" t="str">
        <f>'[1]V, inciso p) (OP)'!V262</f>
        <v>MORALES</v>
      </c>
      <c r="M505" s="14" t="str">
        <f>'[1]V, inciso p) (OP)'!W262</f>
        <v>URDEM, S.A. DE C.V.</v>
      </c>
      <c r="N505" s="14" t="str">
        <f>'[1]V, inciso p) (OP)'!X262</f>
        <v>URD130830U21</v>
      </c>
      <c r="O505" s="15">
        <f t="shared" si="11"/>
        <v>1985148.5</v>
      </c>
      <c r="P505" s="15">
        <v>1985148.5</v>
      </c>
      <c r="Q505" s="21" t="s">
        <v>1020</v>
      </c>
      <c r="R505" s="22">
        <f>H505/1581.66</f>
        <v>1255.1044472263318</v>
      </c>
      <c r="S505" s="12" t="s">
        <v>42</v>
      </c>
      <c r="T505" s="17">
        <v>5863</v>
      </c>
      <c r="U505" s="14" t="s">
        <v>43</v>
      </c>
      <c r="V505" s="12" t="s">
        <v>378</v>
      </c>
      <c r="W505" s="13">
        <f>'[1]V, inciso p) (OP)'!AM262</f>
        <v>43047</v>
      </c>
      <c r="X505" s="13">
        <f>'[1]V, inciso p) (OP)'!AN262</f>
        <v>43133</v>
      </c>
      <c r="Y505" s="12" t="s">
        <v>380</v>
      </c>
      <c r="Z505" s="12" t="s">
        <v>257</v>
      </c>
      <c r="AA505" s="12" t="s">
        <v>258</v>
      </c>
      <c r="AB505" s="14" t="s">
        <v>1466</v>
      </c>
      <c r="AC505" s="14" t="s">
        <v>48</v>
      </c>
      <c r="AD505" s="14"/>
    </row>
    <row r="506" spans="1:30" ht="80.099999999999994" customHeight="1">
      <c r="A506" s="5">
        <v>227</v>
      </c>
      <c r="B506" s="12">
        <v>2017</v>
      </c>
      <c r="C506" s="14" t="str">
        <f>'[1]V, inciso p) (OP)'!B263</f>
        <v>Licitación por Invitación Restringida</v>
      </c>
      <c r="D506" s="14" t="str">
        <f>'[1]V, inciso p) (OP)'!D263</f>
        <v>DOPI-MUN-CUSMAX-BAN-CI-227-2017</v>
      </c>
      <c r="E506" s="13">
        <f>'[1]V, inciso p) (OP)'!AD263</f>
        <v>43047</v>
      </c>
      <c r="F506" s="14" t="str">
        <f>'[1]V, inciso p) (OP)'!AL263</f>
        <v>Primera etapa de la peatonalización en la colonia Jardines de Guadalupe (incluye: machuelos, banquetas, accesibilidad universal, bolardos y nomenclatura), municipio de Zapopan, Jalisco.</v>
      </c>
      <c r="G506" s="14" t="str">
        <f>'[1]V, inciso p) (OP)'!AR263</f>
        <v>Cusmax 2017</v>
      </c>
      <c r="H506" s="15">
        <f>'[1]V, inciso p) (OP)'!AJ263</f>
        <v>1919195.61</v>
      </c>
      <c r="I506" s="14" t="str">
        <f>'[1]V, inciso p) (OP)'!AS263</f>
        <v>Colonia Jardines de Guadalupe</v>
      </c>
      <c r="J506" s="14" t="str">
        <f>'[1]V, inciso p) (OP)'!T263</f>
        <v xml:space="preserve">GUILLERMO ALBERTO </v>
      </c>
      <c r="K506" s="14" t="str">
        <f>'[1]V, inciso p) (OP)'!U263</f>
        <v>RODRÍGUEZ</v>
      </c>
      <c r="L506" s="14" t="str">
        <f>'[1]V, inciso p) (OP)'!V263</f>
        <v>ALLENDE</v>
      </c>
      <c r="M506" s="14" t="str">
        <f>'[1]V, inciso p) (OP)'!W263</f>
        <v>GRUPO CONSTRUCTOR MR DE JALISCO S.A. DE C.V.</v>
      </c>
      <c r="N506" s="14" t="str">
        <f>'[1]V, inciso p) (OP)'!X263</f>
        <v>GCM121112J86</v>
      </c>
      <c r="O506" s="15">
        <f t="shared" si="11"/>
        <v>1919195.61</v>
      </c>
      <c r="P506" s="15">
        <f>O506</f>
        <v>1919195.61</v>
      </c>
      <c r="Q506" s="21" t="s">
        <v>1021</v>
      </c>
      <c r="R506" s="22">
        <f>H506/1369.44</f>
        <v>1401.4455616894497</v>
      </c>
      <c r="S506" s="12" t="s">
        <v>42</v>
      </c>
      <c r="T506" s="17">
        <v>3265</v>
      </c>
      <c r="U506" s="14" t="s">
        <v>43</v>
      </c>
      <c r="V506" s="12" t="s">
        <v>378</v>
      </c>
      <c r="W506" s="13">
        <f>'[1]V, inciso p) (OP)'!AM263</f>
        <v>43047</v>
      </c>
      <c r="X506" s="13">
        <f>'[1]V, inciso p) (OP)'!AN263</f>
        <v>43133</v>
      </c>
      <c r="Y506" s="12" t="s">
        <v>380</v>
      </c>
      <c r="Z506" s="12" t="s">
        <v>257</v>
      </c>
      <c r="AA506" s="12" t="s">
        <v>258</v>
      </c>
      <c r="AB506" s="14" t="s">
        <v>1467</v>
      </c>
      <c r="AC506" s="14" t="s">
        <v>48</v>
      </c>
      <c r="AD506" s="14" t="s">
        <v>1571</v>
      </c>
    </row>
    <row r="507" spans="1:30" ht="80.099999999999994" customHeight="1">
      <c r="A507" s="5">
        <v>228</v>
      </c>
      <c r="B507" s="12">
        <v>2017</v>
      </c>
      <c r="C507" s="14" t="str">
        <f>'[1]V, inciso p) (OP)'!B264</f>
        <v>Licitación por Invitación Restringida</v>
      </c>
      <c r="D507" s="14" t="str">
        <f>'[1]V, inciso p) (OP)'!D264</f>
        <v>DOPI-MUN-CUSMAX-IU-CI-228-2017</v>
      </c>
      <c r="E507" s="13">
        <f>'[1]V, inciso p) (OP)'!AD264</f>
        <v>43047</v>
      </c>
      <c r="F507" s="14" t="str">
        <f>'[1]V, inciso p) (OP)'!AL264</f>
        <v>Construcción de Parque Lineal en la Av. Patria de Av. Acueducto - Eva Briseño-Av. Américas, primera etapa: desazolve y rectificación del cauce, muro de protección, alcantarillas pluviales, estructura para cruce peatonal de alcantarilla pluvial y lavaderos, municipio de Zapopan, Jalisco.</v>
      </c>
      <c r="G507" s="14" t="str">
        <f>'[1]V, inciso p) (OP)'!AR264</f>
        <v>Cusmax 2017</v>
      </c>
      <c r="H507" s="15">
        <f>'[1]V, inciso p) (OP)'!AJ264</f>
        <v>7122671.96</v>
      </c>
      <c r="I507" s="14" t="str">
        <f>'[1]V, inciso p) (OP)'!AS264</f>
        <v>Zona Andares</v>
      </c>
      <c r="J507" s="14" t="str">
        <f>'[1]V, inciso p) (OP)'!T264</f>
        <v>CARLOS</v>
      </c>
      <c r="K507" s="14" t="str">
        <f>'[1]V, inciso p) (OP)'!U264</f>
        <v>PÉREZ</v>
      </c>
      <c r="L507" s="14" t="str">
        <f>'[1]V, inciso p) (OP)'!V264</f>
        <v>CRUZ</v>
      </c>
      <c r="M507" s="14" t="str">
        <f>'[1]V, inciso p) (OP)'!W264</f>
        <v>CONSTRUCTORA PECRU, S.A. DE C.V.</v>
      </c>
      <c r="N507" s="14" t="str">
        <f>'[1]V, inciso p) (OP)'!X264</f>
        <v>CPE070123PD4</v>
      </c>
      <c r="O507" s="15">
        <f t="shared" si="11"/>
        <v>7122671.96</v>
      </c>
      <c r="P507" s="15">
        <f>O507</f>
        <v>7122671.96</v>
      </c>
      <c r="Q507" s="21" t="s">
        <v>1022</v>
      </c>
      <c r="R507" s="22">
        <f>H507/18735.5</f>
        <v>380.16983587307516</v>
      </c>
      <c r="S507" s="12" t="s">
        <v>42</v>
      </c>
      <c r="T507" s="17">
        <v>4201</v>
      </c>
      <c r="U507" s="14" t="s">
        <v>43</v>
      </c>
      <c r="V507" s="12" t="s">
        <v>378</v>
      </c>
      <c r="W507" s="13">
        <f>'[1]V, inciso p) (OP)'!AM264</f>
        <v>43047</v>
      </c>
      <c r="X507" s="13">
        <f>'[1]V, inciso p) (OP)'!AN264</f>
        <v>43133</v>
      </c>
      <c r="Y507" s="12" t="s">
        <v>439</v>
      </c>
      <c r="Z507" s="12" t="s">
        <v>186</v>
      </c>
      <c r="AA507" s="12" t="s">
        <v>92</v>
      </c>
      <c r="AB507" s="14" t="s">
        <v>1468</v>
      </c>
      <c r="AC507" s="14" t="s">
        <v>48</v>
      </c>
      <c r="AD507" s="14" t="s">
        <v>1571</v>
      </c>
    </row>
    <row r="508" spans="1:30" ht="80.099999999999994" customHeight="1">
      <c r="A508" s="5">
        <v>229</v>
      </c>
      <c r="B508" s="12">
        <v>2017</v>
      </c>
      <c r="C508" s="12" t="s">
        <v>65</v>
      </c>
      <c r="D508" s="14" t="str">
        <f>'[1]V, inciso o) (OP)'!C250</f>
        <v>DOPI-MUN-CUSMAX-SER-AD-229-2017</v>
      </c>
      <c r="E508" s="13">
        <f>'[1]V, inciso o) (OP)'!V250</f>
        <v>43017</v>
      </c>
      <c r="F508" s="14" t="str">
        <f>'[1]V, inciso o) (OP)'!AA250</f>
        <v>Diagnóstico y proyecto ejecutivo de las obras a realizar para mitigar los impactos que generará la construcción vertical con incremento del coeficiente de utilización de suelo (CUS) en la zona de Guadalupe – Los Cubos – Jardines Universidad y zona de Plaza del Sol – Loma Bonita, en el municipio de Zapopan, Jalisco.</v>
      </c>
      <c r="G508" s="14" t="s">
        <v>987</v>
      </c>
      <c r="H508" s="15">
        <f>'[1]V, inciso o) (OP)'!Y250</f>
        <v>812650.35</v>
      </c>
      <c r="I508" s="14" t="s">
        <v>124</v>
      </c>
      <c r="J508" s="14" t="str">
        <f>'[1]V, inciso o) (OP)'!M250</f>
        <v>JUAN FRANCISCO</v>
      </c>
      <c r="K508" s="14" t="str">
        <f>'[1]V, inciso o) (OP)'!N250</f>
        <v>TOSCANO</v>
      </c>
      <c r="L508" s="14" t="str">
        <f>'[1]V, inciso o) (OP)'!O250</f>
        <v>LASES</v>
      </c>
      <c r="M508" s="14" t="str">
        <f>'[1]V, inciso o) (OP)'!P250</f>
        <v>INFOGRAFIA DIGITAL DE OCCIDENTE, S.A. DE C.V.</v>
      </c>
      <c r="N508" s="14" t="str">
        <f>'[1]V, inciso o) (OP)'!Q250</f>
        <v>IDO100427QG2</v>
      </c>
      <c r="O508" s="15">
        <f t="shared" si="11"/>
        <v>812650.35</v>
      </c>
      <c r="P508" s="15">
        <v>812650.35</v>
      </c>
      <c r="Q508" s="12" t="s">
        <v>508</v>
      </c>
      <c r="R508" s="15">
        <f>O508</f>
        <v>812650.35</v>
      </c>
      <c r="S508" s="12" t="s">
        <v>125</v>
      </c>
      <c r="T508" s="17" t="s">
        <v>125</v>
      </c>
      <c r="U508" s="14" t="s">
        <v>43</v>
      </c>
      <c r="V508" s="12" t="s">
        <v>378</v>
      </c>
      <c r="W508" s="13">
        <f>'[1]V, inciso o) (OP)'!AD250</f>
        <v>43018</v>
      </c>
      <c r="X508" s="13">
        <f>'[1]V, inciso o) (OP)'!AE250</f>
        <v>43109</v>
      </c>
      <c r="Y508" s="12" t="s">
        <v>692</v>
      </c>
      <c r="Z508" s="12" t="s">
        <v>693</v>
      </c>
      <c r="AA508" s="12" t="s">
        <v>136</v>
      </c>
      <c r="AB508" s="8" t="s">
        <v>1962</v>
      </c>
      <c r="AC508" s="14" t="s">
        <v>48</v>
      </c>
      <c r="AD508" s="14"/>
    </row>
    <row r="509" spans="1:30" ht="80.099999999999994" customHeight="1">
      <c r="A509" s="5">
        <v>230</v>
      </c>
      <c r="B509" s="12">
        <v>2017</v>
      </c>
      <c r="C509" s="12" t="s">
        <v>65</v>
      </c>
      <c r="D509" s="14" t="str">
        <f>'[1]V, inciso o) (OP)'!C251</f>
        <v>DOPI-MUN-RM-BAN-AD-230-2017</v>
      </c>
      <c r="E509" s="13">
        <f>'[1]V, inciso o) (OP)'!V251</f>
        <v>43011</v>
      </c>
      <c r="F509" s="14" t="str">
        <f>'[1]V, inciso o) (OP)'!AA251</f>
        <v>Peatonalización, construcción de banquetas, sustitución de guarniciones, bolardos, accesibilidad primera etapa en la colonia La Tuzania Ejidal, municipio de Zapopan, Jalisco.</v>
      </c>
      <c r="G509" s="14" t="s">
        <v>499</v>
      </c>
      <c r="H509" s="15">
        <f>'[1]V, inciso o) (OP)'!Y251</f>
        <v>1498650.24</v>
      </c>
      <c r="I509" s="14" t="s">
        <v>1023</v>
      </c>
      <c r="J509" s="14" t="str">
        <f>'[1]V, inciso o) (OP)'!M251</f>
        <v>MARÍA DE LOURDES</v>
      </c>
      <c r="K509" s="14" t="str">
        <f>'[1]V, inciso o) (OP)'!N251</f>
        <v xml:space="preserve">CASTAÑEDA </v>
      </c>
      <c r="L509" s="14" t="str">
        <f>'[1]V, inciso o) (OP)'!O251</f>
        <v>LACARIERE</v>
      </c>
      <c r="M509" s="14" t="str">
        <f>'[1]V, inciso o) (OP)'!P251</f>
        <v>LACARIERE EDIFICACIONES, S.A. DE C.V.</v>
      </c>
      <c r="N509" s="14" t="str">
        <f>'[1]V, inciso o) (OP)'!Q251</f>
        <v>LED091006JG1</v>
      </c>
      <c r="O509" s="15">
        <f t="shared" si="11"/>
        <v>1498650.24</v>
      </c>
      <c r="P509" s="15">
        <v>1498650.2</v>
      </c>
      <c r="Q509" s="12" t="s">
        <v>1024</v>
      </c>
      <c r="R509" s="15">
        <f>O509/1298</f>
        <v>1154.5841602465332</v>
      </c>
      <c r="S509" s="12" t="s">
        <v>42</v>
      </c>
      <c r="T509" s="17">
        <v>366</v>
      </c>
      <c r="U509" s="14" t="s">
        <v>43</v>
      </c>
      <c r="V509" s="12" t="s">
        <v>378</v>
      </c>
      <c r="W509" s="13">
        <f>'[1]V, inciso o) (OP)'!AD251</f>
        <v>43018</v>
      </c>
      <c r="X509" s="13">
        <f>'[1]V, inciso o) (OP)'!AE251</f>
        <v>43084</v>
      </c>
      <c r="Y509" s="12" t="s">
        <v>365</v>
      </c>
      <c r="Z509" s="12" t="s">
        <v>366</v>
      </c>
      <c r="AA509" s="12" t="s">
        <v>367</v>
      </c>
      <c r="AB509" s="8" t="s">
        <v>1963</v>
      </c>
      <c r="AC509" s="14" t="s">
        <v>48</v>
      </c>
      <c r="AD509" s="14"/>
    </row>
    <row r="510" spans="1:30" ht="80.099999999999994" customHeight="1">
      <c r="A510" s="5">
        <v>231</v>
      </c>
      <c r="B510" s="12">
        <v>2017</v>
      </c>
      <c r="C510" s="12" t="s">
        <v>65</v>
      </c>
      <c r="D510" s="14" t="str">
        <f>'[1]V, inciso o) (OP)'!C252</f>
        <v>DOPI-MUN-RM-BAN-AD-231-2017</v>
      </c>
      <c r="E510" s="13">
        <f>'[1]V, inciso o) (OP)'!V252</f>
        <v>43017</v>
      </c>
      <c r="F510" s="14" t="str">
        <f>'[1]V, inciso o) (OP)'!AA252</f>
        <v>Peatonalización, construcción de banquetas, sustitución de guarniciones, rehabilitación de empedrado, bolardos, accesibilidad,  primera etapa en Cuidad Granja, municipio de Zapopan, Jalisco.</v>
      </c>
      <c r="G510" s="14" t="s">
        <v>499</v>
      </c>
      <c r="H510" s="15">
        <f>'[1]V, inciso o) (OP)'!Y252</f>
        <v>1501787.44</v>
      </c>
      <c r="I510" s="14" t="s">
        <v>1025</v>
      </c>
      <c r="J510" s="14" t="str">
        <f>'[1]V, inciso o) (OP)'!M252</f>
        <v>JOSÉ DE JESÚS</v>
      </c>
      <c r="K510" s="14" t="str">
        <f>'[1]V, inciso o) (OP)'!N252</f>
        <v>CÁRDENAS</v>
      </c>
      <c r="L510" s="14" t="str">
        <f>'[1]V, inciso o) (OP)'!O252</f>
        <v xml:space="preserve">SOLÍS </v>
      </c>
      <c r="M510" s="14" t="str">
        <f>'[1]V, inciso o) (OP)'!P252</f>
        <v>CEIESE CONSTRUCCIÓN Y EDIFICACION, S.A. DE C.V.</v>
      </c>
      <c r="N510" s="14" t="str">
        <f>'[1]V, inciso o) (OP)'!Q252</f>
        <v>CCE170517HW2</v>
      </c>
      <c r="O510" s="15">
        <f t="shared" si="11"/>
        <v>1501787.44</v>
      </c>
      <c r="P510" s="15">
        <v>1501785.11</v>
      </c>
      <c r="Q510" s="12" t="s">
        <v>1026</v>
      </c>
      <c r="R510" s="15">
        <f>O510/1201</f>
        <v>1250.4474937552041</v>
      </c>
      <c r="S510" s="12" t="s">
        <v>42</v>
      </c>
      <c r="T510" s="17">
        <v>1623</v>
      </c>
      <c r="U510" s="14" t="s">
        <v>43</v>
      </c>
      <c r="V510" s="12" t="s">
        <v>378</v>
      </c>
      <c r="W510" s="13">
        <f>'[1]V, inciso o) (OP)'!AD252</f>
        <v>43018</v>
      </c>
      <c r="X510" s="13">
        <f>'[1]V, inciso o) (OP)'!AE252</f>
        <v>43084</v>
      </c>
      <c r="Y510" s="12" t="s">
        <v>385</v>
      </c>
      <c r="Z510" s="12" t="s">
        <v>46</v>
      </c>
      <c r="AA510" s="12" t="s">
        <v>47</v>
      </c>
      <c r="AB510" s="8" t="s">
        <v>1964</v>
      </c>
      <c r="AC510" s="14" t="s">
        <v>48</v>
      </c>
      <c r="AD510" s="14"/>
    </row>
    <row r="511" spans="1:30" ht="80.099999999999994" customHeight="1">
      <c r="A511" s="5">
        <v>232</v>
      </c>
      <c r="B511" s="12">
        <v>2017</v>
      </c>
      <c r="C511" s="12" t="s">
        <v>65</v>
      </c>
      <c r="D511" s="14" t="str">
        <f>'[1]V, inciso o) (OP)'!C253</f>
        <v>DOPI-MUN-CUSMAX-BAN-AD-232-2017</v>
      </c>
      <c r="E511" s="13">
        <f>'[1]V, inciso o) (OP)'!V253</f>
        <v>43013</v>
      </c>
      <c r="F511" s="14" t="str">
        <f>'[1]V, inciso o) (OP)'!AA253</f>
        <v>Primera etapa de la peatonalización en la colonia Los Pinos (incluye: machuelos, banquetas, accesibilidad universal, bolardos y nomenclatura).</v>
      </c>
      <c r="G511" s="14" t="s">
        <v>987</v>
      </c>
      <c r="H511" s="15">
        <f>'[1]V, inciso o) (OP)'!Y253</f>
        <v>999802.79</v>
      </c>
      <c r="I511" s="14" t="s">
        <v>1027</v>
      </c>
      <c r="J511" s="14" t="str">
        <f>'[1]V, inciso o) (OP)'!M253</f>
        <v>ELIZABETH GUADALUPE</v>
      </c>
      <c r="K511" s="14" t="str">
        <f>'[1]V, inciso o) (OP)'!N253</f>
        <v>LÓPEZ</v>
      </c>
      <c r="L511" s="14" t="str">
        <f>'[1]V, inciso o) (OP)'!O253</f>
        <v>GUTIÉRREZ</v>
      </c>
      <c r="M511" s="14" t="str">
        <f>'[1]V, inciso o) (OP)'!P253</f>
        <v>SKIP EDIFICACIONES, S.A. DE C.V.</v>
      </c>
      <c r="N511" s="14" t="str">
        <f>'[1]V, inciso o) (OP)'!Q253</f>
        <v>SED080712SJ7</v>
      </c>
      <c r="O511" s="15">
        <f t="shared" si="11"/>
        <v>999802.79</v>
      </c>
      <c r="P511" s="15">
        <v>999801.65</v>
      </c>
      <c r="Q511" s="12" t="s">
        <v>1028</v>
      </c>
      <c r="R511" s="15">
        <f>H511/1186</f>
        <v>843.00403878583472</v>
      </c>
      <c r="S511" s="12" t="s">
        <v>42</v>
      </c>
      <c r="T511" s="17">
        <v>1204</v>
      </c>
      <c r="U511" s="14" t="s">
        <v>43</v>
      </c>
      <c r="V511" s="12" t="s">
        <v>378</v>
      </c>
      <c r="W511" s="13">
        <f>'[1]V, inciso o) (OP)'!AD253</f>
        <v>43014</v>
      </c>
      <c r="X511" s="13">
        <f>'[1]V, inciso o) (OP)'!AE253</f>
        <v>43083</v>
      </c>
      <c r="Y511" s="12" t="s">
        <v>380</v>
      </c>
      <c r="Z511" s="12" t="s">
        <v>257</v>
      </c>
      <c r="AA511" s="12" t="s">
        <v>258</v>
      </c>
      <c r="AB511" s="8" t="s">
        <v>1965</v>
      </c>
      <c r="AC511" s="14" t="s">
        <v>48</v>
      </c>
      <c r="AD511" s="14"/>
    </row>
    <row r="512" spans="1:30" s="1" customFormat="1" ht="80.099999999999994" customHeight="1">
      <c r="A512" s="6">
        <v>233</v>
      </c>
      <c r="B512" s="12">
        <v>2017</v>
      </c>
      <c r="C512" s="12" t="s">
        <v>65</v>
      </c>
      <c r="D512" s="14" t="str">
        <f>'[1]V, inciso o) (OP)'!C254</f>
        <v>DOPI-MUN-CUSMAX-BAN-AD-233-2017</v>
      </c>
      <c r="E512" s="13">
        <f>'[1]V, inciso o) (OP)'!V254</f>
        <v>43019</v>
      </c>
      <c r="F512" s="14" t="str">
        <f>'[1]V, inciso o) (OP)'!AA254</f>
        <v>Primera etapa de la peatonalización en la colonia Hacienda de las Lomas (incluye: machuelos, banquetas, accesibilidad universal, bolardos y nomenclatura).</v>
      </c>
      <c r="G512" s="14" t="s">
        <v>987</v>
      </c>
      <c r="H512" s="15">
        <f>'[1]V, inciso o) (OP)'!Y254</f>
        <v>1009336.84</v>
      </c>
      <c r="I512" s="14" t="s">
        <v>1029</v>
      </c>
      <c r="J512" s="14" t="str">
        <f>'[1]V, inciso o) (OP)'!M254</f>
        <v>ROBERTO</v>
      </c>
      <c r="K512" s="14" t="str">
        <f>'[1]V, inciso o) (OP)'!N254</f>
        <v>FLORES</v>
      </c>
      <c r="L512" s="14" t="str">
        <f>'[1]V, inciso o) (OP)'!O254</f>
        <v>ARREOLA</v>
      </c>
      <c r="M512" s="14" t="str">
        <f>'[1]V, inciso o) (OP)'!P254</f>
        <v>ESTUDIOS SISTEMAS Y CONSTRUCCIÓNES, S.A. DE C.V.</v>
      </c>
      <c r="N512" s="14" t="str">
        <f>'[1]V, inciso o) (OP)'!Q254</f>
        <v>ESC930617KW9</v>
      </c>
      <c r="O512" s="15">
        <f t="shared" si="11"/>
        <v>1009336.84</v>
      </c>
      <c r="P512" s="15">
        <f>O512</f>
        <v>1009336.84</v>
      </c>
      <c r="Q512" s="12" t="s">
        <v>1030</v>
      </c>
      <c r="R512" s="15">
        <f>H512/1194</f>
        <v>845.34073701842544</v>
      </c>
      <c r="S512" s="12" t="s">
        <v>42</v>
      </c>
      <c r="T512" s="17">
        <v>986</v>
      </c>
      <c r="U512" s="14" t="s">
        <v>43</v>
      </c>
      <c r="V512" s="12" t="s">
        <v>378</v>
      </c>
      <c r="W512" s="13">
        <f>'[1]V, inciso o) (OP)'!AD254</f>
        <v>43024</v>
      </c>
      <c r="X512" s="13">
        <f>'[1]V, inciso o) (OP)'!AE254</f>
        <v>43084</v>
      </c>
      <c r="Y512" s="12" t="s">
        <v>1031</v>
      </c>
      <c r="Z512" s="12" t="s">
        <v>1032</v>
      </c>
      <c r="AA512" s="12" t="s">
        <v>744</v>
      </c>
      <c r="AB512" s="14" t="s">
        <v>48</v>
      </c>
      <c r="AC512" s="14" t="s">
        <v>48</v>
      </c>
      <c r="AD512" s="14" t="s">
        <v>1571</v>
      </c>
    </row>
    <row r="513" spans="1:30" ht="80.099999999999994" customHeight="1">
      <c r="A513" s="5">
        <v>234</v>
      </c>
      <c r="B513" s="12">
        <v>2017</v>
      </c>
      <c r="C513" s="12" t="s">
        <v>65</v>
      </c>
      <c r="D513" s="14" t="str">
        <f>'[1]V, inciso o) (OP)'!C255</f>
        <v>DOPI-MUN-CUSMAX-BAN-AD-234-2017</v>
      </c>
      <c r="E513" s="13">
        <f>'[1]V, inciso o) (OP)'!V255</f>
        <v>43019</v>
      </c>
      <c r="F513" s="14" t="str">
        <f>'[1]V, inciso o) (OP)'!AA255</f>
        <v>Primera etapa de la peatonalización en la colonia Jardines de San Ignacio (incluye: machuelos, banquetas, accesibilidad universal, bolardos y nomenclatura).</v>
      </c>
      <c r="G513" s="14" t="s">
        <v>987</v>
      </c>
      <c r="H513" s="15">
        <f>'[1]V, inciso o) (OP)'!Y255</f>
        <v>1429650.48</v>
      </c>
      <c r="I513" s="14" t="s">
        <v>1033</v>
      </c>
      <c r="J513" s="14" t="str">
        <f>'[1]V, inciso o) (OP)'!M255</f>
        <v xml:space="preserve">HUGO ALEJANDRO </v>
      </c>
      <c r="K513" s="14" t="str">
        <f>'[1]V, inciso o) (OP)'!N255</f>
        <v xml:space="preserve">ALMANZOR </v>
      </c>
      <c r="L513" s="14" t="str">
        <f>'[1]V, inciso o) (OP)'!O255</f>
        <v>GONZÁLEZ</v>
      </c>
      <c r="M513" s="14" t="str">
        <f>'[1]V, inciso o) (OP)'!P255</f>
        <v>AL-MANSUR CONSTRUCCIONES, S.A. DE C.V.</v>
      </c>
      <c r="N513" s="14" t="str">
        <f>'[1]V, inciso o) (OP)'!Q255</f>
        <v>ACO0806185Z3</v>
      </c>
      <c r="O513" s="15">
        <f t="shared" si="11"/>
        <v>1429650.48</v>
      </c>
      <c r="P513" s="15">
        <v>1414853.55</v>
      </c>
      <c r="Q513" s="12" t="s">
        <v>1034</v>
      </c>
      <c r="R513" s="15">
        <f>O513/1150</f>
        <v>1243.1743304347826</v>
      </c>
      <c r="S513" s="12" t="s">
        <v>42</v>
      </c>
      <c r="T513" s="17">
        <v>988</v>
      </c>
      <c r="U513" s="14" t="s">
        <v>43</v>
      </c>
      <c r="V513" s="12" t="s">
        <v>378</v>
      </c>
      <c r="W513" s="13">
        <f>'[1]V, inciso o) (OP)'!AD255</f>
        <v>43024</v>
      </c>
      <c r="X513" s="13">
        <f>'[1]V, inciso o) (OP)'!AE255</f>
        <v>43084</v>
      </c>
      <c r="Y513" s="12" t="s">
        <v>365</v>
      </c>
      <c r="Z513" s="12" t="s">
        <v>366</v>
      </c>
      <c r="AA513" s="12" t="s">
        <v>367</v>
      </c>
      <c r="AB513" s="8" t="s">
        <v>1966</v>
      </c>
      <c r="AC513" s="14" t="s">
        <v>48</v>
      </c>
      <c r="AD513" s="14"/>
    </row>
    <row r="514" spans="1:30" ht="80.099999999999994" customHeight="1">
      <c r="A514" s="5">
        <v>235</v>
      </c>
      <c r="B514" s="12">
        <v>2017</v>
      </c>
      <c r="C514" s="14" t="str">
        <f>'[1]V, inciso p) (OP)'!B265</f>
        <v>Licitación por Invitación Restringida</v>
      </c>
      <c r="D514" s="14" t="str">
        <f>'[1]V, inciso p) (OP)'!D265</f>
        <v>DOPI-MUN-RM-PAV-CI-235-2017</v>
      </c>
      <c r="E514" s="13">
        <f>'[1]V, inciso p) (OP)'!AD265</f>
        <v>43047</v>
      </c>
      <c r="F514" s="14" t="str">
        <f>'[1]V, inciso p) (OP)'!AL265</f>
        <v>Construcción de vialidad de ingreso a la preparatoria de la Universidad de Guadalajara, incluye: guarniciones, banquetas, red de agua potable y alcantarillado y servicios complementarios, en el Ejido Copalita, municipio de Zapopan, Jalisco, frente 1.</v>
      </c>
      <c r="G514" s="14" t="str">
        <f>'[1]V, inciso p) (OP)'!AR265</f>
        <v>Recurso Propio</v>
      </c>
      <c r="H514" s="15">
        <f>'[1]V, inciso p) (OP)'!AJ265</f>
        <v>6527343.5599999996</v>
      </c>
      <c r="I514" s="14" t="str">
        <f>'[1]V, inciso p) (OP)'!AS265</f>
        <v>Ejido Copalita</v>
      </c>
      <c r="J514" s="14" t="str">
        <f>'[1]V, inciso p) (OP)'!T265</f>
        <v>ELVIA ALEJANDRA</v>
      </c>
      <c r="K514" s="14" t="str">
        <f>'[1]V, inciso p) (OP)'!U265</f>
        <v>TORRES</v>
      </c>
      <c r="L514" s="14" t="str">
        <f>'[1]V, inciso p) (OP)'!V265</f>
        <v>VILLA</v>
      </c>
      <c r="M514" s="14" t="str">
        <f>'[1]V, inciso p) (OP)'!W265</f>
        <v>PROCOURZA, S.A. DE C.V.</v>
      </c>
      <c r="N514" s="14" t="str">
        <f>'[1]V, inciso p) (OP)'!X265</f>
        <v>PRO0205208F2</v>
      </c>
      <c r="O514" s="15">
        <f t="shared" si="11"/>
        <v>6527343.5599999996</v>
      </c>
      <c r="P514" s="15">
        <f>O514</f>
        <v>6527343.5599999996</v>
      </c>
      <c r="Q514" s="21" t="s">
        <v>1035</v>
      </c>
      <c r="R514" s="22">
        <f>H514/2856</f>
        <v>2285.4844397759102</v>
      </c>
      <c r="S514" s="12" t="s">
        <v>42</v>
      </c>
      <c r="T514" s="17">
        <v>3215</v>
      </c>
      <c r="U514" s="14" t="s">
        <v>43</v>
      </c>
      <c r="V514" s="12" t="s">
        <v>378</v>
      </c>
      <c r="W514" s="13">
        <f>'[1]V, inciso p) (OP)'!AM265</f>
        <v>43047</v>
      </c>
      <c r="X514" s="13">
        <f>'[1]V, inciso p) (OP)'!AN265</f>
        <v>43161</v>
      </c>
      <c r="Y514" s="12" t="s">
        <v>468</v>
      </c>
      <c r="Z514" s="12" t="s">
        <v>307</v>
      </c>
      <c r="AA514" s="12" t="s">
        <v>308</v>
      </c>
      <c r="AB514" s="14" t="s">
        <v>1469</v>
      </c>
      <c r="AC514" s="14" t="s">
        <v>48</v>
      </c>
      <c r="AD514" s="14" t="s">
        <v>1571</v>
      </c>
    </row>
    <row r="515" spans="1:30" ht="80.099999999999994" customHeight="1">
      <c r="A515" s="5">
        <v>236</v>
      </c>
      <c r="B515" s="12">
        <v>2017</v>
      </c>
      <c r="C515" s="14" t="str">
        <f>'[1]V, inciso p) (OP)'!B266</f>
        <v>Licitación por Invitación Restringida</v>
      </c>
      <c r="D515" s="14" t="str">
        <f>'[1]V, inciso p) (OP)'!D266</f>
        <v>DOPI-MUN-RM-PAV-CI-236-2017</v>
      </c>
      <c r="E515" s="13">
        <f>'[1]V, inciso p) (OP)'!AD266</f>
        <v>43047</v>
      </c>
      <c r="F515" s="14" t="str">
        <f>'[1]V, inciso p) (OP)'!AL266</f>
        <v>Construcción de vialidad de ingreso a la preparatoria de la Universidad de Guadalajara, incluye: guarniciones, banquetas, red de agua potable y alcantarillado y servicios complementarios, en el Ejido Copalita, municipio de Zapopan, Jalisco, frente 2.</v>
      </c>
      <c r="G515" s="14" t="str">
        <f>'[1]V, inciso p) (OP)'!AR266</f>
        <v>Recurso Propio</v>
      </c>
      <c r="H515" s="15">
        <f>'[1]V, inciso p) (OP)'!AJ266</f>
        <v>6458330.7999999998</v>
      </c>
      <c r="I515" s="14" t="str">
        <f>'[1]V, inciso p) (OP)'!AS266</f>
        <v>Ejido Copalita</v>
      </c>
      <c r="J515" s="14" t="str">
        <f>'[1]V, inciso p) (OP)'!T266</f>
        <v>ANTONIO</v>
      </c>
      <c r="K515" s="14" t="str">
        <f>'[1]V, inciso p) (OP)'!U266</f>
        <v>CARRILLO</v>
      </c>
      <c r="L515" s="14" t="str">
        <f>'[1]V, inciso p) (OP)'!V266</f>
        <v>SEGURA</v>
      </c>
      <c r="M515" s="14" t="str">
        <f>'[1]V, inciso p) (OP)'!W266</f>
        <v>ITERACION, S.A. DE C.V.</v>
      </c>
      <c r="N515" s="14" t="str">
        <f>'[1]V, inciso p) (OP)'!X266</f>
        <v>ITE080214UD3</v>
      </c>
      <c r="O515" s="15">
        <f t="shared" si="11"/>
        <v>6458330.7999999998</v>
      </c>
      <c r="P515" s="15">
        <f>O515</f>
        <v>6458330.7999999998</v>
      </c>
      <c r="Q515" s="21" t="s">
        <v>1035</v>
      </c>
      <c r="R515" s="22">
        <f>H515/2856</f>
        <v>2261.3203081232491</v>
      </c>
      <c r="S515" s="12" t="s">
        <v>42</v>
      </c>
      <c r="T515" s="17">
        <v>3215</v>
      </c>
      <c r="U515" s="14" t="s">
        <v>43</v>
      </c>
      <c r="V515" s="12" t="s">
        <v>378</v>
      </c>
      <c r="W515" s="13">
        <f>'[1]V, inciso p) (OP)'!AM266</f>
        <v>43047</v>
      </c>
      <c r="X515" s="13">
        <f>'[1]V, inciso p) (OP)'!AN266</f>
        <v>43161</v>
      </c>
      <c r="Y515" s="12" t="s">
        <v>468</v>
      </c>
      <c r="Z515" s="12" t="s">
        <v>307</v>
      </c>
      <c r="AA515" s="12" t="s">
        <v>308</v>
      </c>
      <c r="AB515" s="14" t="s">
        <v>1470</v>
      </c>
      <c r="AC515" s="14" t="s">
        <v>48</v>
      </c>
      <c r="AD515" s="14" t="s">
        <v>1571</v>
      </c>
    </row>
    <row r="516" spans="1:30" ht="80.099999999999994" customHeight="1">
      <c r="A516" s="5">
        <v>237</v>
      </c>
      <c r="B516" s="12">
        <v>2017</v>
      </c>
      <c r="C516" s="14" t="str">
        <f>'[1]V, inciso p) (OP)'!B267</f>
        <v>Licitación por Invitación Restringida</v>
      </c>
      <c r="D516" s="14" t="str">
        <f>'[1]V, inciso p) (OP)'!D267</f>
        <v>DOPI-MUN-CUSMAX-BAN-CI-237-2017</v>
      </c>
      <c r="E516" s="13">
        <f>'[1]V, inciso p) (OP)'!AD267</f>
        <v>43047</v>
      </c>
      <c r="F516" s="14" t="str">
        <f>'[1]V, inciso p) (OP)'!AL267</f>
        <v>Primera etapa de la peatonalización en la colonia Rinconada del Sol (incluye: machuelos, banquetas, accesibilidad universal, bolardos y nomenclatura), municipio de Zapopan, Jalisco.</v>
      </c>
      <c r="G516" s="14" t="str">
        <f>'[1]V, inciso p) (OP)'!AR267</f>
        <v>Cusmax 2017</v>
      </c>
      <c r="H516" s="15">
        <f>'[1]V, inciso p) (OP)'!AJ267</f>
        <v>1999878.73</v>
      </c>
      <c r="I516" s="14" t="str">
        <f>'[1]V, inciso p) (OP)'!AS267</f>
        <v>Colonia Rinconada del Sol</v>
      </c>
      <c r="J516" s="14" t="str">
        <f>'[1]V, inciso p) (OP)'!T267</f>
        <v>ROBERTO</v>
      </c>
      <c r="K516" s="14" t="str">
        <f>'[1]V, inciso p) (OP)'!U267</f>
        <v>FLORES</v>
      </c>
      <c r="L516" s="14" t="str">
        <f>'[1]V, inciso p) (OP)'!V267</f>
        <v>ARREOLA</v>
      </c>
      <c r="M516" s="14" t="str">
        <f>'[1]V, inciso p) (OP)'!W267</f>
        <v>ESTUDIOS SISTEMAS Y CONSTRUCCIÓNES, S.A. DE C.V.</v>
      </c>
      <c r="N516" s="14" t="str">
        <f>'[1]V, inciso p) (OP)'!X267</f>
        <v>ESC930617KW9</v>
      </c>
      <c r="O516" s="15">
        <f t="shared" si="11"/>
        <v>1999878.73</v>
      </c>
      <c r="P516" s="15">
        <f>O516</f>
        <v>1999878.73</v>
      </c>
      <c r="Q516" s="21" t="s">
        <v>1036</v>
      </c>
      <c r="R516" s="22">
        <f>H516/1510.01</f>
        <v>1324.4142290448408</v>
      </c>
      <c r="S516" s="12" t="s">
        <v>42</v>
      </c>
      <c r="T516" s="17">
        <v>965</v>
      </c>
      <c r="U516" s="14" t="s">
        <v>43</v>
      </c>
      <c r="V516" s="12" t="s">
        <v>378</v>
      </c>
      <c r="W516" s="13">
        <f>'[1]V, inciso p) (OP)'!AM267</f>
        <v>43047</v>
      </c>
      <c r="X516" s="13">
        <f>'[1]V, inciso p) (OP)'!AN267</f>
        <v>43133</v>
      </c>
      <c r="Y516" s="12" t="s">
        <v>380</v>
      </c>
      <c r="Z516" s="12" t="s">
        <v>257</v>
      </c>
      <c r="AA516" s="12" t="s">
        <v>258</v>
      </c>
      <c r="AB516" s="14" t="s">
        <v>1471</v>
      </c>
      <c r="AC516" s="14" t="s">
        <v>48</v>
      </c>
      <c r="AD516" s="14" t="s">
        <v>1571</v>
      </c>
    </row>
    <row r="517" spans="1:30" ht="80.099999999999994" customHeight="1">
      <c r="A517" s="5">
        <v>238</v>
      </c>
      <c r="B517" s="12">
        <v>2017</v>
      </c>
      <c r="C517" s="14" t="str">
        <f>'[1]V, inciso p) (OP)'!B268</f>
        <v>Licitación por Invitación Restringida</v>
      </c>
      <c r="D517" s="14" t="str">
        <f>'[1]V, inciso p) (OP)'!D268</f>
        <v>DOPI-MUN-CUSMAX-BAN-CI-238-2017</v>
      </c>
      <c r="E517" s="13">
        <f>'[1]V, inciso p) (OP)'!AD268</f>
        <v>43047</v>
      </c>
      <c r="F517" s="14" t="str">
        <f>'[1]V, inciso p) (OP)'!AL268</f>
        <v>Primera etapa de la peatonalización en las colonias Loma Bonita, Loma Bonita Sur y Rinconada de la Calma (incluye: machuelos, banquetas, accesibilidad universal, bolardos y nomenclatura), municipio de Zapopan, Jalisco.</v>
      </c>
      <c r="G517" s="14" t="str">
        <f>'[1]V, inciso p) (OP)'!AR268</f>
        <v>Cusmax 2017</v>
      </c>
      <c r="H517" s="15">
        <f>'[1]V, inciso p) (OP)'!AJ268</f>
        <v>2499342.11</v>
      </c>
      <c r="I517" s="14" t="str">
        <f>'[1]V, inciso p) (OP)'!AS268</f>
        <v>Colonias Loma Bonita, Loma Bonita Sur y Rinconada de la Calma</v>
      </c>
      <c r="J517" s="14" t="str">
        <f>'[1]V, inciso p) (OP)'!T268</f>
        <v xml:space="preserve">ARTURO </v>
      </c>
      <c r="K517" s="14" t="str">
        <f>'[1]V, inciso p) (OP)'!U268</f>
        <v>MONTUFAR</v>
      </c>
      <c r="L517" s="14" t="str">
        <f>'[1]V, inciso p) (OP)'!V268</f>
        <v>NUÑEZ</v>
      </c>
      <c r="M517" s="14" t="str">
        <f>'[1]V, inciso p) (OP)'!W268</f>
        <v>VELERO PAVIMENTACION Y CONSTRUCCIÓN S.A. DE C.V.</v>
      </c>
      <c r="N517" s="14" t="str">
        <f>'[1]V, inciso p) (OP)'!X268</f>
        <v>VPC0012148K0</v>
      </c>
      <c r="O517" s="15">
        <f t="shared" si="11"/>
        <v>2499342.11</v>
      </c>
      <c r="P517" s="15">
        <v>2499341.4900000002</v>
      </c>
      <c r="Q517" s="21" t="s">
        <v>1037</v>
      </c>
      <c r="R517" s="22">
        <f>H517/1941.69</f>
        <v>1287.19935211079</v>
      </c>
      <c r="S517" s="12" t="s">
        <v>42</v>
      </c>
      <c r="T517" s="17">
        <v>1869</v>
      </c>
      <c r="U517" s="14" t="s">
        <v>43</v>
      </c>
      <c r="V517" s="12" t="s">
        <v>378</v>
      </c>
      <c r="W517" s="13">
        <f>'[1]V, inciso p) (OP)'!AM268</f>
        <v>43047</v>
      </c>
      <c r="X517" s="13">
        <f>'[1]V, inciso p) (OP)'!AN268</f>
        <v>43133</v>
      </c>
      <c r="Y517" s="12" t="s">
        <v>380</v>
      </c>
      <c r="Z517" s="12" t="s">
        <v>257</v>
      </c>
      <c r="AA517" s="12" t="s">
        <v>258</v>
      </c>
      <c r="AB517" s="14" t="s">
        <v>1472</v>
      </c>
      <c r="AC517" s="14" t="s">
        <v>48</v>
      </c>
      <c r="AD517" s="14"/>
    </row>
    <row r="518" spans="1:30" ht="80.099999999999994" customHeight="1">
      <c r="A518" s="5">
        <v>239</v>
      </c>
      <c r="B518" s="12">
        <v>2017</v>
      </c>
      <c r="C518" s="14" t="str">
        <f>'[1]V, inciso p) (OP)'!B269</f>
        <v>Licitación por Invitación Restringida</v>
      </c>
      <c r="D518" s="14" t="str">
        <f>'[1]V, inciso p) (OP)'!D269</f>
        <v>DOPI-MUN-CUSMAX-ID-CI-239-2017</v>
      </c>
      <c r="E518" s="13">
        <f>'[1]V, inciso p) (OP)'!AD269</f>
        <v>43047</v>
      </c>
      <c r="F518" s="14" t="str">
        <f>'[1]V, inciso p) (OP)'!AL269</f>
        <v>Construcción de cancha de Futbol Americano, en la Unidad Deportiva Tabachines, municipio de Zapopan, Jalisco.</v>
      </c>
      <c r="G518" s="14" t="str">
        <f>'[1]V, inciso p) (OP)'!AR269</f>
        <v>Cusmax 2017</v>
      </c>
      <c r="H518" s="15">
        <f>'[1]V, inciso p) (OP)'!AJ269</f>
        <v>6990218.1900000004</v>
      </c>
      <c r="I518" s="14" t="str">
        <f>'[1]V, inciso p) (OP)'!AS269</f>
        <v>Colonia Tabachines</v>
      </c>
      <c r="J518" s="14" t="str">
        <f>'[1]V, inciso p) (OP)'!T269</f>
        <v>JAIME FERNANDO</v>
      </c>
      <c r="K518" s="14" t="str">
        <f>'[1]V, inciso p) (OP)'!U269</f>
        <v>ÁLVAREZ</v>
      </c>
      <c r="L518" s="14" t="str">
        <f>'[1]V, inciso p) (OP)'!V269</f>
        <v>LOZANO</v>
      </c>
      <c r="M518" s="14" t="str">
        <f>'[1]V, inciso p) (OP)'!W269</f>
        <v>INOVACIONES EN MOBILIARIO URBANO S.A. DE C.V.</v>
      </c>
      <c r="N518" s="14" t="str">
        <f>'[1]V, inciso p) (OP)'!X269</f>
        <v>IMU120820NM7</v>
      </c>
      <c r="O518" s="15">
        <f t="shared" si="11"/>
        <v>6990218.1900000004</v>
      </c>
      <c r="P518" s="15">
        <f>O518</f>
        <v>6990218.1900000004</v>
      </c>
      <c r="Q518" s="21" t="s">
        <v>1038</v>
      </c>
      <c r="R518" s="22">
        <f>H518/4778.5</f>
        <v>1462.8477953332638</v>
      </c>
      <c r="S518" s="12" t="s">
        <v>42</v>
      </c>
      <c r="T518" s="17">
        <v>2650</v>
      </c>
      <c r="U518" s="14" t="s">
        <v>43</v>
      </c>
      <c r="V518" s="12" t="s">
        <v>378</v>
      </c>
      <c r="W518" s="13">
        <f>'[1]V, inciso p) (OP)'!AM269</f>
        <v>43047</v>
      </c>
      <c r="X518" s="13">
        <f>'[1]V, inciso p) (OP)'!AN269</f>
        <v>43133</v>
      </c>
      <c r="Y518" s="12" t="s">
        <v>767</v>
      </c>
      <c r="Z518" s="12" t="s">
        <v>843</v>
      </c>
      <c r="AA518" s="12" t="s">
        <v>769</v>
      </c>
      <c r="AB518" s="14" t="s">
        <v>1473</v>
      </c>
      <c r="AC518" s="14" t="s">
        <v>48</v>
      </c>
      <c r="AD518" s="14" t="s">
        <v>1571</v>
      </c>
    </row>
    <row r="519" spans="1:30" ht="80.099999999999994" customHeight="1">
      <c r="A519" s="5">
        <v>240</v>
      </c>
      <c r="B519" s="12">
        <v>2017</v>
      </c>
      <c r="C519" s="12" t="s">
        <v>65</v>
      </c>
      <c r="D519" s="14" t="str">
        <f>'[1]V, inciso o) (OP)'!C256</f>
        <v>DOPI-MUN-RM-BAN-AD-240-2017</v>
      </c>
      <c r="E519" s="13">
        <f>'[1]V, inciso o) (OP)'!V256</f>
        <v>43021</v>
      </c>
      <c r="F519" s="14" t="str">
        <f>'[1]V, inciso o) (OP)'!AA256</f>
        <v>Peatonalización, construcción de banquetas, guarniciones, accesibilidad, bolardos, en el cruce de Av. Acueducto y Av. Patria, reparación de junta de calzada en la Rampa de ingreso al paso elevado de Av. Patria y Av. Acueducto, municipio de Zapopan, Jalisco.</v>
      </c>
      <c r="G519" s="14" t="s">
        <v>499</v>
      </c>
      <c r="H519" s="15">
        <f>'[1]V, inciso o) (OP)'!Y256</f>
        <v>902056.34</v>
      </c>
      <c r="I519" s="14" t="s">
        <v>1039</v>
      </c>
      <c r="J519" s="14" t="str">
        <f>'[1]V, inciso o) (OP)'!M256</f>
        <v>GUSTAVO</v>
      </c>
      <c r="K519" s="14" t="str">
        <f>'[1]V, inciso o) (OP)'!N256</f>
        <v>DURAN</v>
      </c>
      <c r="L519" s="14" t="str">
        <f>'[1]V, inciso o) (OP)'!O256</f>
        <v>JIMÉNEZ</v>
      </c>
      <c r="M519" s="14" t="str">
        <f>'[1]V, inciso o) (OP)'!P256</f>
        <v>DURAN JIMÉNEZ ARQUITECTOS Y ASOCIADOS, S.A. DE C.V.</v>
      </c>
      <c r="N519" s="14" t="str">
        <f>'[1]V, inciso o) (OP)'!Q256</f>
        <v>DJA9405184G7</v>
      </c>
      <c r="O519" s="15">
        <f t="shared" si="11"/>
        <v>902056.34</v>
      </c>
      <c r="P519" s="15">
        <f>O519</f>
        <v>902056.34</v>
      </c>
      <c r="Q519" s="12" t="s">
        <v>461</v>
      </c>
      <c r="R519" s="15">
        <f>O519/720</f>
        <v>1252.8560277777776</v>
      </c>
      <c r="S519" s="12" t="s">
        <v>42</v>
      </c>
      <c r="T519" s="17">
        <v>8685</v>
      </c>
      <c r="U519" s="14" t="s">
        <v>43</v>
      </c>
      <c r="V519" s="12" t="s">
        <v>378</v>
      </c>
      <c r="W519" s="13">
        <f>'[1]V, inciso o) (OP)'!AD256</f>
        <v>43022</v>
      </c>
      <c r="X519" s="13">
        <f>'[1]V, inciso o) (OP)'!AE256</f>
        <v>43054</v>
      </c>
      <c r="Y519" s="12" t="s">
        <v>385</v>
      </c>
      <c r="Z519" s="12" t="s">
        <v>46</v>
      </c>
      <c r="AA519" s="12" t="s">
        <v>47</v>
      </c>
      <c r="AB519" s="8" t="s">
        <v>1967</v>
      </c>
      <c r="AC519" s="14" t="s">
        <v>48</v>
      </c>
      <c r="AD519" s="14" t="s">
        <v>1571</v>
      </c>
    </row>
    <row r="520" spans="1:30" ht="80.099999999999994" customHeight="1">
      <c r="A520" s="5">
        <v>241</v>
      </c>
      <c r="B520" s="12">
        <v>2017</v>
      </c>
      <c r="C520" s="12" t="s">
        <v>65</v>
      </c>
      <c r="D520" s="14" t="str">
        <f>'[1]V, inciso o) (OP)'!C257</f>
        <v>DOPI-MUN-RM-BAN-AD-241-2017</v>
      </c>
      <c r="E520" s="13">
        <f>'[1]V, inciso o) (OP)'!V257</f>
        <v>43021</v>
      </c>
      <c r="F520" s="14" t="str">
        <f>'[1]V, inciso o) (OP)'!AA257</f>
        <v>Restauración de banquetas a base de piedra sangre de pichón en el ingreso posterior de la Presidencial Municipal, municipio de Zapopan, Jalisco, primera etapa.</v>
      </c>
      <c r="G520" s="14" t="s">
        <v>499</v>
      </c>
      <c r="H520" s="15">
        <f>'[1]V, inciso o) (OP)'!Y257</f>
        <v>205478.36</v>
      </c>
      <c r="I520" s="14" t="s">
        <v>121</v>
      </c>
      <c r="J520" s="14" t="str">
        <f>'[1]V, inciso o) (OP)'!M257</f>
        <v xml:space="preserve">RAFAEL </v>
      </c>
      <c r="K520" s="14" t="str">
        <f>'[1]V, inciso o) (OP)'!N257</f>
        <v>OROZCO</v>
      </c>
      <c r="L520" s="14" t="str">
        <f>'[1]V, inciso o) (OP)'!O257</f>
        <v>MARTÍNEZ</v>
      </c>
      <c r="M520" s="14" t="str">
        <f>'[1]V, inciso o) (OP)'!P257</f>
        <v>CEELE CONSTRUCCIÓNES, S.A. DE C.V.</v>
      </c>
      <c r="N520" s="14" t="str">
        <f>'[1]V, inciso o) (OP)'!Q257</f>
        <v>CCO020123366</v>
      </c>
      <c r="O520" s="15">
        <f t="shared" si="11"/>
        <v>205478.36</v>
      </c>
      <c r="P520" s="15">
        <f>O520</f>
        <v>205478.36</v>
      </c>
      <c r="Q520" s="12" t="s">
        <v>1040</v>
      </c>
      <c r="R520" s="15">
        <f>H520/120.2</f>
        <v>1709.4705490848585</v>
      </c>
      <c r="S520" s="12" t="s">
        <v>42</v>
      </c>
      <c r="T520" s="17">
        <v>1332272</v>
      </c>
      <c r="U520" s="14" t="s">
        <v>43</v>
      </c>
      <c r="V520" s="12" t="s">
        <v>378</v>
      </c>
      <c r="W520" s="13">
        <f>'[1]V, inciso o) (OP)'!AD257</f>
        <v>43022</v>
      </c>
      <c r="X520" s="13">
        <f>'[1]V, inciso o) (OP)'!AE257</f>
        <v>43054</v>
      </c>
      <c r="Y520" s="12" t="s">
        <v>854</v>
      </c>
      <c r="Z520" s="12" t="s">
        <v>455</v>
      </c>
      <c r="AA520" s="12" t="s">
        <v>456</v>
      </c>
      <c r="AB520" s="8" t="s">
        <v>1968</v>
      </c>
      <c r="AC520" s="14" t="s">
        <v>48</v>
      </c>
      <c r="AD520" s="14" t="s">
        <v>1571</v>
      </c>
    </row>
    <row r="521" spans="1:30" ht="80.099999999999994" customHeight="1">
      <c r="A521" s="5">
        <v>242</v>
      </c>
      <c r="B521" s="12">
        <v>2017</v>
      </c>
      <c r="C521" s="12" t="s">
        <v>65</v>
      </c>
      <c r="D521" s="14" t="str">
        <f>'[1]V, inciso o) (OP)'!C258</f>
        <v>DOPI-MUN-R33R-IS-AD-242-2017</v>
      </c>
      <c r="E521" s="13">
        <f>'[1]V, inciso o) (OP)'!V258</f>
        <v>43048</v>
      </c>
      <c r="F521" s="14" t="str">
        <f>'[1]V, inciso o) (OP)'!AA258</f>
        <v>Construcción de red de drenaje en privada Ignacio Sandoval, en la colonia La Tarjea, municipio de Zapopan, Jalisco.</v>
      </c>
      <c r="G521" s="14" t="s">
        <v>841</v>
      </c>
      <c r="H521" s="15">
        <f>'[1]V, inciso o) (OP)'!Y258</f>
        <v>696102.42</v>
      </c>
      <c r="I521" s="14" t="s">
        <v>1041</v>
      </c>
      <c r="J521" s="14" t="str">
        <f>'[1]V, inciso o) (OP)'!M258</f>
        <v>J. JESÚS</v>
      </c>
      <c r="K521" s="14" t="str">
        <f>'[1]V, inciso o) (OP)'!N258</f>
        <v>CONTRERAS</v>
      </c>
      <c r="L521" s="14" t="str">
        <f>'[1]V, inciso o) (OP)'!O258</f>
        <v>VILLANUEVA</v>
      </c>
      <c r="M521" s="14" t="str">
        <f>'[1]V, inciso o) (OP)'!P258</f>
        <v>CONSTRUCCIONES COVIMEX, S.A. DE C.V.</v>
      </c>
      <c r="N521" s="14" t="str">
        <f>'[1]V, inciso o) (OP)'!Q258</f>
        <v>CCO0404226D8</v>
      </c>
      <c r="O521" s="15">
        <f t="shared" si="11"/>
        <v>696102.42</v>
      </c>
      <c r="P521" s="15">
        <v>696102.42</v>
      </c>
      <c r="Q521" s="12" t="s">
        <v>1042</v>
      </c>
      <c r="R521" s="15">
        <f>H521/134.13</f>
        <v>5189.7593379557147</v>
      </c>
      <c r="S521" s="12" t="s">
        <v>42</v>
      </c>
      <c r="T521" s="17">
        <v>102</v>
      </c>
      <c r="U521" s="14" t="s">
        <v>43</v>
      </c>
      <c r="V521" s="12" t="s">
        <v>44</v>
      </c>
      <c r="W521" s="13">
        <f>'[1]V, inciso o) (OP)'!AD258</f>
        <v>43018</v>
      </c>
      <c r="X521" s="13">
        <f>'[1]V, inciso o) (OP)'!AE258</f>
        <v>43084</v>
      </c>
      <c r="Y521" s="12" t="s">
        <v>767</v>
      </c>
      <c r="Z521" s="12" t="s">
        <v>843</v>
      </c>
      <c r="AA521" s="12" t="s">
        <v>769</v>
      </c>
      <c r="AB521" s="8" t="s">
        <v>1969</v>
      </c>
      <c r="AC521" s="14" t="s">
        <v>48</v>
      </c>
      <c r="AD521" s="14"/>
    </row>
    <row r="522" spans="1:30" ht="80.099999999999994" customHeight="1">
      <c r="A522" s="5">
        <v>243</v>
      </c>
      <c r="B522" s="12">
        <v>2017</v>
      </c>
      <c r="C522" s="12" t="s">
        <v>65</v>
      </c>
      <c r="D522" s="14" t="str">
        <f>'[1]V, inciso o) (OP)'!C259</f>
        <v>DOPI-MUN-R33R-IH-AD-243-2017</v>
      </c>
      <c r="E522" s="13">
        <f>'[1]V, inciso o) (OP)'!V259</f>
        <v>43048</v>
      </c>
      <c r="F522" s="14" t="str">
        <f>'[1]V, inciso o) (OP)'!AA259</f>
        <v>Construcción de red de drenaje en calle Las Palmas de calle Los Pinos calle Sauce en la colonia El Álamo, municipio de Zapopan, Jalisco.</v>
      </c>
      <c r="G522" s="14" t="s">
        <v>841</v>
      </c>
      <c r="H522" s="15">
        <f>'[1]V, inciso o) (OP)'!Y259</f>
        <v>885779.68</v>
      </c>
      <c r="I522" s="14" t="s">
        <v>1043</v>
      </c>
      <c r="J522" s="14" t="str">
        <f>'[1]V, inciso o) (OP)'!M259</f>
        <v>J. JESÚS</v>
      </c>
      <c r="K522" s="14" t="str">
        <f>'[1]V, inciso o) (OP)'!N259</f>
        <v>CONTRERAS</v>
      </c>
      <c r="L522" s="14" t="str">
        <f>'[1]V, inciso o) (OP)'!O259</f>
        <v>VILLANUEVA</v>
      </c>
      <c r="M522" s="14" t="str">
        <f>'[1]V, inciso o) (OP)'!P259</f>
        <v>CONSTRUCCIONES COVIMEX, S.A. DE C.V.</v>
      </c>
      <c r="N522" s="14" t="str">
        <f>'[1]V, inciso o) (OP)'!Q259</f>
        <v>CCO0404226D8</v>
      </c>
      <c r="O522" s="15">
        <f t="shared" si="11"/>
        <v>885779.68</v>
      </c>
      <c r="P522" s="15">
        <v>885779.68</v>
      </c>
      <c r="Q522" s="12" t="s">
        <v>1044</v>
      </c>
      <c r="R522" s="15">
        <f>H522/348</f>
        <v>2545.3439080459771</v>
      </c>
      <c r="S522" s="12" t="s">
        <v>42</v>
      </c>
      <c r="T522" s="17">
        <v>154</v>
      </c>
      <c r="U522" s="14" t="s">
        <v>43</v>
      </c>
      <c r="V522" s="12" t="s">
        <v>44</v>
      </c>
      <c r="W522" s="13">
        <f>'[1]V, inciso o) (OP)'!AD259</f>
        <v>43018</v>
      </c>
      <c r="X522" s="13">
        <f>'[1]V, inciso o) (OP)'!AE259</f>
        <v>43084</v>
      </c>
      <c r="Y522" s="12" t="s">
        <v>794</v>
      </c>
      <c r="Z522" s="12" t="s">
        <v>833</v>
      </c>
      <c r="AA522" s="12" t="s">
        <v>191</v>
      </c>
      <c r="AB522" s="14" t="s">
        <v>1561</v>
      </c>
      <c r="AC522" s="14" t="s">
        <v>125</v>
      </c>
      <c r="AD522" s="14"/>
    </row>
    <row r="523" spans="1:30" ht="80.099999999999994" customHeight="1">
      <c r="A523" s="5">
        <v>244</v>
      </c>
      <c r="B523" s="12">
        <v>2017</v>
      </c>
      <c r="C523" s="12" t="s">
        <v>65</v>
      </c>
      <c r="D523" s="14" t="str">
        <f>'[1]V, inciso o) (OP)'!C260</f>
        <v>DOPI-MUN-RM-MOV-AD-244-2017</v>
      </c>
      <c r="E523" s="13">
        <f>'[1]V, inciso o) (OP)'!V260</f>
        <v>43024</v>
      </c>
      <c r="F523" s="14" t="str">
        <f>'[1]V, inciso o) (OP)'!AA260</f>
        <v>Señalización vertical y horizontal en diferentes zonas del municipio de Zapopan, Jalisco, frente 1.</v>
      </c>
      <c r="G523" s="14" t="s">
        <v>499</v>
      </c>
      <c r="H523" s="15">
        <f>'[1]V, inciso o) (OP)'!Y260</f>
        <v>1306324.03</v>
      </c>
      <c r="I523" s="14" t="s">
        <v>1349</v>
      </c>
      <c r="J523" s="14" t="str">
        <f>'[1]V, inciso o) (OP)'!M260</f>
        <v xml:space="preserve">HUGO RAFAEL </v>
      </c>
      <c r="K523" s="14" t="str">
        <f>'[1]V, inciso o) (OP)'!N260</f>
        <v>CABRERA</v>
      </c>
      <c r="L523" s="14" t="str">
        <f>'[1]V, inciso o) (OP)'!O260</f>
        <v>ORTINEZ</v>
      </c>
      <c r="M523" s="14" t="str">
        <f>'[1]V, inciso o) (OP)'!P260</f>
        <v>HUGO RAFAEL CABRERA ORTINEZ</v>
      </c>
      <c r="N523" s="14" t="str">
        <f>'[1]V, inciso o) (OP)'!Q260</f>
        <v>CAOH671024T38</v>
      </c>
      <c r="O523" s="15">
        <f t="shared" si="11"/>
        <v>1306324.03</v>
      </c>
      <c r="P523" s="15">
        <f>O523</f>
        <v>1306324.03</v>
      </c>
      <c r="Q523" s="12" t="s">
        <v>1045</v>
      </c>
      <c r="R523" s="15">
        <f>H523/1210.23</f>
        <v>1079.401460879337</v>
      </c>
      <c r="S523" s="12" t="s">
        <v>42</v>
      </c>
      <c r="T523" s="17">
        <v>1332272</v>
      </c>
      <c r="U523" s="14" t="s">
        <v>43</v>
      </c>
      <c r="V523" s="12" t="s">
        <v>378</v>
      </c>
      <c r="W523" s="13">
        <f>'[1]V, inciso o) (OP)'!AD260</f>
        <v>43025</v>
      </c>
      <c r="X523" s="13">
        <f>'[1]V, inciso o) (OP)'!AE260</f>
        <v>43131</v>
      </c>
      <c r="Y523" s="12" t="s">
        <v>531</v>
      </c>
      <c r="Z523" s="12" t="s">
        <v>532</v>
      </c>
      <c r="AA523" s="12" t="s">
        <v>533</v>
      </c>
      <c r="AB523" s="14" t="s">
        <v>48</v>
      </c>
      <c r="AC523" s="14" t="s">
        <v>48</v>
      </c>
      <c r="AD523" s="14" t="s">
        <v>1571</v>
      </c>
    </row>
    <row r="524" spans="1:30" ht="80.099999999999994" customHeight="1">
      <c r="A524" s="5">
        <v>245</v>
      </c>
      <c r="B524" s="12">
        <v>2017</v>
      </c>
      <c r="C524" s="12" t="s">
        <v>65</v>
      </c>
      <c r="D524" s="14" t="str">
        <f>'[1]V, inciso o) (OP)'!C261</f>
        <v>DOPI-MUN-RM-PROY-AD-245-2017</v>
      </c>
      <c r="E524" s="13">
        <f>'[1]V, inciso o) (OP)'!V261</f>
        <v>43018</v>
      </c>
      <c r="F524" s="14" t="str">
        <f>'[1]V, inciso o) (OP)'!AA261</f>
        <v>Elaboración de proyecto ejecutivo para la construcción de alberca para rehabilitación de niños con fibrosis muscular, municipio de Zapopan, Jalisco.</v>
      </c>
      <c r="G524" s="14" t="s">
        <v>499</v>
      </c>
      <c r="H524" s="15">
        <f>'[1]V, inciso o) (OP)'!Y261</f>
        <v>445579.2</v>
      </c>
      <c r="I524" s="14" t="s">
        <v>1046</v>
      </c>
      <c r="J524" s="14" t="str">
        <f>'[1]V, inciso o) (OP)'!M261</f>
        <v>RICARDO</v>
      </c>
      <c r="K524" s="14" t="str">
        <f>'[1]V, inciso o) (OP)'!N261</f>
        <v>GONZÁLEZ</v>
      </c>
      <c r="L524" s="14" t="str">
        <f>'[1]V, inciso o) (OP)'!O261</f>
        <v>CARRANZA</v>
      </c>
      <c r="M524" s="14" t="str">
        <f>'[1]V, inciso o) (OP)'!P261</f>
        <v>RICARDO GONZÁLEZ CARRANZA</v>
      </c>
      <c r="N524" s="14" t="str">
        <f>'[1]V, inciso o) (OP)'!Q261</f>
        <v>GOCR801106234</v>
      </c>
      <c r="O524" s="15">
        <f t="shared" si="11"/>
        <v>445579.2</v>
      </c>
      <c r="P524" s="15">
        <f>O524</f>
        <v>445579.2</v>
      </c>
      <c r="Q524" s="12" t="s">
        <v>508</v>
      </c>
      <c r="R524" s="15">
        <f>H524/1</f>
        <v>445579.2</v>
      </c>
      <c r="S524" s="12" t="s">
        <v>125</v>
      </c>
      <c r="T524" s="17" t="s">
        <v>125</v>
      </c>
      <c r="U524" s="14" t="s">
        <v>43</v>
      </c>
      <c r="V524" s="12" t="s">
        <v>378</v>
      </c>
      <c r="W524" s="13">
        <f>'[1]V, inciso o) (OP)'!AD261</f>
        <v>43019</v>
      </c>
      <c r="X524" s="13">
        <f>'[1]V, inciso o) (OP)'!AE261</f>
        <v>43063</v>
      </c>
      <c r="Y524" s="12" t="s">
        <v>692</v>
      </c>
      <c r="Z524" s="12" t="s">
        <v>693</v>
      </c>
      <c r="AA524" s="12" t="s">
        <v>136</v>
      </c>
      <c r="AB524" s="14" t="s">
        <v>48</v>
      </c>
      <c r="AC524" s="14" t="s">
        <v>48</v>
      </c>
      <c r="AD524" s="14" t="s">
        <v>1571</v>
      </c>
    </row>
    <row r="525" spans="1:30" ht="80.099999999999994" customHeight="1">
      <c r="A525" s="5">
        <v>246</v>
      </c>
      <c r="B525" s="12">
        <v>2017</v>
      </c>
      <c r="C525" s="12" t="s">
        <v>65</v>
      </c>
      <c r="D525" s="14" t="str">
        <f>'[1]V, inciso o) (OP)'!C262</f>
        <v>DOPI-MUN-RM-IM-AD-246-2017</v>
      </c>
      <c r="E525" s="13">
        <f>'[1]V, inciso o) (OP)'!V262</f>
        <v>43039</v>
      </c>
      <c r="F525" s="14" t="str">
        <f>'[1]V, inciso o) (OP)'!AA262</f>
        <v>Remodelación de módulos de baño, construcción de caseta de ingreso y de área de estacionamiento en las oficinas de catastro ubicadas sobre Periférico Norte y Parres Arias, colonia Parque Industrial Los Belenes, municipio de Zapopan, Jalisco.</v>
      </c>
      <c r="G525" s="14" t="s">
        <v>499</v>
      </c>
      <c r="H525" s="15">
        <f>'[1]V, inciso o) (OP)'!Y262</f>
        <v>602304.06000000006</v>
      </c>
      <c r="I525" s="14" t="s">
        <v>1047</v>
      </c>
      <c r="J525" s="14" t="str">
        <f>'[1]V, inciso o) (OP)'!M262</f>
        <v>JESÚS SOCRATES</v>
      </c>
      <c r="K525" s="14" t="str">
        <f>'[1]V, inciso o) (OP)'!N262</f>
        <v>ZATARAIN</v>
      </c>
      <c r="L525" s="14" t="str">
        <f>'[1]V, inciso o) (OP)'!O262</f>
        <v>OROZCO</v>
      </c>
      <c r="M525" s="14" t="str">
        <f>'[1]V, inciso o) (OP)'!P262</f>
        <v>JESÚS SOCRATES ZATARIN OROZCO</v>
      </c>
      <c r="N525" s="14" t="str">
        <f>'[1]V, inciso o) (OP)'!Q262</f>
        <v>ZAOJ8703019N0</v>
      </c>
      <c r="O525" s="15">
        <f t="shared" si="11"/>
        <v>602304.06000000006</v>
      </c>
      <c r="P525" s="15">
        <v>431607.82</v>
      </c>
      <c r="Q525" s="12" t="s">
        <v>1048</v>
      </c>
      <c r="R525" s="15">
        <f>H525/512</f>
        <v>1176.3751171875001</v>
      </c>
      <c r="S525" s="12" t="s">
        <v>42</v>
      </c>
      <c r="T525" s="17">
        <v>1332272</v>
      </c>
      <c r="U525" s="14" t="s">
        <v>43</v>
      </c>
      <c r="V525" s="12" t="s">
        <v>378</v>
      </c>
      <c r="W525" s="13">
        <f>'[1]V, inciso o) (OP)'!AD262</f>
        <v>43040</v>
      </c>
      <c r="X525" s="13">
        <f>'[1]V, inciso o) (OP)'!AE262</f>
        <v>43100</v>
      </c>
      <c r="Y525" s="12" t="s">
        <v>1031</v>
      </c>
      <c r="Z525" s="12" t="s">
        <v>1032</v>
      </c>
      <c r="AA525" s="12" t="s">
        <v>744</v>
      </c>
      <c r="AB525" s="8" t="s">
        <v>1970</v>
      </c>
      <c r="AC525" s="14" t="s">
        <v>48</v>
      </c>
      <c r="AD525" s="14"/>
    </row>
    <row r="526" spans="1:30" ht="80.099999999999994" customHeight="1">
      <c r="A526" s="5">
        <v>247</v>
      </c>
      <c r="B526" s="12">
        <v>2017</v>
      </c>
      <c r="C526" s="12" t="s">
        <v>65</v>
      </c>
      <c r="D526" s="14" t="str">
        <f>'[1]V, inciso o) (OP)'!C263</f>
        <v>DOPI-MUN-R33R-AP-AD-247-2017</v>
      </c>
      <c r="E526" s="13">
        <f>'[1]V, inciso o) (OP)'!V263</f>
        <v>43024</v>
      </c>
      <c r="F526" s="14" t="str">
        <f>'[1]V, inciso o) (OP)'!AA263</f>
        <v>Construcción de red de agua potable en la calle Fresno, de la calle Eucalipto a calle Encino, y calle Ciprés de la calle de los Ocotes a cerrada, en la colonia Lomas del Centinela, municipio de Zapopan, Jalisco.</v>
      </c>
      <c r="G526" s="14" t="s">
        <v>841</v>
      </c>
      <c r="H526" s="15">
        <f>'[1]V, inciso o) (OP)'!Y263</f>
        <v>1020909.89</v>
      </c>
      <c r="I526" s="14" t="s">
        <v>884</v>
      </c>
      <c r="J526" s="14" t="str">
        <f>'[1]V, inciso o) (OP)'!M263</f>
        <v>MARÍA DE LOURDES</v>
      </c>
      <c r="K526" s="14" t="str">
        <f>'[1]V, inciso o) (OP)'!N263</f>
        <v>PARRA</v>
      </c>
      <c r="L526" s="14" t="str">
        <f>'[1]V, inciso o) (OP)'!O263</f>
        <v>PRECIADO</v>
      </c>
      <c r="M526" s="14" t="str">
        <f>'[1]V, inciso o) (OP)'!P263</f>
        <v>CONSTRUCTORA CARVGO, S.A. DE C.V.</v>
      </c>
      <c r="N526" s="14" t="str">
        <f>'[1]V, inciso o) (OP)'!Q263</f>
        <v>CCA121113SY9</v>
      </c>
      <c r="O526" s="15">
        <f t="shared" si="11"/>
        <v>1020909.89</v>
      </c>
      <c r="P526" s="15">
        <f>O526</f>
        <v>1020909.89</v>
      </c>
      <c r="Q526" s="12" t="s">
        <v>1049</v>
      </c>
      <c r="R526" s="15">
        <f>H526/320.08</f>
        <v>3189.5460197450639</v>
      </c>
      <c r="S526" s="12" t="s">
        <v>42</v>
      </c>
      <c r="T526" s="17">
        <v>231</v>
      </c>
      <c r="U526" s="14" t="s">
        <v>43</v>
      </c>
      <c r="V526" s="12" t="s">
        <v>378</v>
      </c>
      <c r="W526" s="13">
        <f>'[1]V, inciso o) (OP)'!AD263</f>
        <v>43025</v>
      </c>
      <c r="X526" s="13">
        <f>'[1]V, inciso o) (OP)'!AE263</f>
        <v>43089</v>
      </c>
      <c r="Y526" s="12" t="s">
        <v>767</v>
      </c>
      <c r="Z526" s="12" t="s">
        <v>843</v>
      </c>
      <c r="AA526" s="12" t="s">
        <v>769</v>
      </c>
      <c r="AB526" s="14" t="s">
        <v>1562</v>
      </c>
      <c r="AC526" s="14" t="s">
        <v>48</v>
      </c>
      <c r="AD526" s="14" t="s">
        <v>1571</v>
      </c>
    </row>
    <row r="527" spans="1:30" ht="80.099999999999994" customHeight="1">
      <c r="A527" s="5">
        <v>248</v>
      </c>
      <c r="B527" s="12">
        <v>2017</v>
      </c>
      <c r="C527" s="12" t="s">
        <v>65</v>
      </c>
      <c r="D527" s="14" t="str">
        <f>'[1]V, inciso o) (OP)'!C264</f>
        <v>DOPI-MUN-RM-IM-AD-248-2017</v>
      </c>
      <c r="E527" s="13">
        <f>'[1]V, inciso o) (OP)'!V264</f>
        <v>43019</v>
      </c>
      <c r="F527" s="14" t="str">
        <f>'[1]V, inciso o) (OP)'!AA264</f>
        <v>Construcción de barda perimetral en el Centro de Desarrollo Comunitario número 2 La Venta del Astillero, ubicado en la localidad de la Venta del Astillero; Construcción de barda perimetral poniente en el panteón municipal ubicado en Atemajac, municipio de Zapopan, Jalisco.</v>
      </c>
      <c r="G527" s="14" t="s">
        <v>499</v>
      </c>
      <c r="H527" s="15">
        <f>'[1]V, inciso o) (OP)'!Y264</f>
        <v>505254.87</v>
      </c>
      <c r="I527" s="14" t="s">
        <v>1050</v>
      </c>
      <c r="J527" s="14" t="str">
        <f>'[1]V, inciso o) (OP)'!M264</f>
        <v>JOSÉ OMAR</v>
      </c>
      <c r="K527" s="14" t="str">
        <f>'[1]V, inciso o) (OP)'!N264</f>
        <v>FERNÁNDEZ</v>
      </c>
      <c r="L527" s="14" t="str">
        <f>'[1]V, inciso o) (OP)'!O264</f>
        <v>VÁZQUEZ</v>
      </c>
      <c r="M527" s="14" t="str">
        <f>'[1]V, inciso o) (OP)'!P264</f>
        <v>JOSÉ OMAR FERNÁNDEZ VÁZQUEZ</v>
      </c>
      <c r="N527" s="14" t="str">
        <f>'[1]V, inciso o) (OP)'!Q264</f>
        <v>FEVO740619686</v>
      </c>
      <c r="O527" s="15">
        <f t="shared" si="11"/>
        <v>505254.87</v>
      </c>
      <c r="P527" s="15">
        <v>318345.94</v>
      </c>
      <c r="Q527" s="12" t="s">
        <v>1051</v>
      </c>
      <c r="R527" s="15">
        <f>H527/18</f>
        <v>28069.715</v>
      </c>
      <c r="S527" s="12" t="s">
        <v>42</v>
      </c>
      <c r="T527" s="17">
        <v>899</v>
      </c>
      <c r="U527" s="14" t="s">
        <v>43</v>
      </c>
      <c r="V527" s="12" t="s">
        <v>44</v>
      </c>
      <c r="W527" s="13">
        <f>'[1]V, inciso o) (OP)'!AD264</f>
        <v>43024</v>
      </c>
      <c r="X527" s="13">
        <f>'[1]V, inciso o) (OP)'!AE264</f>
        <v>43054</v>
      </c>
      <c r="Y527" s="12" t="s">
        <v>399</v>
      </c>
      <c r="Z527" s="12" t="s">
        <v>284</v>
      </c>
      <c r="AA527" s="12" t="s">
        <v>81</v>
      </c>
      <c r="AB527" s="8" t="s">
        <v>1971</v>
      </c>
      <c r="AC527" s="14" t="s">
        <v>48</v>
      </c>
      <c r="AD527" s="14"/>
    </row>
    <row r="528" spans="1:30" ht="80.099999999999994" customHeight="1">
      <c r="A528" s="5">
        <v>252</v>
      </c>
      <c r="B528" s="12">
        <v>2017</v>
      </c>
      <c r="C528" s="12" t="s">
        <v>65</v>
      </c>
      <c r="D528" s="14" t="str">
        <f>'[1]V, inciso o) (OP)'!C265</f>
        <v>DOPI-MUN-R33R-ELE-AD-252-2017</v>
      </c>
      <c r="E528" s="13">
        <f>'[1]V, inciso o) (OP)'!V265</f>
        <v>43018</v>
      </c>
      <c r="F528" s="14" t="str">
        <f>'[1]V, inciso o) (OP)'!AA265</f>
        <v>Electrificación en las calles Sauce, Ceiba, Pirul y Santa Lucía en la colonia Jardines del Álamo, municipio de Zapopan, Jalisco.</v>
      </c>
      <c r="G528" s="14" t="s">
        <v>841</v>
      </c>
      <c r="H528" s="15">
        <f>'[1]V, inciso o) (OP)'!Y265</f>
        <v>393288.1</v>
      </c>
      <c r="I528" s="14" t="s">
        <v>1052</v>
      </c>
      <c r="J528" s="14" t="str">
        <f>'[1]V, inciso o) (OP)'!M265</f>
        <v>JOSÉ DE JESÚS</v>
      </c>
      <c r="K528" s="14" t="str">
        <f>'[1]V, inciso o) (OP)'!N265</f>
        <v>PALAFOX</v>
      </c>
      <c r="L528" s="14" t="str">
        <f>'[1]V, inciso o) (OP)'!O265</f>
        <v>VILLEGAS</v>
      </c>
      <c r="M528" s="14" t="str">
        <f>'[1]V, inciso o) (OP)'!P265</f>
        <v>MEGAENLACE CONSTRUCCIÓNES S.A. DE C.V.</v>
      </c>
      <c r="N528" s="14" t="str">
        <f>'[1]V, inciso o) (OP)'!Q265</f>
        <v>MCO1510113H8</v>
      </c>
      <c r="O528" s="15">
        <f t="shared" si="11"/>
        <v>393288.1</v>
      </c>
      <c r="P528" s="15">
        <v>393288.09</v>
      </c>
      <c r="Q528" s="12" t="s">
        <v>1053</v>
      </c>
      <c r="R528" s="15">
        <f>H528/206</f>
        <v>1909.1655339805825</v>
      </c>
      <c r="S528" s="12" t="s">
        <v>42</v>
      </c>
      <c r="T528" s="17">
        <v>352</v>
      </c>
      <c r="U528" s="14" t="s">
        <v>43</v>
      </c>
      <c r="V528" s="12" t="s">
        <v>378</v>
      </c>
      <c r="W528" s="13">
        <f>'[1]V, inciso o) (OP)'!AD265</f>
        <v>43024</v>
      </c>
      <c r="X528" s="13">
        <f>'[1]V, inciso o) (OP)'!AE265</f>
        <v>43084</v>
      </c>
      <c r="Y528" s="12" t="s">
        <v>408</v>
      </c>
      <c r="Z528" s="12" t="s">
        <v>301</v>
      </c>
      <c r="AA528" s="12" t="s">
        <v>518</v>
      </c>
      <c r="AB528" s="14" t="s">
        <v>1563</v>
      </c>
      <c r="AC528" s="14" t="s">
        <v>48</v>
      </c>
      <c r="AD528" s="14"/>
    </row>
    <row r="529" spans="1:30" ht="80.099999999999994" customHeight="1">
      <c r="A529" s="5">
        <v>253</v>
      </c>
      <c r="B529" s="12">
        <v>2017</v>
      </c>
      <c r="C529" s="12" t="s">
        <v>65</v>
      </c>
      <c r="D529" s="14" t="str">
        <f>'[1]V, inciso o) (OP)'!C266</f>
        <v>DOPI-MUN-R33R-ELE-AD-253-2017</v>
      </c>
      <c r="E529" s="13">
        <f>'[1]V, inciso o) (OP)'!V266</f>
        <v>43021</v>
      </c>
      <c r="F529" s="14" t="str">
        <f>'[1]V, inciso o) (OP)'!AA266</f>
        <v>Construcción de electrificación y servicios complementarios en las calles Eucalipto de Fresno a Luis Tejeda, Ciprés de Azteca a Camino a la Meza, Aztecas de Ciprés a Roble, Daniel Duarte de Eucalipto a la Meza, Humberto Chavira de Eucalipto a camino a la Meza, Las Torres de las Palmas a Carlos Rivera Aceves, José Bañuelos Guardado de las Torres a Humberto Chavira en la colonia Lomas de Centinela, municipio de Zapopan, Jalisco.</v>
      </c>
      <c r="G529" s="14" t="s">
        <v>841</v>
      </c>
      <c r="H529" s="15">
        <f>'[1]V, inciso o) (OP)'!Y266</f>
        <v>868664.89</v>
      </c>
      <c r="I529" s="14" t="s">
        <v>884</v>
      </c>
      <c r="J529" s="14" t="str">
        <f>'[1]V, inciso o) (OP)'!M266</f>
        <v>JOSÉ DE JESÚS</v>
      </c>
      <c r="K529" s="14" t="str">
        <f>'[1]V, inciso o) (OP)'!N266</f>
        <v>MARQUEZ</v>
      </c>
      <c r="L529" s="14" t="str">
        <f>'[1]V, inciso o) (OP)'!O266</f>
        <v>ÁVILA</v>
      </c>
      <c r="M529" s="14" t="str">
        <f>'[1]V, inciso o) (OP)'!P266</f>
        <v>FUTUROBRAS, S.A. DE C.V.</v>
      </c>
      <c r="N529" s="14" t="str">
        <f>'[1]V, inciso o) (OP)'!Q266</f>
        <v>FUT1110275V9</v>
      </c>
      <c r="O529" s="15">
        <f t="shared" si="11"/>
        <v>868664.89</v>
      </c>
      <c r="P529" s="15">
        <v>729508.92</v>
      </c>
      <c r="Q529" s="12" t="s">
        <v>1054</v>
      </c>
      <c r="R529" s="15">
        <f>H529/250</f>
        <v>3474.6595600000001</v>
      </c>
      <c r="S529" s="12" t="s">
        <v>42</v>
      </c>
      <c r="T529" s="17">
        <v>291</v>
      </c>
      <c r="U529" s="14" t="s">
        <v>43</v>
      </c>
      <c r="V529" s="12" t="s">
        <v>44</v>
      </c>
      <c r="W529" s="13">
        <f>'[1]V, inciso o) (OP)'!AD266</f>
        <v>43024</v>
      </c>
      <c r="X529" s="13">
        <f>'[1]V, inciso o) (OP)'!AE266</f>
        <v>43084</v>
      </c>
      <c r="Y529" s="12" t="s">
        <v>408</v>
      </c>
      <c r="Z529" s="12" t="s">
        <v>301</v>
      </c>
      <c r="AA529" s="12" t="s">
        <v>518</v>
      </c>
      <c r="AB529" s="14" t="s">
        <v>1564</v>
      </c>
      <c r="AC529" s="14" t="s">
        <v>125</v>
      </c>
      <c r="AD529" s="14"/>
    </row>
    <row r="530" spans="1:30" ht="80.099999999999994" customHeight="1">
      <c r="A530" s="5">
        <v>254</v>
      </c>
      <c r="B530" s="12">
        <v>2017</v>
      </c>
      <c r="C530" s="14" t="str">
        <f>'[1]V, inciso p) (OP)'!B270</f>
        <v>Licitación Pública</v>
      </c>
      <c r="D530" s="14" t="str">
        <f>'[1]V, inciso p) (OP)'!D270</f>
        <v>DOPI-MUN-PP-PAV-LP-254-2017</v>
      </c>
      <c r="E530" s="13">
        <f>'[1]V, inciso p) (OP)'!AD270</f>
        <v>43089</v>
      </c>
      <c r="F530" s="14" t="str">
        <f>'[1]V, inciso p) (OP)'!AL270</f>
        <v>Pavimentación con concreto hidráulico en la Av. Guadalajara de Av. Juan Gil Preciado a Av. Ángel Leaño primera etapa, incluye: agua potable, drenaje sanitario, drenaje pluvial, guarniciones, banquetas, accesibilidad, media tensión y servicios complementarios, en el municipio de Zapopan, Jalisco, frente 1.</v>
      </c>
      <c r="G530" s="14" t="str">
        <f>'[1]V, inciso p) (OP)'!AR270</f>
        <v>Presupuesto Participativo</v>
      </c>
      <c r="H530" s="15">
        <f>'[1]V, inciso p) (OP)'!AJ270</f>
        <v>13313205.59</v>
      </c>
      <c r="I530" s="14" t="str">
        <f>'[1]V, inciso p) (OP)'!AS270</f>
        <v>Colonia Nuevo México</v>
      </c>
      <c r="J530" s="14" t="str">
        <f>'[1]V, inciso p) (OP)'!T270</f>
        <v>IGNACIO JAVIER</v>
      </c>
      <c r="K530" s="14" t="str">
        <f>'[1]V, inciso p) (OP)'!U270</f>
        <v>CURIEL</v>
      </c>
      <c r="L530" s="14" t="str">
        <f>'[1]V, inciso p) (OP)'!V270</f>
        <v>DUEÑAS</v>
      </c>
      <c r="M530" s="14" t="str">
        <f>'[1]V, inciso p) (OP)'!W270</f>
        <v>TC CONSTRUCCIÓN Y MANTENIMIENTO, S.A. DE C.V.</v>
      </c>
      <c r="N530" s="14" t="str">
        <f>'[1]V, inciso p) (OP)'!X270</f>
        <v>TCM100915HA1</v>
      </c>
      <c r="O530" s="15">
        <f t="shared" si="11"/>
        <v>13313205.59</v>
      </c>
      <c r="P530" s="15">
        <f>O530</f>
        <v>13313205.59</v>
      </c>
      <c r="Q530" s="12" t="s">
        <v>1055</v>
      </c>
      <c r="R530" s="15">
        <f>H530/7316</f>
        <v>1819.7383255877528</v>
      </c>
      <c r="S530" s="12" t="s">
        <v>42</v>
      </c>
      <c r="T530" s="17">
        <v>23156</v>
      </c>
      <c r="U530" s="14" t="s">
        <v>43</v>
      </c>
      <c r="V530" s="12" t="s">
        <v>378</v>
      </c>
      <c r="W530" s="13">
        <f>'[1]V, inciso p) (OP)'!AM270</f>
        <v>43089</v>
      </c>
      <c r="X530" s="13">
        <f>'[1]V, inciso p) (OP)'!AN270</f>
        <v>43237</v>
      </c>
      <c r="Y530" s="12" t="s">
        <v>1056</v>
      </c>
      <c r="Z530" s="12" t="s">
        <v>1057</v>
      </c>
      <c r="AA530" s="12" t="s">
        <v>316</v>
      </c>
      <c r="AB530" s="14" t="s">
        <v>48</v>
      </c>
      <c r="AC530" s="14" t="s">
        <v>48</v>
      </c>
      <c r="AD530" s="14" t="s">
        <v>1571</v>
      </c>
    </row>
    <row r="531" spans="1:30" ht="80.099999999999994" customHeight="1">
      <c r="A531" s="5">
        <v>255</v>
      </c>
      <c r="B531" s="12">
        <v>2017</v>
      </c>
      <c r="C531" s="14" t="str">
        <f>'[1]V, inciso p) (OP)'!B271</f>
        <v>Licitación Pública</v>
      </c>
      <c r="D531" s="14" t="str">
        <f>'[1]V, inciso p) (OP)'!D271</f>
        <v>DOPI-MUN-PP-PAV-LP-255-2017</v>
      </c>
      <c r="E531" s="13">
        <f>'[1]V, inciso p) (OP)'!AD271</f>
        <v>43089</v>
      </c>
      <c r="F531" s="14" t="str">
        <f>'[1]V, inciso p) (OP)'!AL271</f>
        <v>Pavimentación con concreto hidráulico en la Av. Guadalajara de Av. Juan Gil Preciado a Av. Ángel Leaño primera etapa, incluye: agua potable, drenaje sanitario, drenaje pluvial, guarniciones, banquetas, accesibilidad, media tensión y servicios complementarios, en el municipio de Zapopan, Jalisco, frente 2.</v>
      </c>
      <c r="G531" s="14" t="str">
        <f>'[1]V, inciso p) (OP)'!AR271</f>
        <v>Presupuesto Participativo</v>
      </c>
      <c r="H531" s="15">
        <f>'[1]V, inciso p) (OP)'!AJ271</f>
        <v>13297445.710000001</v>
      </c>
      <c r="I531" s="14" t="str">
        <f>'[1]V, inciso p) (OP)'!AS271</f>
        <v>Colonia Nuevo México</v>
      </c>
      <c r="J531" s="14" t="str">
        <f>'[1]V, inciso p) (OP)'!T271</f>
        <v>ARTURO</v>
      </c>
      <c r="K531" s="14" t="str">
        <f>'[1]V, inciso p) (OP)'!U271</f>
        <v>SARMIENTO</v>
      </c>
      <c r="L531" s="14" t="str">
        <f>'[1]V, inciso p) (OP)'!V271</f>
        <v>SÁNCHEZ</v>
      </c>
      <c r="M531" s="14" t="str">
        <f>'[1]V, inciso p) (OP)'!W271</f>
        <v>CONSTRUBRAVO, S.A. DE C.V.</v>
      </c>
      <c r="N531" s="14" t="str">
        <f>'[1]V, inciso p) (OP)'!X271</f>
        <v>CON020208696</v>
      </c>
      <c r="O531" s="15">
        <f t="shared" si="11"/>
        <v>13297445.710000001</v>
      </c>
      <c r="P531" s="15">
        <f>O531</f>
        <v>13297445.710000001</v>
      </c>
      <c r="Q531" s="12" t="s">
        <v>1055</v>
      </c>
      <c r="R531" s="15">
        <f>H531/7316</f>
        <v>1817.5841593767086</v>
      </c>
      <c r="S531" s="12" t="s">
        <v>42</v>
      </c>
      <c r="T531" s="17">
        <v>23156</v>
      </c>
      <c r="U531" s="14" t="s">
        <v>43</v>
      </c>
      <c r="V531" s="12" t="s">
        <v>378</v>
      </c>
      <c r="W531" s="13">
        <f>'[1]V, inciso p) (OP)'!AM271</f>
        <v>43089</v>
      </c>
      <c r="X531" s="13">
        <f>'[1]V, inciso p) (OP)'!AN271</f>
        <v>43237</v>
      </c>
      <c r="Y531" s="12" t="s">
        <v>1056</v>
      </c>
      <c r="Z531" s="12" t="s">
        <v>1057</v>
      </c>
      <c r="AA531" s="12" t="s">
        <v>316</v>
      </c>
      <c r="AB531" s="14" t="s">
        <v>1474</v>
      </c>
      <c r="AC531" s="14" t="s">
        <v>48</v>
      </c>
      <c r="AD531" s="14" t="s">
        <v>1571</v>
      </c>
    </row>
    <row r="532" spans="1:30" ht="80.099999999999994" customHeight="1">
      <c r="A532" s="5">
        <v>256</v>
      </c>
      <c r="B532" s="12">
        <v>2017</v>
      </c>
      <c r="C532" s="14" t="str">
        <f>'[1]V, inciso p) (OP)'!B272</f>
        <v>Licitación Pública</v>
      </c>
      <c r="D532" s="14" t="str">
        <f>'[1]V, inciso p) (OP)'!D272</f>
        <v>DOPI-MUN-PP-PAV-LP-256-2017</v>
      </c>
      <c r="E532" s="13">
        <f>'[1]V, inciso p) (OP)'!AD272</f>
        <v>43089</v>
      </c>
      <c r="F532" s="14" t="str">
        <f>'[1]V, inciso p) (OP)'!AL272</f>
        <v>Pavimentación con concreto hidráulico de los carriles centrales en la Av. López Mateos en el tramo de Av. Copérnico a la Av. La Giralda, incluye: infraestructura hidráulica, municipio de Zapopan, Jalisco.</v>
      </c>
      <c r="G532" s="14" t="str">
        <f>'[1]V, inciso p) (OP)'!AR272</f>
        <v>Presupuesto Participativo</v>
      </c>
      <c r="H532" s="15">
        <f>'[1]V, inciso p) (OP)'!AJ272</f>
        <v>24179375.460000001</v>
      </c>
      <c r="I532" s="14" t="str">
        <f>'[1]V, inciso p) (OP)'!AS272</f>
        <v>Colonia La Calma</v>
      </c>
      <c r="J532" s="14" t="str">
        <f>'[1]V, inciso p) (OP)'!T272</f>
        <v>ANA KARINA</v>
      </c>
      <c r="K532" s="14" t="str">
        <f>'[1]V, inciso p) (OP)'!U272</f>
        <v>OJEDA</v>
      </c>
      <c r="L532" s="14" t="str">
        <f>'[1]V, inciso p) (OP)'!V272</f>
        <v>FERRELL</v>
      </c>
      <c r="M532" s="14" t="str">
        <f>'[1]V, inciso p) (OP)'!W272</f>
        <v>KP CONSTRUCTORA E INMOBILIARIA, S.A. DE C.V.</v>
      </c>
      <c r="N532" s="14" t="str">
        <f>'[1]V, inciso p) (OP)'!X272</f>
        <v>KCI120928CD5</v>
      </c>
      <c r="O532" s="15">
        <f t="shared" si="11"/>
        <v>24179375.460000001</v>
      </c>
      <c r="P532" s="15">
        <v>20114602.09</v>
      </c>
      <c r="Q532" s="12" t="s">
        <v>1058</v>
      </c>
      <c r="R532" s="15">
        <f>H532/13920</f>
        <v>1737.024099137931</v>
      </c>
      <c r="S532" s="12" t="s">
        <v>42</v>
      </c>
      <c r="T532" s="17">
        <v>1332272</v>
      </c>
      <c r="U532" s="14" t="s">
        <v>43</v>
      </c>
      <c r="V532" s="12" t="s">
        <v>378</v>
      </c>
      <c r="W532" s="13">
        <f>'[1]V, inciso p) (OP)'!AM272</f>
        <v>43089</v>
      </c>
      <c r="X532" s="13">
        <f>'[1]V, inciso p) (OP)'!AN272</f>
        <v>43192</v>
      </c>
      <c r="Y532" s="12" t="s">
        <v>735</v>
      </c>
      <c r="Z532" s="12" t="s">
        <v>236</v>
      </c>
      <c r="AA532" s="12" t="s">
        <v>147</v>
      </c>
      <c r="AB532" s="14" t="s">
        <v>1475</v>
      </c>
      <c r="AC532" s="14" t="s">
        <v>48</v>
      </c>
      <c r="AD532" s="14"/>
    </row>
    <row r="533" spans="1:30" ht="80.099999999999994" customHeight="1">
      <c r="A533" s="5">
        <v>257</v>
      </c>
      <c r="B533" s="12">
        <v>2017</v>
      </c>
      <c r="C533" s="14" t="str">
        <f>'[1]V, inciso p) (OP)'!B273</f>
        <v>Licitación Pública</v>
      </c>
      <c r="D533" s="14" t="str">
        <f>'[1]V, inciso p) (OP)'!D273</f>
        <v>DOPI-MUN-PP-PAV-LP-257-2017</v>
      </c>
      <c r="E533" s="13">
        <f>'[1]V, inciso p) (OP)'!AD273</f>
        <v>43089</v>
      </c>
      <c r="F533" s="14" t="str">
        <f>'[1]V, inciso p) (OP)'!AL273</f>
        <v>Pavimentación con concreto hidráulico de los carriles centrales en la Av. López Mateos en el tramo de Av. La Giralda al límite municipal, incluye: infraestructura hidráulica, municipio de Zapopan, Jalisco.</v>
      </c>
      <c r="G533" s="14" t="str">
        <f>'[1]V, inciso p) (OP)'!AR273</f>
        <v>Presupuesto Participativo</v>
      </c>
      <c r="H533" s="15">
        <f>'[1]V, inciso p) (OP)'!AJ273</f>
        <v>21165119.91</v>
      </c>
      <c r="I533" s="14" t="str">
        <f>'[1]V, inciso p) (OP)'!AS273</f>
        <v>Colonia Rinconada del Sol</v>
      </c>
      <c r="J533" s="14" t="str">
        <f>'[1]V, inciso p) (OP)'!T273</f>
        <v>ALEJANDRO</v>
      </c>
      <c r="K533" s="14" t="str">
        <f>'[1]V, inciso p) (OP)'!U273</f>
        <v>GUEVARA</v>
      </c>
      <c r="L533" s="14" t="str">
        <f>'[1]V, inciso p) (OP)'!V273</f>
        <v>CASTELLANOS</v>
      </c>
      <c r="M533" s="14" t="str">
        <f>'[1]V, inciso p) (OP)'!W273</f>
        <v>URBANIZACION Y CONSTRUCCIÓN AVANZADA, S.A. DE C.V.</v>
      </c>
      <c r="N533" s="14" t="str">
        <f>'[1]V, inciso p) (OP)'!X273</f>
        <v>UCA0207107X6</v>
      </c>
      <c r="O533" s="15">
        <f t="shared" si="11"/>
        <v>21165119.91</v>
      </c>
      <c r="P533" s="15">
        <v>20174498.390000001</v>
      </c>
      <c r="Q533" s="12" t="s">
        <v>1059</v>
      </c>
      <c r="R533" s="15">
        <f>H533/12112</f>
        <v>1747.4504549207397</v>
      </c>
      <c r="S533" s="12" t="s">
        <v>42</v>
      </c>
      <c r="T533" s="17">
        <v>1332272</v>
      </c>
      <c r="U533" s="14" t="s">
        <v>43</v>
      </c>
      <c r="V533" s="12" t="s">
        <v>378</v>
      </c>
      <c r="W533" s="13">
        <f>'[1]V, inciso p) (OP)'!AM273</f>
        <v>43089</v>
      </c>
      <c r="X533" s="13">
        <f>'[1]V, inciso p) (OP)'!AN273</f>
        <v>43192</v>
      </c>
      <c r="Y533" s="12" t="s">
        <v>735</v>
      </c>
      <c r="Z533" s="12" t="s">
        <v>236</v>
      </c>
      <c r="AA533" s="12" t="s">
        <v>147</v>
      </c>
      <c r="AB533" s="14" t="s">
        <v>1476</v>
      </c>
      <c r="AC533" s="14" t="s">
        <v>48</v>
      </c>
      <c r="AD533" s="14"/>
    </row>
    <row r="534" spans="1:30" ht="80.099999999999994" customHeight="1">
      <c r="A534" s="5">
        <v>258</v>
      </c>
      <c r="B534" s="12">
        <v>2017</v>
      </c>
      <c r="C534" s="14" t="str">
        <f>'[1]V, inciso p) (OP)'!B274</f>
        <v>Licitación Pública</v>
      </c>
      <c r="D534" s="14" t="str">
        <f>'[1]V, inciso p) (OP)'!D274</f>
        <v>DOPI-MUN-CUSMAX-PAV-LP-258-2017</v>
      </c>
      <c r="E534" s="13">
        <f>'[1]V, inciso p) (OP)'!AD274</f>
        <v>43089</v>
      </c>
      <c r="F534" s="14" t="str">
        <f>'[1]V, inciso p) (OP)'!AL274</f>
        <v>Construcción de crucero seguro en Av. Patria con Av. Puerta de Hierro - San Florencio -Paseo Royal Country, municipio de Zapopan, Jalisco.</v>
      </c>
      <c r="G534" s="14" t="str">
        <f>'[1]V, inciso p) (OP)'!AR274</f>
        <v>Cusmax 2017</v>
      </c>
      <c r="H534" s="15">
        <f>'[1]V, inciso p) (OP)'!AJ274</f>
        <v>5743782.21</v>
      </c>
      <c r="I534" s="14" t="str">
        <f>'[1]V, inciso p) (OP)'!AS274</f>
        <v>Colonia San Bernardo</v>
      </c>
      <c r="J534" s="14" t="str">
        <f>'[1]V, inciso p) (OP)'!T274</f>
        <v>OMAR</v>
      </c>
      <c r="K534" s="14" t="str">
        <f>'[1]V, inciso p) (OP)'!U274</f>
        <v>MORA</v>
      </c>
      <c r="L534" s="14" t="str">
        <f>'[1]V, inciso p) (OP)'!V274</f>
        <v>MONTES DE OCA</v>
      </c>
      <c r="M534" s="14" t="str">
        <f>'[1]V, inciso p) (OP)'!W274</f>
        <v>DOMMONT CONSTRUCCIÓNES, S.A. DE C.V.</v>
      </c>
      <c r="N534" s="14" t="str">
        <f>'[1]V, inciso p) (OP)'!X274</f>
        <v>DCO130215C16</v>
      </c>
      <c r="O534" s="15">
        <f t="shared" si="11"/>
        <v>5743782.21</v>
      </c>
      <c r="P534" s="15">
        <f t="shared" ref="P534:P539" si="12">O534</f>
        <v>5743782.21</v>
      </c>
      <c r="Q534" s="12" t="s">
        <v>1060</v>
      </c>
      <c r="R534" s="15">
        <f>H534/3608</f>
        <v>1591.9573752771619</v>
      </c>
      <c r="S534" s="12" t="s">
        <v>42</v>
      </c>
      <c r="T534" s="17">
        <v>362158</v>
      </c>
      <c r="U534" s="14" t="s">
        <v>43</v>
      </c>
      <c r="V534" s="12" t="s">
        <v>378</v>
      </c>
      <c r="W534" s="13">
        <f>'[1]V, inciso p) (OP)'!AM274</f>
        <v>43089</v>
      </c>
      <c r="X534" s="13">
        <f>'[1]V, inciso p) (OP)'!AN274</f>
        <v>43176</v>
      </c>
      <c r="Y534" s="12" t="s">
        <v>322</v>
      </c>
      <c r="Z534" s="12" t="s">
        <v>196</v>
      </c>
      <c r="AA534" s="12" t="s">
        <v>71</v>
      </c>
      <c r="AB534" s="14" t="s">
        <v>1477</v>
      </c>
      <c r="AC534" s="14" t="s">
        <v>48</v>
      </c>
      <c r="AD534" s="14" t="s">
        <v>1571</v>
      </c>
    </row>
    <row r="535" spans="1:30" ht="80.099999999999994" customHeight="1">
      <c r="A535" s="5">
        <v>259</v>
      </c>
      <c r="B535" s="12">
        <v>2017</v>
      </c>
      <c r="C535" s="14" t="str">
        <f>'[1]V, inciso p) (OP)'!B275</f>
        <v>Licitación Pública</v>
      </c>
      <c r="D535" s="14" t="str">
        <f>'[1]V, inciso p) (OP)'!D275</f>
        <v>DOPI-MUN-RM-PAV-LP-259-2017</v>
      </c>
      <c r="E535" s="13">
        <f>'[1]V, inciso p) (OP)'!AD275</f>
        <v>43089</v>
      </c>
      <c r="F535" s="14" t="str">
        <f>'[1]V, inciso p) (OP)'!AL275</f>
        <v>Pavimentación de vialidad Eva Briseño, incluye: guarniciones, banquetas, red de agua potable y alcantarillado y servicios complementarios, en la colonia Santa Fe, municipio de Zapopan, Jalisco. Frente 1.</v>
      </c>
      <c r="G535" s="14" t="str">
        <f>'[1]V, inciso p) (OP)'!AR275</f>
        <v>Recurso Propio</v>
      </c>
      <c r="H535" s="15">
        <f>'[1]V, inciso p) (OP)'!AJ275</f>
        <v>6098017.1100000003</v>
      </c>
      <c r="I535" s="14" t="str">
        <f>'[1]V, inciso p) (OP)'!AS275</f>
        <v>Colonia Guadalajarita</v>
      </c>
      <c r="J535" s="14" t="str">
        <f>'[1]V, inciso p) (OP)'!T275</f>
        <v>ALEX</v>
      </c>
      <c r="K535" s="14" t="str">
        <f>'[1]V, inciso p) (OP)'!U275</f>
        <v>MEDINA</v>
      </c>
      <c r="L535" s="14" t="str">
        <f>'[1]V, inciso p) (OP)'!V275</f>
        <v>GÓMEZ</v>
      </c>
      <c r="M535" s="14" t="str">
        <f>'[1]V, inciso p) (OP)'!W275</f>
        <v>MEDGAR CONSTRUCCIONES, S.A. DE C.V.</v>
      </c>
      <c r="N535" s="14" t="str">
        <f>'[1]V, inciso p) (OP)'!X275</f>
        <v>MCO150527NY3</v>
      </c>
      <c r="O535" s="15">
        <f t="shared" si="11"/>
        <v>6098017.1100000003</v>
      </c>
      <c r="P535" s="15">
        <f t="shared" si="12"/>
        <v>6098017.1100000003</v>
      </c>
      <c r="Q535" s="17" t="s">
        <v>1061</v>
      </c>
      <c r="R535" s="15">
        <f>H535/3013</f>
        <v>2023.9021274477266</v>
      </c>
      <c r="S535" s="12" t="s">
        <v>42</v>
      </c>
      <c r="T535" s="17">
        <v>1332272</v>
      </c>
      <c r="U535" s="14" t="s">
        <v>43</v>
      </c>
      <c r="V535" s="12" t="s">
        <v>378</v>
      </c>
      <c r="W535" s="13">
        <f>'[1]V, inciso p) (OP)'!AM275</f>
        <v>43089</v>
      </c>
      <c r="X535" s="13">
        <f>'[1]V, inciso p) (OP)'!AN275</f>
        <v>43222</v>
      </c>
      <c r="Y535" s="12" t="s">
        <v>439</v>
      </c>
      <c r="Z535" s="12" t="s">
        <v>186</v>
      </c>
      <c r="AA535" s="12" t="s">
        <v>92</v>
      </c>
      <c r="AB535" s="14" t="s">
        <v>1478</v>
      </c>
      <c r="AC535" s="14" t="s">
        <v>48</v>
      </c>
      <c r="AD535" s="14" t="s">
        <v>1571</v>
      </c>
    </row>
    <row r="536" spans="1:30" ht="80.099999999999994" customHeight="1">
      <c r="A536" s="5">
        <v>260</v>
      </c>
      <c r="B536" s="12">
        <v>2017</v>
      </c>
      <c r="C536" s="14" t="str">
        <f>'[1]V, inciso p) (OP)'!B276</f>
        <v>Licitación Pública</v>
      </c>
      <c r="D536" s="14" t="str">
        <f>'[1]V, inciso p) (OP)'!D276</f>
        <v>DOPI-MUN-RM-PAV-LP-260-2017</v>
      </c>
      <c r="E536" s="13">
        <f>'[1]V, inciso p) (OP)'!AD276</f>
        <v>43089</v>
      </c>
      <c r="F536" s="14" t="str">
        <f>'[1]V, inciso p) (OP)'!AL276</f>
        <v>Pavimentación de vialidad Eva Briseño, incluye: guarniciones, banquetas, red de agua potable y alcantarillado y servicios complementarios, en la colonia Santa Fe, municipio de Zapopan, Jalisco. Frente 2.</v>
      </c>
      <c r="G536" s="14" t="str">
        <f>'[1]V, inciso p) (OP)'!AR276</f>
        <v>Recurso Propio</v>
      </c>
      <c r="H536" s="15">
        <f>'[1]V, inciso p) (OP)'!AJ276</f>
        <v>6000654.8899999997</v>
      </c>
      <c r="I536" s="14" t="str">
        <f>'[1]V, inciso p) (OP)'!AS276</f>
        <v>Colonia Guadalajarita</v>
      </c>
      <c r="J536" s="14" t="str">
        <f>'[1]V, inciso p) (OP)'!T276</f>
        <v>ARTURO</v>
      </c>
      <c r="K536" s="14" t="str">
        <f>'[1]V, inciso p) (OP)'!U276</f>
        <v>SARMIENTO</v>
      </c>
      <c r="L536" s="14" t="str">
        <f>'[1]V, inciso p) (OP)'!V276</f>
        <v>SÁNCHEZ</v>
      </c>
      <c r="M536" s="14" t="str">
        <f>'[1]V, inciso p) (OP)'!W276</f>
        <v>CONSTRUBRAVO, S.A. DE C.V.</v>
      </c>
      <c r="N536" s="14" t="str">
        <f>'[1]V, inciso p) (OP)'!X276</f>
        <v>CON020208696</v>
      </c>
      <c r="O536" s="15">
        <f t="shared" si="11"/>
        <v>6000654.8899999997</v>
      </c>
      <c r="P536" s="15">
        <f t="shared" si="12"/>
        <v>6000654.8899999997</v>
      </c>
      <c r="Q536" s="17" t="s">
        <v>1061</v>
      </c>
      <c r="R536" s="15">
        <f>H536/3013</f>
        <v>1991.5880816461997</v>
      </c>
      <c r="S536" s="12" t="s">
        <v>42</v>
      </c>
      <c r="T536" s="17">
        <v>1332272</v>
      </c>
      <c r="U536" s="14" t="s">
        <v>43</v>
      </c>
      <c r="V536" s="12" t="s">
        <v>378</v>
      </c>
      <c r="W536" s="13">
        <f>'[1]V, inciso p) (OP)'!AM276</f>
        <v>43089</v>
      </c>
      <c r="X536" s="13">
        <f>'[1]V, inciso p) (OP)'!AN276</f>
        <v>43253</v>
      </c>
      <c r="Y536" s="12" t="s">
        <v>439</v>
      </c>
      <c r="Z536" s="12" t="s">
        <v>186</v>
      </c>
      <c r="AA536" s="12" t="s">
        <v>92</v>
      </c>
      <c r="AB536" s="14" t="s">
        <v>1479</v>
      </c>
      <c r="AC536" s="14" t="s">
        <v>48</v>
      </c>
      <c r="AD536" s="14" t="s">
        <v>1571</v>
      </c>
    </row>
    <row r="537" spans="1:30" ht="80.099999999999994" customHeight="1">
      <c r="A537" s="5">
        <v>261</v>
      </c>
      <c r="B537" s="12">
        <v>2017</v>
      </c>
      <c r="C537" s="14" t="str">
        <f>'[1]V, inciso p) (OP)'!B277</f>
        <v>Licitación Pública</v>
      </c>
      <c r="D537" s="14" t="str">
        <f>'[1]V, inciso p) (OP)'!D277</f>
        <v>DOPI-MUN-RM-PAV-LP-261-2017</v>
      </c>
      <c r="E537" s="13">
        <f>'[1]V, inciso p) (OP)'!AD277</f>
        <v>43089</v>
      </c>
      <c r="F537" s="14" t="str">
        <f>'[1]V, inciso p) (OP)'!AL277</f>
        <v>Pavimentación de vialidad Eva Briseño, incluye: guarniciones, banquetas, red de agua potable y alcantarillado y servicios complementarios, en la colonia Santa Fe, municipio de Zapopan, Jalisco. Frente 3.</v>
      </c>
      <c r="G537" s="14" t="str">
        <f>'[1]V, inciso p) (OP)'!AR277</f>
        <v>Recurso Propio</v>
      </c>
      <c r="H537" s="15">
        <f>'[1]V, inciso p) (OP)'!AJ277</f>
        <v>6048432.1399999997</v>
      </c>
      <c r="I537" s="14" t="str">
        <f>'[1]V, inciso p) (OP)'!AS277</f>
        <v>Colonia Guadalajarita</v>
      </c>
      <c r="J537" s="14" t="str">
        <f>'[1]V, inciso p) (OP)'!T277</f>
        <v>CARLOS IGNACIO</v>
      </c>
      <c r="K537" s="14" t="str">
        <f>'[1]V, inciso p) (OP)'!U277</f>
        <v>CURIEL</v>
      </c>
      <c r="L537" s="14" t="str">
        <f>'[1]V, inciso p) (OP)'!V277</f>
        <v>DUEÑAS</v>
      </c>
      <c r="M537" s="14" t="str">
        <f>'[1]V, inciso p) (OP)'!W277</f>
        <v>CONSTRUCTORA CECUCHI, S.A. DE C.V.</v>
      </c>
      <c r="N537" s="14" t="str">
        <f>'[1]V, inciso p) (OP)'!X277</f>
        <v>CCE130723IR7</v>
      </c>
      <c r="O537" s="15">
        <f t="shared" si="11"/>
        <v>6048432.1399999997</v>
      </c>
      <c r="P537" s="15">
        <f t="shared" si="12"/>
        <v>6048432.1399999997</v>
      </c>
      <c r="Q537" s="17" t="s">
        <v>1061</v>
      </c>
      <c r="R537" s="15">
        <f>H537/3013</f>
        <v>2007.445117822768</v>
      </c>
      <c r="S537" s="12" t="s">
        <v>42</v>
      </c>
      <c r="T537" s="17">
        <v>1332272</v>
      </c>
      <c r="U537" s="14" t="s">
        <v>43</v>
      </c>
      <c r="V537" s="12" t="s">
        <v>378</v>
      </c>
      <c r="W537" s="13">
        <f>'[1]V, inciso p) (OP)'!AM277</f>
        <v>43089</v>
      </c>
      <c r="X537" s="13">
        <f>'[1]V, inciso p) (OP)'!AN277</f>
        <v>43253</v>
      </c>
      <c r="Y537" s="12" t="s">
        <v>439</v>
      </c>
      <c r="Z537" s="12" t="s">
        <v>186</v>
      </c>
      <c r="AA537" s="12" t="s">
        <v>92</v>
      </c>
      <c r="AB537" s="14" t="s">
        <v>1480</v>
      </c>
      <c r="AC537" s="14" t="s">
        <v>48</v>
      </c>
      <c r="AD537" s="14" t="s">
        <v>1571</v>
      </c>
    </row>
    <row r="538" spans="1:30" ht="80.099999999999994" customHeight="1">
      <c r="A538" s="5">
        <v>262</v>
      </c>
      <c r="B538" s="12">
        <v>2017</v>
      </c>
      <c r="C538" s="14" t="str">
        <f>'[1]V, inciso p) (OP)'!B278</f>
        <v>Licitación Pública</v>
      </c>
      <c r="D538" s="14" t="str">
        <f>'[1]V, inciso p) (OP)'!D278</f>
        <v>DOPI-MUN-RM-PAV-LP-262-2017</v>
      </c>
      <c r="E538" s="13">
        <f>'[1]V, inciso p) (OP)'!AD278</f>
        <v>43089</v>
      </c>
      <c r="F538" s="14" t="str">
        <f>'[1]V, inciso p) (OP)'!AL278</f>
        <v>Pavimentación de vialidad 5 de Mayo de Av. Aviación hacía camino Real a Zapopan, incluye: guarniciones, banquetas, red de agua potable y alcantarillado y servicios complementarios, en la colonia San Juan de Ocotán, municipio de Zapopan, Jalisco. Frente 1.</v>
      </c>
      <c r="G538" s="14" t="str">
        <f>'[1]V, inciso p) (OP)'!AR278</f>
        <v>Recurso Propio</v>
      </c>
      <c r="H538" s="15">
        <f>'[1]V, inciso p) (OP)'!AJ278</f>
        <v>6301736.3099999996</v>
      </c>
      <c r="I538" s="14" t="str">
        <f>'[1]V, inciso p) (OP)'!AS278</f>
        <v>Colonia San Juan de Ocotán</v>
      </c>
      <c r="J538" s="14" t="str">
        <f>'[1]V, inciso p) (OP)'!T278</f>
        <v>HAYDEE LILIANA</v>
      </c>
      <c r="K538" s="14" t="str">
        <f>'[1]V, inciso p) (OP)'!U278</f>
        <v>AGUILAR</v>
      </c>
      <c r="L538" s="14" t="str">
        <f>'[1]V, inciso p) (OP)'!V278</f>
        <v>CASSIAN</v>
      </c>
      <c r="M538" s="14" t="str">
        <f>'[1]V, inciso p) (OP)'!W278</f>
        <v>EDIFICA 2001, S.A. DE C.V.</v>
      </c>
      <c r="N538" s="14" t="str">
        <f>'[1]V, inciso p) (OP)'!X278</f>
        <v>EDM970225I68</v>
      </c>
      <c r="O538" s="15">
        <f t="shared" si="11"/>
        <v>6301736.3099999996</v>
      </c>
      <c r="P538" s="15">
        <f t="shared" si="12"/>
        <v>6301736.3099999996</v>
      </c>
      <c r="Q538" s="12" t="s">
        <v>1062</v>
      </c>
      <c r="R538" s="15">
        <f>H538/3372</f>
        <v>1868.8423220640568</v>
      </c>
      <c r="S538" s="12" t="s">
        <v>42</v>
      </c>
      <c r="T538" s="17">
        <v>6232</v>
      </c>
      <c r="U538" s="14" t="s">
        <v>43</v>
      </c>
      <c r="V538" s="12" t="s">
        <v>378</v>
      </c>
      <c r="W538" s="13">
        <f>'[1]V, inciso p) (OP)'!AM278</f>
        <v>43089</v>
      </c>
      <c r="X538" s="13">
        <f>'[1]V, inciso p) (OP)'!AN278</f>
        <v>43253</v>
      </c>
      <c r="Y538" s="12" t="s">
        <v>399</v>
      </c>
      <c r="Z538" s="12" t="s">
        <v>284</v>
      </c>
      <c r="AA538" s="12" t="s">
        <v>81</v>
      </c>
      <c r="AB538" s="14" t="s">
        <v>1481</v>
      </c>
      <c r="AC538" s="14" t="s">
        <v>48</v>
      </c>
      <c r="AD538" s="14" t="s">
        <v>1571</v>
      </c>
    </row>
    <row r="539" spans="1:30" ht="80.099999999999994" customHeight="1">
      <c r="A539" s="5">
        <v>267</v>
      </c>
      <c r="B539" s="12">
        <v>2017</v>
      </c>
      <c r="C539" s="14" t="str">
        <f>'[1]V, inciso p) (OP)'!B279</f>
        <v>Licitación por Invitación Restringida</v>
      </c>
      <c r="D539" s="14" t="str">
        <f>'[1]V, inciso p) (OP)'!D279</f>
        <v>DOPI-MUN-RM-BAN-CI-267-2017</v>
      </c>
      <c r="E539" s="13">
        <f>'[1]V, inciso p) (OP)'!AD279</f>
        <v>43056</v>
      </c>
      <c r="F539" s="14" t="str">
        <f>'[1]V, inciso p) (OP)'!AL279</f>
        <v>Peatonalización en la Colonia Loma Bonita Residencial, incluye: machuelos, banquetas, accesibilidad, bolardos y nomenclatura, municipio de Zapopan, Jalisco.</v>
      </c>
      <c r="G539" s="14" t="str">
        <f>'[1]V, inciso p) (OP)'!AR279</f>
        <v>Recurso Propio</v>
      </c>
      <c r="H539" s="15">
        <f>'[1]V, inciso p) (OP)'!AJ279</f>
        <v>2199415.2999999998</v>
      </c>
      <c r="I539" s="14" t="str">
        <f>'[1]V, inciso p) (OP)'!AS279</f>
        <v>Colonia Loma Bonita Residencial</v>
      </c>
      <c r="J539" s="14" t="str">
        <f>'[1]V, inciso p) (OP)'!T279</f>
        <v xml:space="preserve">GUILLERMO </v>
      </c>
      <c r="K539" s="14" t="str">
        <f>'[1]V, inciso p) (OP)'!U279</f>
        <v>RODRÍGUEZ</v>
      </c>
      <c r="L539" s="14" t="str">
        <f>'[1]V, inciso p) (OP)'!V279</f>
        <v>MEZA</v>
      </c>
      <c r="M539" s="14" t="str">
        <f>'[1]V, inciso p) (OP)'!W279</f>
        <v>CORPORATIVO ALMIRA DE JALISCO, S.A. DE C.V.</v>
      </c>
      <c r="N539" s="14" t="str">
        <f>'[1]V, inciso p) (OP)'!X279</f>
        <v>CAJ1208151M8</v>
      </c>
      <c r="O539" s="15">
        <f t="shared" si="11"/>
        <v>2199415.2999999998</v>
      </c>
      <c r="P539" s="15">
        <f t="shared" si="12"/>
        <v>2199415.2999999998</v>
      </c>
      <c r="Q539" s="21" t="s">
        <v>1063</v>
      </c>
      <c r="R539" s="22">
        <f>H539/1653.81</f>
        <v>1329.9080910140826</v>
      </c>
      <c r="S539" s="12" t="s">
        <v>42</v>
      </c>
      <c r="T539" s="17">
        <v>2602</v>
      </c>
      <c r="U539" s="14" t="s">
        <v>43</v>
      </c>
      <c r="V539" s="12" t="s">
        <v>378</v>
      </c>
      <c r="W539" s="13">
        <f>'[1]V, inciso p) (OP)'!AM279</f>
        <v>43059</v>
      </c>
      <c r="X539" s="13">
        <f>'[1]V, inciso p) (OP)'!AN279</f>
        <v>43148</v>
      </c>
      <c r="Y539" s="12" t="s">
        <v>380</v>
      </c>
      <c r="Z539" s="12" t="s">
        <v>257</v>
      </c>
      <c r="AA539" s="12" t="s">
        <v>258</v>
      </c>
      <c r="AB539" s="14" t="s">
        <v>1482</v>
      </c>
      <c r="AC539" s="14" t="s">
        <v>48</v>
      </c>
      <c r="AD539" s="14" t="s">
        <v>1571</v>
      </c>
    </row>
    <row r="540" spans="1:30" ht="80.099999999999994" customHeight="1">
      <c r="A540" s="5">
        <v>268</v>
      </c>
      <c r="B540" s="12">
        <v>2017</v>
      </c>
      <c r="C540" s="14" t="str">
        <f>'[1]V, inciso p) (OP)'!B280</f>
        <v>Licitación por Invitación Restringida</v>
      </c>
      <c r="D540" s="14" t="str">
        <f>'[1]V, inciso p) (OP)'!D280</f>
        <v>DOPI-MUN-RM-PAV-CI-268-2017</v>
      </c>
      <c r="E540" s="13">
        <f>'[1]V, inciso p) (OP)'!AD280</f>
        <v>43056</v>
      </c>
      <c r="F540" s="14" t="str">
        <f>'[1]V, inciso p) (OP)'!AL280</f>
        <v>Construcción de pavimento de concreto hidráulico, banquetas, adecuaciones de la red sanitaria e hidráulica, en la Av. D, colonia El Tigre II, municipio de Zapopan, Jalisco, tramo 3.</v>
      </c>
      <c r="G540" s="14" t="str">
        <f>'[1]V, inciso p) (OP)'!AR280</f>
        <v>Recurso Propio</v>
      </c>
      <c r="H540" s="15">
        <f>'[1]V, inciso p) (OP)'!AJ280</f>
        <v>2482599.62</v>
      </c>
      <c r="I540" s="14" t="str">
        <f>'[1]V, inciso p) (OP)'!AS280</f>
        <v>Colonia El Tigre II</v>
      </c>
      <c r="J540" s="14" t="str">
        <f>'[1]V, inciso p) (OP)'!T280</f>
        <v>JOEL</v>
      </c>
      <c r="K540" s="14" t="str">
        <f>'[1]V, inciso p) (OP)'!U280</f>
        <v>ZULOAGA</v>
      </c>
      <c r="L540" s="14" t="str">
        <f>'[1]V, inciso p) (OP)'!V280</f>
        <v>ACEVES</v>
      </c>
      <c r="M540" s="14" t="str">
        <f>'[1]V, inciso p) (OP)'!W280</f>
        <v>TASUM SOLUCIONES EN CONSTRUCCIÓN, S.A. DE C.V.</v>
      </c>
      <c r="N540" s="14" t="str">
        <f>'[1]V, inciso p) (OP)'!X280</f>
        <v>TSC100210E48</v>
      </c>
      <c r="O540" s="15">
        <f t="shared" si="11"/>
        <v>2482599.62</v>
      </c>
      <c r="P540" s="15">
        <v>2304258.9899999998</v>
      </c>
      <c r="Q540" s="21" t="s">
        <v>1064</v>
      </c>
      <c r="R540" s="22">
        <f>H540/2670</f>
        <v>929.81259176029971</v>
      </c>
      <c r="S540" s="12" t="s">
        <v>42</v>
      </c>
      <c r="T540" s="17">
        <v>365</v>
      </c>
      <c r="U540" s="14" t="s">
        <v>43</v>
      </c>
      <c r="V540" s="12" t="s">
        <v>44</v>
      </c>
      <c r="W540" s="13">
        <f>'[1]V, inciso p) (OP)'!AM280</f>
        <v>43059</v>
      </c>
      <c r="X540" s="13">
        <f>'[1]V, inciso p) (OP)'!AN280</f>
        <v>43105</v>
      </c>
      <c r="Y540" s="12" t="s">
        <v>385</v>
      </c>
      <c r="Z540" s="12" t="s">
        <v>46</v>
      </c>
      <c r="AA540" s="12" t="s">
        <v>47</v>
      </c>
      <c r="AB540" s="14" t="s">
        <v>1483</v>
      </c>
      <c r="AC540" s="14" t="s">
        <v>125</v>
      </c>
      <c r="AD540" s="14"/>
    </row>
    <row r="541" spans="1:30" ht="80.099999999999994" customHeight="1">
      <c r="A541" s="5">
        <v>269</v>
      </c>
      <c r="B541" s="12">
        <v>2017</v>
      </c>
      <c r="C541" s="14" t="str">
        <f>'[1]V, inciso p) (OP)'!B281</f>
        <v>Licitación por Invitación Restringida</v>
      </c>
      <c r="D541" s="14" t="str">
        <f>'[1]V, inciso p) (OP)'!D281</f>
        <v>DOPI-MUN-CUSMAX-BAN-CI-269-2017</v>
      </c>
      <c r="E541" s="13">
        <f>'[1]V, inciso p) (OP)'!AD281</f>
        <v>43056</v>
      </c>
      <c r="F541" s="14" t="str">
        <f>'[1]V, inciso p) (OP)'!AL281</f>
        <v>Primera etapa de la peatonalización en la colonia Residencial Victoria (incluye: machuelos, banquetas, accesibilidad universal, bolardos y nomenclatura), municipio de Zapopan, Jalisco.</v>
      </c>
      <c r="G541" s="14" t="str">
        <f>'[1]V, inciso p) (OP)'!AR281</f>
        <v>Cusmax 2017</v>
      </c>
      <c r="H541" s="15">
        <f>'[1]V, inciso p) (OP)'!AJ281</f>
        <v>1924671.62</v>
      </c>
      <c r="I541" s="14" t="str">
        <f>'[1]V, inciso p) (OP)'!AS281</f>
        <v>Colonia Residencial Victoria</v>
      </c>
      <c r="J541" s="14" t="str">
        <f>'[1]V, inciso p) (OP)'!T281</f>
        <v>HÉCTOR MARIO</v>
      </c>
      <c r="K541" s="14" t="str">
        <f>'[1]V, inciso p) (OP)'!U281</f>
        <v>GÓMEZ</v>
      </c>
      <c r="L541" s="14" t="str">
        <f>'[1]V, inciso p) (OP)'!V281</f>
        <v>GALVARRIATO FREER</v>
      </c>
      <c r="M541" s="14" t="str">
        <f>'[1]V, inciso p) (OP)'!W281</f>
        <v>ESPECIALISTAS EN ACABADOS PROFESIONALES, S.A DE C.V.</v>
      </c>
      <c r="N541" s="14" t="str">
        <f>'[1]V, inciso p) (OP)'!X281</f>
        <v>EAP000106BW7</v>
      </c>
      <c r="O541" s="15">
        <f t="shared" si="11"/>
        <v>1924671.62</v>
      </c>
      <c r="P541" s="15">
        <v>1879699.65</v>
      </c>
      <c r="Q541" s="21" t="s">
        <v>1065</v>
      </c>
      <c r="R541" s="22">
        <f>H541/1402.53</f>
        <v>1372.2855268693006</v>
      </c>
      <c r="S541" s="12" t="s">
        <v>42</v>
      </c>
      <c r="T541" s="17">
        <v>1265</v>
      </c>
      <c r="U541" s="14" t="s">
        <v>43</v>
      </c>
      <c r="V541" s="12" t="s">
        <v>378</v>
      </c>
      <c r="W541" s="13">
        <f>'[1]V, inciso p) (OP)'!AM281</f>
        <v>43059</v>
      </c>
      <c r="X541" s="13">
        <f>'[1]V, inciso p) (OP)'!AN281</f>
        <v>43148</v>
      </c>
      <c r="Y541" s="12" t="s">
        <v>492</v>
      </c>
      <c r="Z541" s="12" t="s">
        <v>96</v>
      </c>
      <c r="AA541" s="12" t="s">
        <v>963</v>
      </c>
      <c r="AB541" s="14" t="s">
        <v>1484</v>
      </c>
      <c r="AC541" s="14" t="s">
        <v>48</v>
      </c>
      <c r="AD541" s="14"/>
    </row>
    <row r="542" spans="1:30" ht="80.099999999999994" customHeight="1">
      <c r="A542" s="5">
        <v>270</v>
      </c>
      <c r="B542" s="12">
        <v>2017</v>
      </c>
      <c r="C542" s="14" t="str">
        <f>'[1]V, inciso p) (OP)'!B282</f>
        <v>Licitación por Invitación Restringida</v>
      </c>
      <c r="D542" s="14" t="str">
        <f>'[1]V, inciso p) (OP)'!D282</f>
        <v>DOPI-MUN-PP-IU-CI-270-2017</v>
      </c>
      <c r="E542" s="13">
        <f>'[1]V, inciso p) (OP)'!AD282</f>
        <v>43056</v>
      </c>
      <c r="F542" s="14" t="str">
        <f>'[1]V, inciso p) (OP)'!AL282</f>
        <v>Rehabilitación del área infantil del Parque Villa Fantasía, municipio de Zapopan, Jalisco. Primera Etapa.</v>
      </c>
      <c r="G542" s="14" t="str">
        <f>'[1]V, inciso p) (OP)'!AR282</f>
        <v>Presupuesto Participativo</v>
      </c>
      <c r="H542" s="15">
        <f>'[1]V, inciso p) (OP)'!AJ282</f>
        <v>2996415.13</v>
      </c>
      <c r="I542" s="14" t="str">
        <f>'[1]V, inciso p) (OP)'!AS282</f>
        <v>Colonia Tepeyac</v>
      </c>
      <c r="J542" s="14" t="str">
        <f>'[1]V, inciso p) (OP)'!T282</f>
        <v>JORGE ALFREDO</v>
      </c>
      <c r="K542" s="14" t="str">
        <f>'[1]V, inciso p) (OP)'!U282</f>
        <v>OCHOA</v>
      </c>
      <c r="L542" s="14" t="str">
        <f>'[1]V, inciso p) (OP)'!V282</f>
        <v>GONZÁLEZ</v>
      </c>
      <c r="M542" s="14" t="str">
        <f>'[1]V, inciso p) (OP)'!W282</f>
        <v>AEDIFICANT, S.A. DE C.V.</v>
      </c>
      <c r="N542" s="14" t="str">
        <f>'[1]V, inciso p) (OP)'!X282</f>
        <v>AED890925181</v>
      </c>
      <c r="O542" s="15">
        <f t="shared" si="11"/>
        <v>2996415.13</v>
      </c>
      <c r="P542" s="15">
        <f>O542</f>
        <v>2996415.13</v>
      </c>
      <c r="Q542" s="21" t="s">
        <v>1066</v>
      </c>
      <c r="R542" s="22">
        <f>H542/1896.15</f>
        <v>1580.2627060095456</v>
      </c>
      <c r="S542" s="12" t="s">
        <v>42</v>
      </c>
      <c r="T542" s="17">
        <v>1332272</v>
      </c>
      <c r="U542" s="14" t="s">
        <v>43</v>
      </c>
      <c r="V542" s="12" t="s">
        <v>378</v>
      </c>
      <c r="W542" s="13">
        <f>'[1]V, inciso p) (OP)'!AM282</f>
        <v>43059</v>
      </c>
      <c r="X542" s="13">
        <f>'[1]V, inciso p) (OP)'!AN282</f>
        <v>43148</v>
      </c>
      <c r="Y542" s="12" t="s">
        <v>854</v>
      </c>
      <c r="Z542" s="12" t="s">
        <v>455</v>
      </c>
      <c r="AA542" s="12" t="s">
        <v>456</v>
      </c>
      <c r="AB542" s="14" t="s">
        <v>1485</v>
      </c>
      <c r="AC542" s="14" t="s">
        <v>48</v>
      </c>
      <c r="AD542" s="14" t="s">
        <v>1571</v>
      </c>
    </row>
    <row r="543" spans="1:30" ht="80.099999999999994" customHeight="1">
      <c r="A543" s="5">
        <v>271</v>
      </c>
      <c r="B543" s="12">
        <v>2017</v>
      </c>
      <c r="C543" s="14" t="str">
        <f>'[1]V, inciso p) (OP)'!B283</f>
        <v>Licitación por Invitación Restringida</v>
      </c>
      <c r="D543" s="14" t="str">
        <f>'[1]V, inciso p) (OP)'!D283</f>
        <v>DOPI-MUN-CUSMAX-PAV-CI-271-2017</v>
      </c>
      <c r="E543" s="13">
        <f>'[1]V, inciso p) (OP)'!AD283</f>
        <v>43056</v>
      </c>
      <c r="F543" s="14" t="str">
        <f>'[1]V, inciso p) (OP)'!AL283</f>
        <v>Construcción de Puente Vehicular Colonia La Higuera, municipio de Zapopan, Jalisco.</v>
      </c>
      <c r="G543" s="14" t="str">
        <f>'[1]V, inciso p) (OP)'!AR283</f>
        <v>Cusmax 2017</v>
      </c>
      <c r="H543" s="15">
        <f>'[1]V, inciso p) (OP)'!AJ283</f>
        <v>3720532.52</v>
      </c>
      <c r="I543" s="14" t="str">
        <f>'[1]V, inciso p) (OP)'!AS283</f>
        <v>Colonia La Higuera</v>
      </c>
      <c r="J543" s="14" t="str">
        <f>'[1]V, inciso p) (OP)'!T283</f>
        <v>VICTOR</v>
      </c>
      <c r="K543" s="14" t="str">
        <f>'[1]V, inciso p) (OP)'!U283</f>
        <v>ZAYAS</v>
      </c>
      <c r="L543" s="14" t="str">
        <f>'[1]V, inciso p) (OP)'!V283</f>
        <v>RIQUELME</v>
      </c>
      <c r="M543" s="14" t="str">
        <f>'[1]V, inciso p) (OP)'!W283</f>
        <v>GEMINIS INTERNACIONAL CONSTRUCTORA, S.A. DE C.V.</v>
      </c>
      <c r="N543" s="14" t="str">
        <f>'[1]V, inciso p) (OP)'!X283</f>
        <v>GIC810323RA6</v>
      </c>
      <c r="O543" s="15">
        <f t="shared" si="11"/>
        <v>3720532.52</v>
      </c>
      <c r="P543" s="15">
        <v>2844117.18</v>
      </c>
      <c r="Q543" s="21" t="s">
        <v>1067</v>
      </c>
      <c r="R543" s="22">
        <f>H543/872.01</f>
        <v>4266.6168048531554</v>
      </c>
      <c r="S543" s="12" t="s">
        <v>42</v>
      </c>
      <c r="T543" s="17">
        <v>695</v>
      </c>
      <c r="U543" s="14" t="s">
        <v>43</v>
      </c>
      <c r="V543" s="12" t="s">
        <v>378</v>
      </c>
      <c r="W543" s="13">
        <f>'[1]V, inciso p) (OP)'!AM283</f>
        <v>43059</v>
      </c>
      <c r="X543" s="13">
        <f>'[1]V, inciso p) (OP)'!AN283</f>
        <v>43148</v>
      </c>
      <c r="Y543" s="12" t="s">
        <v>399</v>
      </c>
      <c r="Z543" s="12" t="s">
        <v>284</v>
      </c>
      <c r="AA543" s="12" t="s">
        <v>81</v>
      </c>
      <c r="AB543" s="14" t="s">
        <v>1486</v>
      </c>
      <c r="AC543" s="14" t="s">
        <v>48</v>
      </c>
      <c r="AD543" s="14"/>
    </row>
    <row r="544" spans="1:30" ht="80.099999999999994" customHeight="1">
      <c r="A544" s="5">
        <v>272</v>
      </c>
      <c r="B544" s="12">
        <v>2017</v>
      </c>
      <c r="C544" s="14" t="str">
        <f>'[1]V, inciso p) (OP)'!B284</f>
        <v>Licitación por Invitación Restringida</v>
      </c>
      <c r="D544" s="14" t="str">
        <f>'[1]V, inciso p) (OP)'!D284</f>
        <v>DOPI-MUN-CUSMAX-PAV-CI-272-2017</v>
      </c>
      <c r="E544" s="13">
        <f>'[1]V, inciso p) (OP)'!AD284</f>
        <v>43056</v>
      </c>
      <c r="F544" s="14" t="str">
        <f>'[1]V, inciso p) (OP)'!AL284</f>
        <v>Construcción de crucero seguro en Av. Acueducto y Av. Real Acueducto, municipio de Zapopan, Jalisco.</v>
      </c>
      <c r="G544" s="14" t="str">
        <f>'[1]V, inciso p) (OP)'!AR284</f>
        <v>Cusmax 2017</v>
      </c>
      <c r="H544" s="15">
        <f>'[1]V, inciso p) (OP)'!AJ284</f>
        <v>3805115.17</v>
      </c>
      <c r="I544" s="14" t="str">
        <f>'[1]V, inciso p) (OP)'!AS284</f>
        <v>Zona Andares</v>
      </c>
      <c r="J544" s="14" t="str">
        <f>'[1]V, inciso p) (OP)'!T284</f>
        <v>JOSÉ OMAR</v>
      </c>
      <c r="K544" s="14" t="str">
        <f>'[1]V, inciso p) (OP)'!U284</f>
        <v>FERNÁNDEZ</v>
      </c>
      <c r="L544" s="14" t="str">
        <f>'[1]V, inciso p) (OP)'!V284</f>
        <v>VÁZQUEZ</v>
      </c>
      <c r="M544" s="14" t="str">
        <f>'[1]V, inciso p) (OP)'!W284</f>
        <v>JOSÉ OMAR FERNÁNDEZ VÁZQUEZ</v>
      </c>
      <c r="N544" s="14" t="str">
        <f>'[1]V, inciso p) (OP)'!X284</f>
        <v>FEVO740619686</v>
      </c>
      <c r="O544" s="15">
        <f t="shared" si="11"/>
        <v>3805115.17</v>
      </c>
      <c r="P544" s="15">
        <f>O544</f>
        <v>3805115.17</v>
      </c>
      <c r="Q544" s="21" t="s">
        <v>1068</v>
      </c>
      <c r="R544" s="22">
        <f>H544/950.24</f>
        <v>4004.3727584610201</v>
      </c>
      <c r="S544" s="12" t="s">
        <v>42</v>
      </c>
      <c r="T544" s="17">
        <v>3598</v>
      </c>
      <c r="U544" s="14" t="s">
        <v>43</v>
      </c>
      <c r="V544" s="12" t="s">
        <v>378</v>
      </c>
      <c r="W544" s="13">
        <f>'[1]V, inciso p) (OP)'!AM284</f>
        <v>43059</v>
      </c>
      <c r="X544" s="13">
        <f>'[1]V, inciso p) (OP)'!AN284</f>
        <v>43178</v>
      </c>
      <c r="Y544" s="12" t="s">
        <v>976</v>
      </c>
      <c r="Z544" s="12" t="s">
        <v>977</v>
      </c>
      <c r="AA544" s="12" t="s">
        <v>877</v>
      </c>
      <c r="AB544" s="14" t="s">
        <v>1487</v>
      </c>
      <c r="AC544" s="14" t="s">
        <v>48</v>
      </c>
      <c r="AD544" s="14" t="s">
        <v>1571</v>
      </c>
    </row>
    <row r="545" spans="1:30" ht="80.099999999999994" customHeight="1">
      <c r="A545" s="5">
        <v>273</v>
      </c>
      <c r="B545" s="12">
        <v>2017</v>
      </c>
      <c r="C545" s="12" t="s">
        <v>65</v>
      </c>
      <c r="D545" s="14" t="str">
        <f>'[1]V, inciso o) (OP)'!C267</f>
        <v>DOPI-MUN-RM-PAV-AD-273-2017</v>
      </c>
      <c r="E545" s="13">
        <f>'[1]V, inciso o) (OP)'!V267</f>
        <v>42991</v>
      </c>
      <c r="F545" s="14" t="str">
        <f>'[1]V, inciso o) (OP)'!AA267</f>
        <v>Construcción de pavimento de concreto hidráulico, incluye: agua potable, alcantarillado, guarniciones, banquetas, accesibilidad, servicios complementarios y forestación, en la prolongación Naranjos, colonia Rancho El Centinela, municipio de Zapopan, Jalisco.</v>
      </c>
      <c r="G545" s="14" t="s">
        <v>499</v>
      </c>
      <c r="H545" s="15">
        <f>'[1]V, inciso o) (OP)'!Y267</f>
        <v>1558361.13</v>
      </c>
      <c r="I545" s="14" t="s">
        <v>1069</v>
      </c>
      <c r="J545" s="14" t="str">
        <f>'[1]V, inciso o) (OP)'!M267</f>
        <v>JUAN RAMÓN</v>
      </c>
      <c r="K545" s="14" t="str">
        <f>'[1]V, inciso o) (OP)'!N267</f>
        <v>RAMÍREZ</v>
      </c>
      <c r="L545" s="14" t="str">
        <f>'[1]V, inciso o) (OP)'!O267</f>
        <v>ALATORRE</v>
      </c>
      <c r="M545" s="14" t="str">
        <f>'[1]V, inciso o) (OP)'!P267</f>
        <v>QUERCUS GEOSOLUCIONES, S.A. DE C.V.</v>
      </c>
      <c r="N545" s="14" t="str">
        <f>'[1]V, inciso o) (OP)'!Q267</f>
        <v>QGE080213988</v>
      </c>
      <c r="O545" s="15">
        <f t="shared" si="11"/>
        <v>1558361.13</v>
      </c>
      <c r="P545" s="15">
        <v>1303132.8500000001</v>
      </c>
      <c r="Q545" s="12" t="s">
        <v>1070</v>
      </c>
      <c r="R545" s="15">
        <f>H545/828</f>
        <v>1882.0786594202898</v>
      </c>
      <c r="S545" s="12" t="s">
        <v>42</v>
      </c>
      <c r="T545" s="17">
        <v>967</v>
      </c>
      <c r="U545" s="14" t="s">
        <v>43</v>
      </c>
      <c r="V545" s="12" t="s">
        <v>378</v>
      </c>
      <c r="W545" s="13">
        <f>'[1]V, inciso o) (OP)'!AD267</f>
        <v>42996</v>
      </c>
      <c r="X545" s="13">
        <f>'[1]V, inciso o) (OP)'!AE267</f>
        <v>43066</v>
      </c>
      <c r="Y545" s="12" t="s">
        <v>385</v>
      </c>
      <c r="Z545" s="12" t="s">
        <v>46</v>
      </c>
      <c r="AA545" s="12" t="s">
        <v>47</v>
      </c>
      <c r="AB545" s="14" t="s">
        <v>48</v>
      </c>
      <c r="AC545" s="14" t="s">
        <v>48</v>
      </c>
      <c r="AD545" s="14"/>
    </row>
    <row r="546" spans="1:30" ht="80.099999999999994" customHeight="1">
      <c r="A546" s="5">
        <v>274</v>
      </c>
      <c r="B546" s="12">
        <v>2017</v>
      </c>
      <c r="C546" s="12" t="s">
        <v>65</v>
      </c>
      <c r="D546" s="14" t="str">
        <f>'[1]V, inciso o) (OP)'!C268</f>
        <v>DOPI-MUN-CUSMAX-SERV-AD-274-2017</v>
      </c>
      <c r="E546" s="13">
        <f>'[1]V, inciso o) (OP)'!V268</f>
        <v>43012</v>
      </c>
      <c r="F546" s="14" t="str">
        <f>'[1]V, inciso o) (OP)'!AA268</f>
        <v>Informe preventivo de impacto ambiental para la integración peatonal y paisaje de espacio público en la zona de andares y estudio de la manifestación de impacto ambiental para la construcción del parque lineal en la Av. Patria, municipio de Zapopan, Jalisco.</v>
      </c>
      <c r="G546" s="14" t="s">
        <v>987</v>
      </c>
      <c r="H546" s="15">
        <f>'[1]V, inciso o) (OP)'!Y268</f>
        <v>442448.03</v>
      </c>
      <c r="I546" s="14" t="s">
        <v>1071</v>
      </c>
      <c r="J546" s="14" t="str">
        <f>'[1]V, inciso o) (OP)'!M268</f>
        <v>JUAN RAMÓN</v>
      </c>
      <c r="K546" s="14" t="str">
        <f>'[1]V, inciso o) (OP)'!N268</f>
        <v>RAMÍREZ</v>
      </c>
      <c r="L546" s="14" t="str">
        <f>'[1]V, inciso o) (OP)'!O268</f>
        <v>ALATORRE</v>
      </c>
      <c r="M546" s="14" t="str">
        <f>'[1]V, inciso o) (OP)'!P268</f>
        <v>QUERCUS GEOSOLUCIONES, S.A. DE C.V.</v>
      </c>
      <c r="N546" s="14" t="str">
        <f>'[1]V, inciso o) (OP)'!Q268</f>
        <v>QGE080213988</v>
      </c>
      <c r="O546" s="15">
        <f t="shared" si="11"/>
        <v>442448.03</v>
      </c>
      <c r="P546" s="15">
        <v>442448.02</v>
      </c>
      <c r="Q546" s="12" t="s">
        <v>623</v>
      </c>
      <c r="R546" s="15">
        <f>O546</f>
        <v>442448.03</v>
      </c>
      <c r="S546" s="12" t="s">
        <v>125</v>
      </c>
      <c r="T546" s="17" t="s">
        <v>125</v>
      </c>
      <c r="U546" s="14" t="s">
        <v>43</v>
      </c>
      <c r="V546" s="12" t="s">
        <v>378</v>
      </c>
      <c r="W546" s="13">
        <f>'[1]V, inciso o) (OP)'!AD268</f>
        <v>43012</v>
      </c>
      <c r="X546" s="13">
        <f>'[1]V, inciso o) (OP)'!AE268</f>
        <v>43100</v>
      </c>
      <c r="Y546" s="12" t="s">
        <v>692</v>
      </c>
      <c r="Z546" s="12" t="s">
        <v>693</v>
      </c>
      <c r="AA546" s="12" t="s">
        <v>136</v>
      </c>
      <c r="AB546" s="14" t="s">
        <v>48</v>
      </c>
      <c r="AC546" s="14" t="s">
        <v>48</v>
      </c>
      <c r="AD546" s="14"/>
    </row>
    <row r="547" spans="1:30" ht="80.099999999999994" customHeight="1">
      <c r="A547" s="5">
        <v>275</v>
      </c>
      <c r="B547" s="12">
        <v>2017</v>
      </c>
      <c r="C547" s="12" t="s">
        <v>65</v>
      </c>
      <c r="D547" s="14" t="str">
        <f>'[1]V, inciso o) (OP)'!C269</f>
        <v>DOPI-MUN-RM-SERV-AD-275-2017</v>
      </c>
      <c r="E547" s="13">
        <f>'[1]V, inciso o) (OP)'!V269</f>
        <v>43054</v>
      </c>
      <c r="F547" s="14" t="str">
        <f>'[1]V, inciso o) (OP)'!AA269</f>
        <v>Estudio de la manifestación de impacto ambiental del CDC de la colonia Miramar y de la rehabilitación del banco de material geológico en el relleno sanitario picachos, municipio de Zapopan, Jalisco.</v>
      </c>
      <c r="G547" s="14" t="s">
        <v>499</v>
      </c>
      <c r="H547" s="15">
        <f>'[1]V, inciso o) (OP)'!Y269</f>
        <v>247885.53</v>
      </c>
      <c r="I547" s="14" t="s">
        <v>1072</v>
      </c>
      <c r="J547" s="14" t="str">
        <f>'[1]V, inciso o) (OP)'!M269</f>
        <v>JUAN RAMÓN</v>
      </c>
      <c r="K547" s="14" t="str">
        <f>'[1]V, inciso o) (OP)'!N269</f>
        <v>RAMÍREZ</v>
      </c>
      <c r="L547" s="14" t="str">
        <f>'[1]V, inciso o) (OP)'!O269</f>
        <v>ALATORRE</v>
      </c>
      <c r="M547" s="14" t="str">
        <f>'[1]V, inciso o) (OP)'!P269</f>
        <v>QUERCUS GEOSOLUCIONES, S.A. DE C.V.</v>
      </c>
      <c r="N547" s="14" t="str">
        <f>'[1]V, inciso o) (OP)'!Q269</f>
        <v>QGE080213988</v>
      </c>
      <c r="O547" s="15">
        <f t="shared" ref="O547:O610" si="13">H547</f>
        <v>247885.53</v>
      </c>
      <c r="P547" s="15">
        <v>247885.53</v>
      </c>
      <c r="Q547" s="12" t="s">
        <v>623</v>
      </c>
      <c r="R547" s="15">
        <f>O547</f>
        <v>247885.53</v>
      </c>
      <c r="S547" s="12" t="s">
        <v>125</v>
      </c>
      <c r="T547" s="17" t="s">
        <v>125</v>
      </c>
      <c r="U547" s="14" t="s">
        <v>43</v>
      </c>
      <c r="V547" s="12" t="s">
        <v>378</v>
      </c>
      <c r="W547" s="13">
        <f>'[1]V, inciso o) (OP)'!AD269</f>
        <v>43054</v>
      </c>
      <c r="X547" s="13">
        <f>'[1]V, inciso o) (OP)'!AE269</f>
        <v>43100</v>
      </c>
      <c r="Y547" s="12" t="s">
        <v>692</v>
      </c>
      <c r="Z547" s="12" t="s">
        <v>693</v>
      </c>
      <c r="AA547" s="12" t="s">
        <v>136</v>
      </c>
      <c r="AB547" s="14" t="s">
        <v>48</v>
      </c>
      <c r="AC547" s="14" t="s">
        <v>48</v>
      </c>
      <c r="AD547" s="14"/>
    </row>
    <row r="548" spans="1:30" ht="80.099999999999994" customHeight="1">
      <c r="A548" s="5">
        <v>276</v>
      </c>
      <c r="B548" s="12">
        <v>2017</v>
      </c>
      <c r="C548" s="12" t="s">
        <v>65</v>
      </c>
      <c r="D548" s="14" t="str">
        <f>'[1]V, inciso o) (OP)'!C270</f>
        <v>DOPI-MUN-RM-IH-AD-276-2017</v>
      </c>
      <c r="E548" s="13">
        <f>'[1]V, inciso o) (OP)'!V270</f>
        <v>43038</v>
      </c>
      <c r="F548" s="14" t="str">
        <f>'[1]V, inciso o) (OP)'!AA270</f>
        <v>Construcción de sistema pluvial a base de bocas de tormenta y pozo de infiltración, en diferentes zonas del municipio de Zapopan, Jalisco, primera etapa.</v>
      </c>
      <c r="G548" s="14" t="s">
        <v>499</v>
      </c>
      <c r="H548" s="15">
        <f>'[1]V, inciso o) (OP)'!Y270</f>
        <v>1715478.16</v>
      </c>
      <c r="I548" s="14" t="s">
        <v>1349</v>
      </c>
      <c r="J548" s="14" t="str">
        <f>'[1]V, inciso o) (OP)'!M270</f>
        <v>SERGIO</v>
      </c>
      <c r="K548" s="14" t="str">
        <f>'[1]V, inciso o) (OP)'!N270</f>
        <v>HERNÁNDEZ</v>
      </c>
      <c r="L548" s="14" t="str">
        <f>'[1]V, inciso o) (OP)'!O270</f>
        <v>RUÍZ</v>
      </c>
      <c r="M548" s="14" t="str">
        <f>'[1]V, inciso o) (OP)'!P270</f>
        <v>RIVERA CONSTRUCCIÓNES, S.A. DE C.V.</v>
      </c>
      <c r="N548" s="14" t="str">
        <f>'[1]V, inciso o) (OP)'!Q270</f>
        <v>RCO820921T66</v>
      </c>
      <c r="O548" s="15">
        <f t="shared" si="13"/>
        <v>1715478.16</v>
      </c>
      <c r="P548" s="15">
        <v>1683312.58</v>
      </c>
      <c r="Q548" s="12" t="s">
        <v>1073</v>
      </c>
      <c r="R548" s="15">
        <f>H548/8</f>
        <v>214434.77</v>
      </c>
      <c r="S548" s="12" t="s">
        <v>42</v>
      </c>
      <c r="T548" s="17">
        <v>1332272</v>
      </c>
      <c r="U548" s="14" t="s">
        <v>43</v>
      </c>
      <c r="V548" s="12" t="s">
        <v>378</v>
      </c>
      <c r="W548" s="13">
        <f>'[1]V, inciso o) (OP)'!AD270</f>
        <v>43040</v>
      </c>
      <c r="X548" s="13">
        <f>'[1]V, inciso o) (OP)'!AE270</f>
        <v>43084</v>
      </c>
      <c r="Y548" s="12" t="s">
        <v>418</v>
      </c>
      <c r="Z548" s="12" t="s">
        <v>419</v>
      </c>
      <c r="AA548" s="12" t="s">
        <v>420</v>
      </c>
      <c r="AB548" s="14" t="s">
        <v>48</v>
      </c>
      <c r="AC548" s="14" t="s">
        <v>48</v>
      </c>
      <c r="AD548" s="14"/>
    </row>
    <row r="549" spans="1:30" ht="80.099999999999994" customHeight="1">
      <c r="A549" s="5">
        <v>277</v>
      </c>
      <c r="B549" s="12">
        <v>2017</v>
      </c>
      <c r="C549" s="12" t="s">
        <v>65</v>
      </c>
      <c r="D549" s="14" t="str">
        <f>'[1]V, inciso o) (OP)'!C271</f>
        <v>DOPI-MUN-RM-IM-AD-277-2017</v>
      </c>
      <c r="E549" s="13">
        <f>'[1]V, inciso o) (OP)'!V271</f>
        <v>43066</v>
      </c>
      <c r="F549" s="14" t="str">
        <f>'[1]V, inciso o) (OP)'!AA271</f>
        <v>Trabajos de albañilería, herrería, instalaciones eléctricas, hidrosanitarias y de gas, en el Centro de Desarrollo Infantil No. 8 María Jaime Franco, ubicado en la localidad de Santa Ana Tepetitlán, municipio de Zapopan, Jalisco.</v>
      </c>
      <c r="G549" s="14" t="s">
        <v>499</v>
      </c>
      <c r="H549" s="15">
        <f>'[1]V, inciso o) (OP)'!Y271</f>
        <v>1454175.38</v>
      </c>
      <c r="I549" s="14" t="s">
        <v>1074</v>
      </c>
      <c r="J549" s="14" t="str">
        <f>'[1]V, inciso o) (OP)'!M271</f>
        <v xml:space="preserve">RAFAEL </v>
      </c>
      <c r="K549" s="14" t="str">
        <f>'[1]V, inciso o) (OP)'!N271</f>
        <v>ARREGUIN</v>
      </c>
      <c r="L549" s="14" t="str">
        <f>'[1]V, inciso o) (OP)'!O271</f>
        <v>RENTERIA</v>
      </c>
      <c r="M549" s="14" t="str">
        <f>'[1]V, inciso o) (OP)'!P271</f>
        <v xml:space="preserve">ARH DESARROLLOS INMOBILIARIOS, S.A. DE C.V. </v>
      </c>
      <c r="N549" s="14" t="str">
        <f>'[1]V, inciso o) (OP)'!Q271</f>
        <v>ADI130522MB7</v>
      </c>
      <c r="O549" s="15">
        <f t="shared" si="13"/>
        <v>1454175.38</v>
      </c>
      <c r="P549" s="15">
        <f t="shared" ref="P549:P555" si="14">O549</f>
        <v>1454175.38</v>
      </c>
      <c r="Q549" s="12" t="s">
        <v>1075</v>
      </c>
      <c r="R549" s="15">
        <f>H549/265</f>
        <v>5487.4542641509433</v>
      </c>
      <c r="S549" s="12" t="s">
        <v>42</v>
      </c>
      <c r="T549" s="17">
        <v>11056</v>
      </c>
      <c r="U549" s="14" t="s">
        <v>43</v>
      </c>
      <c r="V549" s="12" t="s">
        <v>378</v>
      </c>
      <c r="W549" s="13">
        <f>'[1]V, inciso o) (OP)'!AD271</f>
        <v>43066</v>
      </c>
      <c r="X549" s="13">
        <f>'[1]V, inciso o) (OP)'!AE271</f>
        <v>43110</v>
      </c>
      <c r="Y549" s="12" t="s">
        <v>1076</v>
      </c>
      <c r="Z549" s="12" t="s">
        <v>1077</v>
      </c>
      <c r="AA549" s="12" t="s">
        <v>64</v>
      </c>
      <c r="AB549" s="8" t="s">
        <v>1972</v>
      </c>
      <c r="AC549" s="14" t="s">
        <v>48</v>
      </c>
      <c r="AD549" s="14" t="s">
        <v>1571</v>
      </c>
    </row>
    <row r="550" spans="1:30" ht="80.099999999999994" customHeight="1">
      <c r="A550" s="5">
        <v>278</v>
      </c>
      <c r="B550" s="12">
        <v>2017</v>
      </c>
      <c r="C550" s="12" t="s">
        <v>65</v>
      </c>
      <c r="D550" s="14" t="str">
        <f>'[1]V, inciso o) (OP)'!C272</f>
        <v>DOPI-MUN-RM-SERV-AD-278-2017</v>
      </c>
      <c r="E550" s="13">
        <f>'[1]V, inciso o) (OP)'!V272</f>
        <v>43049</v>
      </c>
      <c r="F550" s="14" t="str">
        <f>'[1]V, inciso o) (OP)'!AA272</f>
        <v>Elaboración de dictámenes estructurales y levantamientos arquitectónicos de diferentes Centros de Desarrollo Infantil del DIF, municipio de Zapopan, Jalisco.</v>
      </c>
      <c r="G550" s="14" t="s">
        <v>499</v>
      </c>
      <c r="H550" s="15">
        <f>'[1]V, inciso o) (OP)'!Y272</f>
        <v>826853.74</v>
      </c>
      <c r="I550" s="14" t="s">
        <v>1349</v>
      </c>
      <c r="J550" s="14" t="str">
        <f>'[1]V, inciso o) (OP)'!M272</f>
        <v>ANDRÉS</v>
      </c>
      <c r="K550" s="14" t="str">
        <f>'[1]V, inciso o) (OP)'!N272</f>
        <v>ESCOBEDO</v>
      </c>
      <c r="L550" s="14" t="str">
        <f>'[1]V, inciso o) (OP)'!O272</f>
        <v>LÓPEZ</v>
      </c>
      <c r="M550" s="14" t="str">
        <f>'[1]V, inciso o) (OP)'!P272</f>
        <v>ANDRÉS ESCOBEDO LÓPEZ</v>
      </c>
      <c r="N550" s="14" t="str">
        <f>'[1]V, inciso o) (OP)'!Q272</f>
        <v>EOLA770418BX6</v>
      </c>
      <c r="O550" s="15">
        <f t="shared" si="13"/>
        <v>826853.74</v>
      </c>
      <c r="P550" s="15">
        <f t="shared" si="14"/>
        <v>826853.74</v>
      </c>
      <c r="Q550" s="12" t="s">
        <v>630</v>
      </c>
      <c r="R550" s="15">
        <f>H550/1</f>
        <v>826853.74</v>
      </c>
      <c r="S550" s="12" t="s">
        <v>125</v>
      </c>
      <c r="T550" s="17" t="s">
        <v>125</v>
      </c>
      <c r="U550" s="14" t="s">
        <v>43</v>
      </c>
      <c r="V550" s="12" t="s">
        <v>378</v>
      </c>
      <c r="W550" s="13">
        <f>'[1]V, inciso o) (OP)'!AD272</f>
        <v>43052</v>
      </c>
      <c r="X550" s="13">
        <f>'[1]V, inciso o) (OP)'!AE272</f>
        <v>43100</v>
      </c>
      <c r="Y550" s="12" t="s">
        <v>408</v>
      </c>
      <c r="Z550" s="12" t="s">
        <v>409</v>
      </c>
      <c r="AA550" s="12" t="s">
        <v>107</v>
      </c>
      <c r="AB550" s="14" t="s">
        <v>48</v>
      </c>
      <c r="AC550" s="14" t="s">
        <v>48</v>
      </c>
      <c r="AD550" s="14" t="s">
        <v>1571</v>
      </c>
    </row>
    <row r="551" spans="1:30" ht="80.099999999999994" customHeight="1">
      <c r="A551" s="5">
        <v>279</v>
      </c>
      <c r="B551" s="12">
        <v>2017</v>
      </c>
      <c r="C551" s="12" t="s">
        <v>65</v>
      </c>
      <c r="D551" s="14" t="str">
        <f>'[1]V, inciso o) (OP)'!C273</f>
        <v>DOPI-MUN-RM-SERV-AD-279-2017</v>
      </c>
      <c r="E551" s="13">
        <f>'[1]V, inciso o) (OP)'!V273</f>
        <v>43055</v>
      </c>
      <c r="F551" s="14" t="str">
        <f>'[1]V, inciso o) (OP)'!AA273</f>
        <v>Estudios básicos topográficos para diferentes proyectos 2017, frente 2, del municipio de Zapopan, Jalisco.</v>
      </c>
      <c r="G551" s="14" t="s">
        <v>499</v>
      </c>
      <c r="H551" s="15">
        <f>'[1]V, inciso o) (OP)'!Y273</f>
        <v>1320415.74</v>
      </c>
      <c r="I551" s="14" t="s">
        <v>1349</v>
      </c>
      <c r="J551" s="14" t="str">
        <f>'[1]V, inciso o) (OP)'!M273</f>
        <v>GABRIEL</v>
      </c>
      <c r="K551" s="14" t="str">
        <f>'[1]V, inciso o) (OP)'!N273</f>
        <v xml:space="preserve">FRANCO </v>
      </c>
      <c r="L551" s="14" t="str">
        <f>'[1]V, inciso o) (OP)'!O273</f>
        <v>ALATORRE</v>
      </c>
      <c r="M551" s="14" t="str">
        <f>'[1]V, inciso o) (OP)'!P273</f>
        <v>CONSTRUCTORA DE OCCIDENTE MS, S.A. DE C.V.</v>
      </c>
      <c r="N551" s="14" t="str">
        <f>'[1]V, inciso o) (OP)'!Q273</f>
        <v>COM141015F48</v>
      </c>
      <c r="O551" s="15">
        <f t="shared" si="13"/>
        <v>1320415.74</v>
      </c>
      <c r="P551" s="15">
        <f t="shared" si="14"/>
        <v>1320415.74</v>
      </c>
      <c r="Q551" s="12" t="s">
        <v>630</v>
      </c>
      <c r="R551" s="15">
        <f>H551/1</f>
        <v>1320415.74</v>
      </c>
      <c r="S551" s="12" t="s">
        <v>125</v>
      </c>
      <c r="T551" s="17" t="s">
        <v>125</v>
      </c>
      <c r="U551" s="14" t="s">
        <v>43</v>
      </c>
      <c r="V551" s="12" t="s">
        <v>378</v>
      </c>
      <c r="W551" s="13">
        <f>'[1]V, inciso o) (OP)'!AD273</f>
        <v>43056</v>
      </c>
      <c r="X551" s="13">
        <f>'[1]V, inciso o) (OP)'!AE273</f>
        <v>43208</v>
      </c>
      <c r="Y551" s="12" t="s">
        <v>692</v>
      </c>
      <c r="Z551" s="12" t="s">
        <v>693</v>
      </c>
      <c r="AA551" s="12" t="s">
        <v>136</v>
      </c>
      <c r="AB551" s="14" t="s">
        <v>48</v>
      </c>
      <c r="AC551" s="14" t="s">
        <v>48</v>
      </c>
      <c r="AD551" s="14" t="s">
        <v>1571</v>
      </c>
    </row>
    <row r="552" spans="1:30" ht="80.099999999999994" customHeight="1">
      <c r="A552" s="5">
        <v>280</v>
      </c>
      <c r="B552" s="12">
        <v>2017</v>
      </c>
      <c r="C552" s="12" t="s">
        <v>65</v>
      </c>
      <c r="D552" s="14" t="str">
        <f>'[1]V, inciso o) (OP)'!C274</f>
        <v>DOPI-MUN-CUSMAX-PROY-AD-280-2017</v>
      </c>
      <c r="E552" s="13">
        <f>'[1]V, inciso o) (OP)'!V274</f>
        <v>43010</v>
      </c>
      <c r="F552" s="14" t="str">
        <f>'[1]V, inciso o) (OP)'!AA274</f>
        <v>Elaboración de proyectos arquitectónicos para diferentes obras del programa Cusmax 2017, frente 2, municipio de Zapopan, Jalisco.</v>
      </c>
      <c r="G552" s="14" t="s">
        <v>987</v>
      </c>
      <c r="H552" s="15">
        <f>'[1]V, inciso o) (OP)'!Y274</f>
        <v>1285965.22</v>
      </c>
      <c r="I552" s="14" t="s">
        <v>1349</v>
      </c>
      <c r="J552" s="14" t="str">
        <f>'[1]V, inciso o) (OP)'!M274</f>
        <v>JOSÉ ANTONIO</v>
      </c>
      <c r="K552" s="14" t="str">
        <f>'[1]V, inciso o) (OP)'!N274</f>
        <v>CISNEROS</v>
      </c>
      <c r="L552" s="14" t="str">
        <f>'[1]V, inciso o) (OP)'!O274</f>
        <v>CASTILLO</v>
      </c>
      <c r="M552" s="14" t="str">
        <f>'[1]V, inciso o) (OP)'!P274</f>
        <v>AXIOMA PROYECTOS E INGENIERIA, S.A. DE C.V.</v>
      </c>
      <c r="N552" s="14" t="str">
        <f>'[1]V, inciso o) (OP)'!Q274</f>
        <v>APE111122MI0</v>
      </c>
      <c r="O552" s="15">
        <f t="shared" si="13"/>
        <v>1285965.22</v>
      </c>
      <c r="P552" s="15">
        <f t="shared" si="14"/>
        <v>1285965.22</v>
      </c>
      <c r="Q552" s="12" t="s">
        <v>630</v>
      </c>
      <c r="R552" s="15">
        <f>H552/1</f>
        <v>1285965.22</v>
      </c>
      <c r="S552" s="12" t="s">
        <v>125</v>
      </c>
      <c r="T552" s="17" t="s">
        <v>125</v>
      </c>
      <c r="U552" s="14" t="s">
        <v>43</v>
      </c>
      <c r="V552" s="12" t="s">
        <v>378</v>
      </c>
      <c r="W552" s="13">
        <f>'[1]V, inciso o) (OP)'!AD274</f>
        <v>43010</v>
      </c>
      <c r="X552" s="13">
        <f>'[1]V, inciso o) (OP)'!AE274</f>
        <v>43092</v>
      </c>
      <c r="Y552" s="12" t="s">
        <v>692</v>
      </c>
      <c r="Z552" s="12" t="s">
        <v>693</v>
      </c>
      <c r="AA552" s="12" t="s">
        <v>136</v>
      </c>
      <c r="AB552" s="8" t="s">
        <v>1973</v>
      </c>
      <c r="AC552" s="14" t="s">
        <v>48</v>
      </c>
      <c r="AD552" s="14" t="s">
        <v>1571</v>
      </c>
    </row>
    <row r="553" spans="1:30" ht="80.099999999999994" customHeight="1">
      <c r="A553" s="5">
        <v>281</v>
      </c>
      <c r="B553" s="12">
        <v>2017</v>
      </c>
      <c r="C553" s="12" t="s">
        <v>65</v>
      </c>
      <c r="D553" s="14" t="str">
        <f>'[1]V, inciso o) (OP)'!C275</f>
        <v>DOPI-MUN-CUSMAX-BAN-AD-281-2017</v>
      </c>
      <c r="E553" s="13">
        <f>'[1]V, inciso o) (OP)'!V275</f>
        <v>43054</v>
      </c>
      <c r="F553" s="14" t="str">
        <f>'[1]V, inciso o) (OP)'!AA275</f>
        <v>Primera etapa de la peatonalización en la colonia Hacienda de las Lomas (incluye: machuelos, banquetas, accesibilidad universal, bolardos y nomenclatura), municipio de Zapopan, Jalisco.</v>
      </c>
      <c r="G553" s="14" t="s">
        <v>987</v>
      </c>
      <c r="H553" s="15">
        <f>'[1]V, inciso o) (OP)'!Y275</f>
        <v>1009336.83</v>
      </c>
      <c r="I553" s="14" t="s">
        <v>1078</v>
      </c>
      <c r="J553" s="14" t="str">
        <f>'[1]V, inciso o) (OP)'!M275</f>
        <v>ROBERTO</v>
      </c>
      <c r="K553" s="14" t="str">
        <f>'[1]V, inciso o) (OP)'!N275</f>
        <v>FLORES</v>
      </c>
      <c r="L553" s="14" t="str">
        <f>'[1]V, inciso o) (OP)'!O275</f>
        <v>ARREOLA</v>
      </c>
      <c r="M553" s="14" t="str">
        <f>'[1]V, inciso o) (OP)'!P275</f>
        <v>ESTUDIOS SISTEMAS Y CONSTRUCCIÓNES, S.A. DE C.V.</v>
      </c>
      <c r="N553" s="14" t="str">
        <f>'[1]V, inciso o) (OP)'!Q275</f>
        <v>ESC930617KW9</v>
      </c>
      <c r="O553" s="15">
        <f t="shared" si="13"/>
        <v>1009336.83</v>
      </c>
      <c r="P553" s="15">
        <f t="shared" si="14"/>
        <v>1009336.83</v>
      </c>
      <c r="Q553" s="12" t="s">
        <v>1079</v>
      </c>
      <c r="R553" s="15">
        <f>H553/1264</f>
        <v>798.52597310126578</v>
      </c>
      <c r="S553" s="12" t="s">
        <v>42</v>
      </c>
      <c r="T553" s="17">
        <v>625</v>
      </c>
      <c r="U553" s="14" t="s">
        <v>43</v>
      </c>
      <c r="V553" s="12" t="s">
        <v>378</v>
      </c>
      <c r="W553" s="13">
        <f>'[1]V, inciso o) (OP)'!AD275</f>
        <v>43054</v>
      </c>
      <c r="X553" s="13">
        <f>'[1]V, inciso o) (OP)'!AE275</f>
        <v>43131</v>
      </c>
      <c r="Y553" s="12" t="s">
        <v>380</v>
      </c>
      <c r="Z553" s="12" t="s">
        <v>257</v>
      </c>
      <c r="AA553" s="12" t="s">
        <v>258</v>
      </c>
      <c r="AB553" s="8" t="s">
        <v>1974</v>
      </c>
      <c r="AC553" s="14" t="s">
        <v>48</v>
      </c>
      <c r="AD553" s="14" t="s">
        <v>1571</v>
      </c>
    </row>
    <row r="554" spans="1:30" ht="80.099999999999994" customHeight="1">
      <c r="A554" s="5">
        <v>284</v>
      </c>
      <c r="B554" s="12">
        <v>2017</v>
      </c>
      <c r="C554" s="14" t="str">
        <f>'[1]V, inciso p) (OP)'!B285</f>
        <v>Licitación por Invitación Restringida</v>
      </c>
      <c r="D554" s="14" t="str">
        <f>'[1]V, inciso p) (OP)'!D285</f>
        <v>DOPI-MUN-PP-ID-CI-284-2017</v>
      </c>
      <c r="E554" s="13">
        <f>'[1]V, inciso p) (OP)'!AD285</f>
        <v>43082</v>
      </c>
      <c r="F554" s="14" t="str">
        <f>'[1]V, inciso p) (OP)'!AL285</f>
        <v>Rehabilitación de las instalaciones y equipamiento deportivo de la Unidad Deportiva Santa Margarita (La Tuzania), ubicada en Av. Periférico Norponiente, municipio de Zapopan, Jalisco.</v>
      </c>
      <c r="G554" s="14" t="str">
        <f>'[1]V, inciso p) (OP)'!AR285</f>
        <v>Presupuesto Participativo</v>
      </c>
      <c r="H554" s="15">
        <f>'[1]V, inciso p) (OP)'!AJ285</f>
        <v>2961863.09</v>
      </c>
      <c r="I554" s="14" t="str">
        <f>'[1]V, inciso p) (OP)'!AS285</f>
        <v>Colonia Santa Margarita</v>
      </c>
      <c r="J554" s="14" t="str">
        <f>'[1]V, inciso p) (OP)'!T285</f>
        <v>MARÍA ARCELIA</v>
      </c>
      <c r="K554" s="14" t="str">
        <f>'[1]V, inciso p) (OP)'!U285</f>
        <v>IÑIGUEZ</v>
      </c>
      <c r="L554" s="14" t="str">
        <f>'[1]V, inciso p) (OP)'!V285</f>
        <v>HERNÁNDEZ</v>
      </c>
      <c r="M554" s="14" t="str">
        <f>'[1]V, inciso p) (OP)'!W285</f>
        <v>INFRAESTRUCTURA RHINO77, S.A. DE C.V.</v>
      </c>
      <c r="N554" s="14" t="str">
        <f>'[1]V, inciso p) (OP)'!X285</f>
        <v>IRH140924LX3</v>
      </c>
      <c r="O554" s="15">
        <f t="shared" si="13"/>
        <v>2961863.09</v>
      </c>
      <c r="P554" s="15">
        <f t="shared" si="14"/>
        <v>2961863.09</v>
      </c>
      <c r="Q554" s="21" t="s">
        <v>1080</v>
      </c>
      <c r="R554" s="22">
        <f>H554/464</f>
        <v>6383.3256249999995</v>
      </c>
      <c r="S554" s="12" t="s">
        <v>42</v>
      </c>
      <c r="T554" s="17">
        <v>3689</v>
      </c>
      <c r="U554" s="14" t="s">
        <v>43</v>
      </c>
      <c r="V554" s="12" t="s">
        <v>378</v>
      </c>
      <c r="W554" s="13">
        <f>'[1]V, inciso p) (OP)'!AM285</f>
        <v>43082</v>
      </c>
      <c r="X554" s="13">
        <f>'[1]V, inciso p) (OP)'!AN285</f>
        <v>43171</v>
      </c>
      <c r="Y554" s="12" t="s">
        <v>418</v>
      </c>
      <c r="Z554" s="12" t="s">
        <v>419</v>
      </c>
      <c r="AA554" s="12" t="s">
        <v>420</v>
      </c>
      <c r="AB554" s="14" t="s">
        <v>1488</v>
      </c>
      <c r="AC554" s="14" t="s">
        <v>48</v>
      </c>
      <c r="AD554" s="14" t="s">
        <v>1571</v>
      </c>
    </row>
    <row r="555" spans="1:30" ht="80.099999999999994" customHeight="1">
      <c r="A555" s="5">
        <v>285</v>
      </c>
      <c r="B555" s="12">
        <v>2017</v>
      </c>
      <c r="C555" s="14" t="str">
        <f>'[1]V, inciso p) (OP)'!B286</f>
        <v>Licitación por Invitación Restringida</v>
      </c>
      <c r="D555" s="14" t="str">
        <f>'[1]V, inciso p) (OP)'!D286</f>
        <v>DOPI-MUN-RM-RS-CI-285-2017</v>
      </c>
      <c r="E555" s="13">
        <f>'[1]V, inciso p) (OP)'!AD286</f>
        <v>43082</v>
      </c>
      <c r="F555" s="14" t="str">
        <f>'[1]V, inciso p) (OP)'!AL286</f>
        <v xml:space="preserve">Construcción de obras de protección pluvial, muros de mampostería, colector pluvial, caseta de control de acceso, oficinas, sanitarios, comedor, área de estacionamiento, segunda fase de equipamiento y obras complementarias en el relleno sanitario Picachos, municipio de Zapopan, Jalisco. </v>
      </c>
      <c r="G555" s="14" t="str">
        <f>'[1]V, inciso p) (OP)'!AR286</f>
        <v>Recurso Propio</v>
      </c>
      <c r="H555" s="15">
        <f>'[1]V, inciso p) (OP)'!AJ286</f>
        <v>7954253.4100000001</v>
      </c>
      <c r="I555" s="14" t="str">
        <f>'[1]V, inciso p) (OP)'!AS286</f>
        <v>Relleno Sanitario de Picachos</v>
      </c>
      <c r="J555" s="14" t="str">
        <f>'[1]V, inciso p) (OP)'!T286</f>
        <v>HÉCTOR</v>
      </c>
      <c r="K555" s="14" t="str">
        <f>'[1]V, inciso p) (OP)'!U286</f>
        <v>GAYTAN</v>
      </c>
      <c r="L555" s="14" t="str">
        <f>'[1]V, inciso p) (OP)'!V286</f>
        <v>GALICIA</v>
      </c>
      <c r="M555" s="14" t="str">
        <f>'[1]V, inciso p) (OP)'!W286</f>
        <v>SECOI CONSTRUCCIÓNES Y SERVICIOS , S.A. DE C.V.</v>
      </c>
      <c r="N555" s="14" t="str">
        <f>'[1]V, inciso p) (OP)'!X286</f>
        <v>SCS1301173MA</v>
      </c>
      <c r="O555" s="15">
        <f t="shared" si="13"/>
        <v>7954253.4100000001</v>
      </c>
      <c r="P555" s="15">
        <f t="shared" si="14"/>
        <v>7954253.4100000001</v>
      </c>
      <c r="Q555" s="21" t="s">
        <v>1024</v>
      </c>
      <c r="R555" s="22">
        <f>H555/1298</f>
        <v>6128.0842912172575</v>
      </c>
      <c r="S555" s="12" t="s">
        <v>42</v>
      </c>
      <c r="T555" s="17">
        <v>1332272</v>
      </c>
      <c r="U555" s="14" t="s">
        <v>43</v>
      </c>
      <c r="V555" s="12" t="s">
        <v>378</v>
      </c>
      <c r="W555" s="13">
        <f>'[1]V, inciso p) (OP)'!AM286</f>
        <v>43082</v>
      </c>
      <c r="X555" s="13">
        <f>'[1]V, inciso p) (OP)'!AN286</f>
        <v>43201</v>
      </c>
      <c r="Y555" s="12" t="s">
        <v>468</v>
      </c>
      <c r="Z555" s="12" t="s">
        <v>307</v>
      </c>
      <c r="AA555" s="12" t="s">
        <v>308</v>
      </c>
      <c r="AB555" s="14" t="s">
        <v>1489</v>
      </c>
      <c r="AC555" s="14" t="s">
        <v>48</v>
      </c>
      <c r="AD555" s="14" t="s">
        <v>1571</v>
      </c>
    </row>
    <row r="556" spans="1:30" ht="80.099999999999994" customHeight="1">
      <c r="A556" s="5">
        <v>286</v>
      </c>
      <c r="B556" s="12">
        <v>2017</v>
      </c>
      <c r="C556" s="14" t="str">
        <f>'[1]V, inciso p) (OP)'!B287</f>
        <v>Licitación por Invitación Restringida</v>
      </c>
      <c r="D556" s="14" t="str">
        <f>'[1]V, inciso p) (OP)'!D287</f>
        <v>DOPI-MUN-RM-PAV-CI-286-2017</v>
      </c>
      <c r="E556" s="13">
        <f>'[1]V, inciso p) (OP)'!AD287</f>
        <v>43082</v>
      </c>
      <c r="F556" s="14" t="str">
        <f>'[1]V, inciso p) (OP)'!AL287</f>
        <v>Obra complementaria para la pavimentación con concreto hidráulico, incluye: agua potable, alcantarillado, guarniciones, banquetas, accesibilidad y servicios complementarios de la calle Laureles en la colonia Lomas de Tabachines, municipio de Zapopan, Jalisco, segunda etapa.</v>
      </c>
      <c r="G556" s="14" t="str">
        <f>'[1]V, inciso p) (OP)'!AR287</f>
        <v>Recurso Propio</v>
      </c>
      <c r="H556" s="15">
        <f>'[1]V, inciso p) (OP)'!AJ287</f>
        <v>3956619.32</v>
      </c>
      <c r="I556" s="14" t="str">
        <f>'[1]V, inciso p) (OP)'!AS287</f>
        <v>Colonia Lomas de Tabachines</v>
      </c>
      <c r="J556" s="14" t="str">
        <f>'[1]V, inciso p) (OP)'!T287</f>
        <v xml:space="preserve">GUILLERMO </v>
      </c>
      <c r="K556" s="14" t="str">
        <f>'[1]V, inciso p) (OP)'!U287</f>
        <v>SANDOVAL</v>
      </c>
      <c r="L556" s="14" t="str">
        <f>'[1]V, inciso p) (OP)'!V287</f>
        <v>ALONSO</v>
      </c>
      <c r="M556" s="14" t="str">
        <f>'[1]V, inciso p) (OP)'!W287</f>
        <v>CONSTRUCTORES  RCS S.A. DE C.V.</v>
      </c>
      <c r="N556" s="14" t="str">
        <f>'[1]V, inciso p) (OP)'!X287</f>
        <v>CRC091106EUA</v>
      </c>
      <c r="O556" s="15">
        <f t="shared" si="13"/>
        <v>3956619.32</v>
      </c>
      <c r="P556" s="15">
        <v>3253197.07</v>
      </c>
      <c r="Q556" s="21" t="s">
        <v>1081</v>
      </c>
      <c r="R556" s="22">
        <f>H556/1365</f>
        <v>2898.6222124542123</v>
      </c>
      <c r="S556" s="12" t="s">
        <v>42</v>
      </c>
      <c r="T556" s="17">
        <v>845</v>
      </c>
      <c r="U556" s="14" t="s">
        <v>43</v>
      </c>
      <c r="V556" s="12" t="s">
        <v>378</v>
      </c>
      <c r="W556" s="13">
        <f>'[1]V, inciso p) (OP)'!AM287</f>
        <v>43082</v>
      </c>
      <c r="X556" s="13">
        <f>'[1]V, inciso p) (OP)'!AN287</f>
        <v>43141</v>
      </c>
      <c r="Y556" s="12" t="s">
        <v>767</v>
      </c>
      <c r="Z556" s="12" t="s">
        <v>843</v>
      </c>
      <c r="AA556" s="12" t="s">
        <v>769</v>
      </c>
      <c r="AB556" s="14" t="s">
        <v>1490</v>
      </c>
      <c r="AC556" s="14" t="s">
        <v>48</v>
      </c>
      <c r="AD556" s="14"/>
    </row>
    <row r="557" spans="1:30" ht="80.099999999999994" customHeight="1">
      <c r="A557" s="5">
        <v>287</v>
      </c>
      <c r="B557" s="12">
        <v>2017</v>
      </c>
      <c r="C557" s="14" t="str">
        <f>'[1]V, inciso p) (OP)'!B288</f>
        <v>Licitación por Invitación Restringida</v>
      </c>
      <c r="D557" s="14" t="str">
        <f>'[1]V, inciso p) (OP)'!D288</f>
        <v>DOPI-MUN-RM-PAV-CI-287-2017</v>
      </c>
      <c r="E557" s="13">
        <f>'[1]V, inciso p) (OP)'!AD288</f>
        <v>43082</v>
      </c>
      <c r="F557" s="14" t="str">
        <f>'[1]V, inciso p) (OP)'!AL288</f>
        <v>Pavimentación con concreto hidráulico de privada Atotonilco, de Av. Aviación al ingreso al fraccionamiento Misión del Valle, incluye: Agua potable, drenaje sanitario, guarniciones, banquetas y alumbrado público, colonia Nuevo México, municipio de Zapopan, Jalisco.</v>
      </c>
      <c r="G557" s="14" t="str">
        <f>'[1]V, inciso p) (OP)'!AR288</f>
        <v>Recurso Propio</v>
      </c>
      <c r="H557" s="15">
        <f>'[1]V, inciso p) (OP)'!AJ288</f>
        <v>5195974.71</v>
      </c>
      <c r="I557" s="14" t="str">
        <f>'[1]V, inciso p) (OP)'!AS288</f>
        <v>Colonia Nuevo México</v>
      </c>
      <c r="J557" s="14" t="str">
        <f>'[1]V, inciso p) (OP)'!T288</f>
        <v>MARTÍN ALEJANDRO</v>
      </c>
      <c r="K557" s="14" t="str">
        <f>'[1]V, inciso p) (OP)'!U288</f>
        <v>DIEZ MARINA</v>
      </c>
      <c r="L557" s="14" t="str">
        <f>'[1]V, inciso p) (OP)'!V288</f>
        <v>INZUNZA</v>
      </c>
      <c r="M557" s="14" t="str">
        <f>'[1]V, inciso p) (OP)'!W288</f>
        <v>URBANIZACIONES INZUNZA, S.A. DE C.V.</v>
      </c>
      <c r="N557" s="14" t="str">
        <f>'[1]V, inciso p) (OP)'!X288</f>
        <v>UNI1201115M6</v>
      </c>
      <c r="O557" s="15">
        <f t="shared" si="13"/>
        <v>5195974.71</v>
      </c>
      <c r="P557" s="15">
        <v>5195954.88</v>
      </c>
      <c r="Q557" s="21" t="s">
        <v>1082</v>
      </c>
      <c r="R557" s="22">
        <f>H557/4098</f>
        <v>1267.9294070278183</v>
      </c>
      <c r="S557" s="12" t="s">
        <v>42</v>
      </c>
      <c r="T557" s="17">
        <v>1299</v>
      </c>
      <c r="U557" s="14" t="s">
        <v>43</v>
      </c>
      <c r="V557" s="12" t="s">
        <v>378</v>
      </c>
      <c r="W557" s="13">
        <f>'[1]V, inciso p) (OP)'!AM288</f>
        <v>43082</v>
      </c>
      <c r="X557" s="13">
        <f>'[1]V, inciso p) (OP)'!AN288</f>
        <v>43201</v>
      </c>
      <c r="Y557" s="12" t="s">
        <v>399</v>
      </c>
      <c r="Z557" s="12" t="s">
        <v>284</v>
      </c>
      <c r="AA557" s="12" t="s">
        <v>81</v>
      </c>
      <c r="AB557" s="14" t="s">
        <v>1491</v>
      </c>
      <c r="AC557" s="14" t="s">
        <v>48</v>
      </c>
      <c r="AD557" s="14"/>
    </row>
    <row r="558" spans="1:30" ht="80.099999999999994" customHeight="1">
      <c r="A558" s="5">
        <v>288</v>
      </c>
      <c r="B558" s="12">
        <v>2017</v>
      </c>
      <c r="C558" s="14" t="str">
        <f>'[1]V, inciso p) (OP)'!B289</f>
        <v>Licitación por Invitación Restringida</v>
      </c>
      <c r="D558" s="14" t="str">
        <f>'[1]V, inciso p) (OP)'!D289</f>
        <v>DOPI-MUN-RM-PAV-CI-288-2017</v>
      </c>
      <c r="E558" s="13">
        <f>'[1]V, inciso p) (OP)'!AD289</f>
        <v>43082</v>
      </c>
      <c r="F558" s="14" t="str">
        <f>'[1]V, inciso p) (OP)'!AL289</f>
        <v>Pavimentación con concreto hidráulico de la calle Morelos, de calle Leona Vicario a calle Zaragoza, incluye: Agua potable, drenaje sanitario, guarniciones, banquetas y alumbrado público, en la localidad de Nextipac, municipio de Zapopan, Jalisco.</v>
      </c>
      <c r="G558" s="14" t="str">
        <f>'[1]V, inciso p) (OP)'!AR289</f>
        <v>Recurso Propio</v>
      </c>
      <c r="H558" s="15">
        <f>'[1]V, inciso p) (OP)'!AJ289</f>
        <v>5748894.1600000001</v>
      </c>
      <c r="I558" s="14" t="str">
        <f>'[1]V, inciso p) (OP)'!AS289</f>
        <v>Localidad de Nextipac</v>
      </c>
      <c r="J558" s="14" t="str">
        <f>'[1]V, inciso p) (OP)'!T289</f>
        <v>AMALIA</v>
      </c>
      <c r="K558" s="14" t="str">
        <f>'[1]V, inciso p) (OP)'!U289</f>
        <v>MORENO</v>
      </c>
      <c r="L558" s="14" t="str">
        <f>'[1]V, inciso p) (OP)'!V289</f>
        <v>MALDONADO</v>
      </c>
      <c r="M558" s="14" t="str">
        <f>'[1]V, inciso p) (OP)'!W289</f>
        <v>GRUPO CONSTRUCTOR LOS MUROS, S.A. DE C.V.</v>
      </c>
      <c r="N558" s="14" t="str">
        <f>'[1]V, inciso p) (OP)'!X289</f>
        <v>GCM020226F28</v>
      </c>
      <c r="O558" s="15">
        <f t="shared" si="13"/>
        <v>5748894.1600000001</v>
      </c>
      <c r="P558" s="15">
        <f t="shared" ref="P558:P565" si="15">O558</f>
        <v>5748894.1600000001</v>
      </c>
      <c r="Q558" s="21" t="s">
        <v>1083</v>
      </c>
      <c r="R558" s="22">
        <f>H558/3892</f>
        <v>1477.105385405961</v>
      </c>
      <c r="S558" s="12" t="s">
        <v>42</v>
      </c>
      <c r="T558" s="17">
        <v>1025</v>
      </c>
      <c r="U558" s="14" t="s">
        <v>43</v>
      </c>
      <c r="V558" s="12" t="s">
        <v>378</v>
      </c>
      <c r="W558" s="13">
        <f>'[1]V, inciso p) (OP)'!AM289</f>
        <v>43082</v>
      </c>
      <c r="X558" s="13">
        <f>'[1]V, inciso p) (OP)'!AN289</f>
        <v>43201</v>
      </c>
      <c r="Y558" s="12" t="s">
        <v>830</v>
      </c>
      <c r="Z558" s="12" t="s">
        <v>831</v>
      </c>
      <c r="AA558" s="12" t="s">
        <v>134</v>
      </c>
      <c r="AB558" s="14" t="s">
        <v>1492</v>
      </c>
      <c r="AC558" s="14" t="s">
        <v>48</v>
      </c>
      <c r="AD558" s="14" t="s">
        <v>1571</v>
      </c>
    </row>
    <row r="559" spans="1:30" ht="80.099999999999994" customHeight="1">
      <c r="A559" s="5">
        <v>290</v>
      </c>
      <c r="B559" s="12">
        <v>2017</v>
      </c>
      <c r="C559" s="14" t="str">
        <f>'[1]V, inciso p) (OP)'!B290</f>
        <v>Licitación por Invitación Restringida</v>
      </c>
      <c r="D559" s="14" t="str">
        <f>'[1]V, inciso p) (OP)'!D290</f>
        <v>DOPI-MUN-RM-PAV-CI-290-2017</v>
      </c>
      <c r="E559" s="13">
        <f>'[1]V, inciso p) (OP)'!AD290</f>
        <v>43082</v>
      </c>
      <c r="F559" s="14" t="str">
        <f>'[1]V, inciso p) (OP)'!AL290</f>
        <v>Pavimentación con concreto hidráulico de calle Venustiano Carranza, de calle 2 a Av. Copalita, incluye: Agua potable, drenaje sanitario, guarniciones, banquetas  y alumbrado público, en la colonia Vicente Guerrero, municipio de Zapopan, Jalisco.</v>
      </c>
      <c r="G559" s="14" t="str">
        <f>'[1]V, inciso p) (OP)'!AR290</f>
        <v>Recurso Propio</v>
      </c>
      <c r="H559" s="15">
        <f>'[1]V, inciso p) (OP)'!AJ290</f>
        <v>2596210.91</v>
      </c>
      <c r="I559" s="14" t="str">
        <f>'[1]V, inciso p) (OP)'!AS290</f>
        <v>Colonia Vicente Guerrero</v>
      </c>
      <c r="J559" s="14" t="str">
        <f>'[1]V, inciso p) (OP)'!T290</f>
        <v>JESÚS DAVID</v>
      </c>
      <c r="K559" s="14" t="str">
        <f>'[1]V, inciso p) (OP)'!U290</f>
        <v xml:space="preserve">GARZA </v>
      </c>
      <c r="L559" s="14" t="str">
        <f>'[1]V, inciso p) (OP)'!V290</f>
        <v>GARCÍA</v>
      </c>
      <c r="M559" s="14" t="str">
        <f>'[1]V, inciso p) (OP)'!W290</f>
        <v>CONSTRUCCIÓNES  ELECTRIFICACIONES Y ARRENDAMIENTO DE MAQUINARIA S.A. DE C.V.</v>
      </c>
      <c r="N559" s="14" t="str">
        <f>'[1]V, inciso p) (OP)'!X290</f>
        <v>CEA010615GT0</v>
      </c>
      <c r="O559" s="15">
        <f t="shared" si="13"/>
        <v>2596210.91</v>
      </c>
      <c r="P559" s="15">
        <f t="shared" si="15"/>
        <v>2596210.91</v>
      </c>
      <c r="Q559" s="21" t="s">
        <v>1084</v>
      </c>
      <c r="R559" s="22">
        <f>H559/1560</f>
        <v>1664.2377628205129</v>
      </c>
      <c r="S559" s="12" t="s">
        <v>42</v>
      </c>
      <c r="T559" s="17">
        <v>892</v>
      </c>
      <c r="U559" s="14" t="s">
        <v>43</v>
      </c>
      <c r="V559" s="12" t="s">
        <v>378</v>
      </c>
      <c r="W559" s="13">
        <f>'[1]V, inciso p) (OP)'!AM290</f>
        <v>43082</v>
      </c>
      <c r="X559" s="13">
        <f>'[1]V, inciso p) (OP)'!AN290</f>
        <v>43186</v>
      </c>
      <c r="Y559" s="12" t="s">
        <v>336</v>
      </c>
      <c r="Z559" s="12" t="s">
        <v>337</v>
      </c>
      <c r="AA559" s="12" t="s">
        <v>120</v>
      </c>
      <c r="AB559" s="14" t="s">
        <v>1493</v>
      </c>
      <c r="AC559" s="14" t="s">
        <v>48</v>
      </c>
      <c r="AD559" s="14" t="s">
        <v>1571</v>
      </c>
    </row>
    <row r="560" spans="1:30" ht="80.099999999999994" customHeight="1">
      <c r="A560" s="5">
        <v>291</v>
      </c>
      <c r="B560" s="12">
        <v>2017</v>
      </c>
      <c r="C560" s="14" t="str">
        <f>'[1]V, inciso p) (OP)'!B291</f>
        <v>Licitación por Invitación Restringida</v>
      </c>
      <c r="D560" s="14" t="str">
        <f>'[1]V, inciso p) (OP)'!D291</f>
        <v>DOPI-MUN-RM-PAV-CI-291-2017</v>
      </c>
      <c r="E560" s="13">
        <f>'[1]V, inciso p) (OP)'!AD291</f>
        <v>43082</v>
      </c>
      <c r="F560" s="14" t="str">
        <f>'[1]V, inciso p) (OP)'!AL291</f>
        <v>Pavimentación con concreto hidráulico de Av. Jesús, de calle Prol. Acueducto a calle Marina Mazatlan, incluye: Agua potable, drenaje sanitario, guarniciones, banquetas y alumbrado público, en la colonias La Tuzania Ejidal,  Tuzania, La Casita, Las Bóvedas y Santa Margarita Residencial, Frente 1, municipio de Zapopan, Jalisco.</v>
      </c>
      <c r="G560" s="14" t="str">
        <f>'[1]V, inciso p) (OP)'!AR291</f>
        <v>Recurso Propio</v>
      </c>
      <c r="H560" s="15">
        <f>'[1]V, inciso p) (OP)'!AJ291</f>
        <v>6795712.2699999996</v>
      </c>
      <c r="I560" s="14" t="str">
        <f>'[1]V, inciso p) (OP)'!AS291</f>
        <v>Colonias La Tuzania Ejidal,  Tuzania, La Casita, Las Bóvedas y Santa Margarita Residencial</v>
      </c>
      <c r="J560" s="14" t="str">
        <f>'[1]V, inciso p) (OP)'!T291</f>
        <v>JOSÉ</v>
      </c>
      <c r="K560" s="14" t="str">
        <f>'[1]V, inciso p) (OP)'!U291</f>
        <v xml:space="preserve">GUILLEN </v>
      </c>
      <c r="L560" s="14" t="str">
        <f>'[1]V, inciso p) (OP)'!V291</f>
        <v xml:space="preserve">DÍAZ  </v>
      </c>
      <c r="M560" s="14" t="str">
        <f>'[1]V, inciso p) (OP)'!W291</f>
        <v>SERVICIOS PROFESIONALES PARA LA CONSTRUCCIÓN DE OCCIDENTE, S.A. DE C.V.</v>
      </c>
      <c r="N560" s="14" t="str">
        <f>'[1]V, inciso p) (OP)'!X291</f>
        <v>SPC050127BR0</v>
      </c>
      <c r="O560" s="15">
        <f t="shared" si="13"/>
        <v>6795712.2699999996</v>
      </c>
      <c r="P560" s="15">
        <f t="shared" si="15"/>
        <v>6795712.2699999996</v>
      </c>
      <c r="Q560" s="21" t="s">
        <v>1085</v>
      </c>
      <c r="R560" s="22">
        <f>H560/3158</f>
        <v>2151.9038220392654</v>
      </c>
      <c r="S560" s="12" t="s">
        <v>42</v>
      </c>
      <c r="T560" s="17">
        <v>2059</v>
      </c>
      <c r="U560" s="14" t="s">
        <v>43</v>
      </c>
      <c r="V560" s="12" t="s">
        <v>378</v>
      </c>
      <c r="W560" s="13">
        <f>'[1]V, inciso p) (OP)'!AM291</f>
        <v>43082</v>
      </c>
      <c r="X560" s="13">
        <f>'[1]V, inciso p) (OP)'!AN291</f>
        <v>43201</v>
      </c>
      <c r="Y560" s="12" t="s">
        <v>365</v>
      </c>
      <c r="Z560" s="12" t="s">
        <v>366</v>
      </c>
      <c r="AA560" s="12" t="s">
        <v>367</v>
      </c>
      <c r="AB560" s="14" t="s">
        <v>1494</v>
      </c>
      <c r="AC560" s="14" t="s">
        <v>48</v>
      </c>
      <c r="AD560" s="14" t="s">
        <v>1571</v>
      </c>
    </row>
    <row r="561" spans="1:30" ht="80.099999999999994" customHeight="1">
      <c r="A561" s="5">
        <v>292</v>
      </c>
      <c r="B561" s="12">
        <v>2017</v>
      </c>
      <c r="C561" s="14" t="str">
        <f>'[1]V, inciso p) (OP)'!B292</f>
        <v>Licitación por Invitación Restringida</v>
      </c>
      <c r="D561" s="14" t="str">
        <f>'[1]V, inciso p) (OP)'!D292</f>
        <v>DOPI-MUN-RM-PAV-CI-292-2017</v>
      </c>
      <c r="E561" s="13">
        <f>'[1]V, inciso p) (OP)'!AD292</f>
        <v>43082</v>
      </c>
      <c r="F561" s="14" t="str">
        <f>'[1]V, inciso p) (OP)'!AL292</f>
        <v>Pavimentación con concreto hidráulico de Av. Jesús, de calle Prol. Acueducto a calle Marina Mazatlan, incluye: Agua potable, drenaje sanitario, guarniciones, banquetas y alumbrado público, en la colonias La Tuzania Ejidal,  Tuzania, La Casita, Las Bóvedas y Santa Margarita Residencial, Frente 2, municipio de Zapopan, Jalisco.</v>
      </c>
      <c r="G561" s="14" t="str">
        <f>'[1]V, inciso p) (OP)'!AR292</f>
        <v>Recurso Propio</v>
      </c>
      <c r="H561" s="15">
        <f>'[1]V, inciso p) (OP)'!AJ292</f>
        <v>2345937.4300000002</v>
      </c>
      <c r="I561" s="14" t="str">
        <f>'[1]V, inciso p) (OP)'!AS292</f>
        <v>Colonias La Tuzania Ejidal,  Tuzania, La Casita, Las Bóvedas y Santa Margarita Residencial</v>
      </c>
      <c r="J561" s="14" t="str">
        <f>'[1]V, inciso p) (OP)'!T292</f>
        <v>JOSÉ DE JESÚS</v>
      </c>
      <c r="K561" s="14" t="str">
        <f>'[1]V, inciso p) (OP)'!U292</f>
        <v xml:space="preserve">CASTILLO </v>
      </c>
      <c r="L561" s="14" t="str">
        <f>'[1]V, inciso p) (OP)'!V292</f>
        <v>CARRILLO</v>
      </c>
      <c r="M561" s="14" t="str">
        <f>'[1]V, inciso p) (OP)'!W292</f>
        <v>MAPA OBRAS Y PAVIMENTOS, S.A. DE C.V.</v>
      </c>
      <c r="N561" s="14" t="str">
        <f>'[1]V, inciso p) (OP)'!X292</f>
        <v>MOP080610I53</v>
      </c>
      <c r="O561" s="15">
        <f t="shared" si="13"/>
        <v>2345937.4300000002</v>
      </c>
      <c r="P561" s="15">
        <f t="shared" si="15"/>
        <v>2345937.4300000002</v>
      </c>
      <c r="Q561" s="21" t="s">
        <v>1086</v>
      </c>
      <c r="R561" s="22">
        <f>O561/1230</f>
        <v>1907.2662032520327</v>
      </c>
      <c r="S561" s="12" t="s">
        <v>42</v>
      </c>
      <c r="T561" s="17">
        <v>2059</v>
      </c>
      <c r="U561" s="14" t="s">
        <v>43</v>
      </c>
      <c r="V561" s="12" t="s">
        <v>378</v>
      </c>
      <c r="W561" s="13">
        <f>'[1]V, inciso p) (OP)'!AM292</f>
        <v>43082</v>
      </c>
      <c r="X561" s="13">
        <f>'[1]V, inciso p) (OP)'!AN292</f>
        <v>43201</v>
      </c>
      <c r="Y561" s="12" t="s">
        <v>365</v>
      </c>
      <c r="Z561" s="12" t="s">
        <v>366</v>
      </c>
      <c r="AA561" s="12" t="s">
        <v>367</v>
      </c>
      <c r="AB561" s="14" t="s">
        <v>1495</v>
      </c>
      <c r="AC561" s="14" t="s">
        <v>48</v>
      </c>
      <c r="AD561" s="14" t="s">
        <v>1571</v>
      </c>
    </row>
    <row r="562" spans="1:30" ht="80.099999999999994" customHeight="1">
      <c r="A562" s="5">
        <v>293</v>
      </c>
      <c r="B562" s="12">
        <v>2017</v>
      </c>
      <c r="C562" s="14" t="str">
        <f>'[1]V, inciso p) (OP)'!B293</f>
        <v>Licitación por Invitación Restringida</v>
      </c>
      <c r="D562" s="14" t="str">
        <f>'[1]V, inciso p) (OP)'!D293</f>
        <v>DOPI-MUN-RM-PAV-CI-293-2017</v>
      </c>
      <c r="E562" s="13">
        <f>'[1]V, inciso p) (OP)'!AD293</f>
        <v>43082</v>
      </c>
      <c r="F562" s="14" t="str">
        <f>'[1]V, inciso p) (OP)'!AL293</f>
        <v>Pavimentación con concreto hidráulico de la calle Las Garzas, de carretera Colotlán a calle Pavoreal, incluye: Agua potable, drenaje sanitario, guarniciones, banquetas y alumbrado público, en la vinatera, municipio de Zapopan, Jalisco.</v>
      </c>
      <c r="G562" s="14" t="str">
        <f>'[1]V, inciso p) (OP)'!AR293</f>
        <v>Recurso Propio</v>
      </c>
      <c r="H562" s="15">
        <f>'[1]V, inciso p) (OP)'!AJ293</f>
        <v>8493500.0099999998</v>
      </c>
      <c r="I562" s="14" t="str">
        <f>'[1]V, inciso p) (OP)'!AS293</f>
        <v>Colonia La Vinatera</v>
      </c>
      <c r="J562" s="14" t="str">
        <f>'[1]V, inciso p) (OP)'!T293</f>
        <v>JUAN PABLO</v>
      </c>
      <c r="K562" s="14" t="str">
        <f>'[1]V, inciso p) (OP)'!U293</f>
        <v>VERA</v>
      </c>
      <c r="L562" s="14" t="str">
        <f>'[1]V, inciso p) (OP)'!V293</f>
        <v>TAVARES</v>
      </c>
      <c r="M562" s="14" t="str">
        <f>'[1]V, inciso p) (OP)'!W293</f>
        <v>LIZETTE CONSTRUCCIÓNES, S.A. DE C.V.</v>
      </c>
      <c r="N562" s="14" t="str">
        <f>'[1]V, inciso p) (OP)'!X293</f>
        <v>LCO080228DN2</v>
      </c>
      <c r="O562" s="15">
        <f t="shared" si="13"/>
        <v>8493500.0099999998</v>
      </c>
      <c r="P562" s="15">
        <f t="shared" si="15"/>
        <v>8493500.0099999998</v>
      </c>
      <c r="Q562" s="21" t="s">
        <v>1087</v>
      </c>
      <c r="R562" s="22">
        <f>H562/5300</f>
        <v>1602.5471716981131</v>
      </c>
      <c r="S562" s="12" t="s">
        <v>42</v>
      </c>
      <c r="T562" s="17">
        <v>697</v>
      </c>
      <c r="U562" s="14" t="s">
        <v>43</v>
      </c>
      <c r="V562" s="12" t="s">
        <v>378</v>
      </c>
      <c r="W562" s="13">
        <f>'[1]V, inciso p) (OP)'!AM293</f>
        <v>43082</v>
      </c>
      <c r="X562" s="13">
        <f>'[1]V, inciso p) (OP)'!AN293</f>
        <v>43201</v>
      </c>
      <c r="Y562" s="12" t="s">
        <v>468</v>
      </c>
      <c r="Z562" s="12" t="s">
        <v>307</v>
      </c>
      <c r="AA562" s="12" t="s">
        <v>308</v>
      </c>
      <c r="AB562" s="14" t="s">
        <v>1496</v>
      </c>
      <c r="AC562" s="14" t="s">
        <v>48</v>
      </c>
      <c r="AD562" s="14" t="s">
        <v>1571</v>
      </c>
    </row>
    <row r="563" spans="1:30" ht="80.099999999999994" customHeight="1">
      <c r="A563" s="5">
        <v>294</v>
      </c>
      <c r="B563" s="12">
        <v>2017</v>
      </c>
      <c r="C563" s="14" t="str">
        <f>'[1]V, inciso p) (OP)'!B294</f>
        <v>Licitación por Invitación Restringida</v>
      </c>
      <c r="D563" s="14" t="str">
        <f>'[1]V, inciso p) (OP)'!D294</f>
        <v>DOPI-MUN-RM-ID-CI-294-2017</v>
      </c>
      <c r="E563" s="13">
        <f>'[1]V, inciso p) (OP)'!AD294</f>
        <v>43082</v>
      </c>
      <c r="F563" s="14" t="str">
        <f>'[1]V, inciso p) (OP)'!AL294</f>
        <v>Rehabilitación de la Unidad Deportiva Paseos de Sol, Frente 1 (rehabilitación de canchas de béisbol, gradas, rehabilitación de baños vestidores,  colocación de back stop), en la colonia Paseos del Sol, municipio de Zapopan, Jalisco.</v>
      </c>
      <c r="G563" s="14" t="str">
        <f>'[1]V, inciso p) (OP)'!AR294</f>
        <v>Recurso Propio</v>
      </c>
      <c r="H563" s="15">
        <f>'[1]V, inciso p) (OP)'!AJ294</f>
        <v>7978305.2699999996</v>
      </c>
      <c r="I563" s="14" t="str">
        <f>'[1]V, inciso p) (OP)'!AS294</f>
        <v>Colonia Paseos del Sol</v>
      </c>
      <c r="J563" s="14" t="str">
        <f>'[1]V, inciso p) (OP)'!T294</f>
        <v>CARLOS ALBERTO</v>
      </c>
      <c r="K563" s="14" t="str">
        <f>'[1]V, inciso p) (OP)'!U294</f>
        <v>VILLASEÑOR</v>
      </c>
      <c r="L563" s="14" t="str">
        <f>'[1]V, inciso p) (OP)'!V294</f>
        <v>NÚÑEZ</v>
      </c>
      <c r="M563" s="14" t="str">
        <f>'[1]V, inciso p) (OP)'!W294</f>
        <v>MTQ DE MÉXICO, S.A. DE C.V.</v>
      </c>
      <c r="N563" s="14" t="str">
        <f>'[1]V, inciso p) (OP)'!X294</f>
        <v>MME011214IV5</v>
      </c>
      <c r="O563" s="15">
        <f t="shared" si="13"/>
        <v>7978305.2699999996</v>
      </c>
      <c r="P563" s="15">
        <f t="shared" si="15"/>
        <v>7978305.2699999996</v>
      </c>
      <c r="Q563" s="21" t="s">
        <v>1088</v>
      </c>
      <c r="R563" s="22">
        <f>H563/3028</f>
        <v>2634.8432199471595</v>
      </c>
      <c r="S563" s="12" t="s">
        <v>42</v>
      </c>
      <c r="T563" s="17">
        <v>38952</v>
      </c>
      <c r="U563" s="14" t="s">
        <v>43</v>
      </c>
      <c r="V563" s="12" t="s">
        <v>378</v>
      </c>
      <c r="W563" s="13">
        <f>'[1]V, inciso p) (OP)'!AM294</f>
        <v>43082</v>
      </c>
      <c r="X563" s="13">
        <f>'[1]V, inciso p) (OP)'!AN294</f>
        <v>43186</v>
      </c>
      <c r="Y563" s="12" t="s">
        <v>615</v>
      </c>
      <c r="Z563" s="12" t="s">
        <v>616</v>
      </c>
      <c r="AA563" s="12" t="s">
        <v>617</v>
      </c>
      <c r="AB563" s="14" t="s">
        <v>1497</v>
      </c>
      <c r="AC563" s="14" t="s">
        <v>48</v>
      </c>
      <c r="AD563" s="14" t="s">
        <v>1571</v>
      </c>
    </row>
    <row r="564" spans="1:30" ht="80.099999999999994" customHeight="1">
      <c r="A564" s="5">
        <v>295</v>
      </c>
      <c r="B564" s="12">
        <v>2017</v>
      </c>
      <c r="C564" s="14" t="str">
        <f>'[1]V, inciso p) (OP)'!B295</f>
        <v>Licitación por Invitación Restringida</v>
      </c>
      <c r="D564" s="14" t="str">
        <f>'[1]V, inciso p) (OP)'!D295</f>
        <v>DOPI-MUN-RM-ID-CI-295-2017</v>
      </c>
      <c r="E564" s="13">
        <f>'[1]V, inciso p) (OP)'!AD295</f>
        <v>43088</v>
      </c>
      <c r="F564" s="14" t="str">
        <f>'[1]V, inciso p) (OP)'!AL295</f>
        <v>Rehabilitación de la Unidad Deportiva Paseos de Sol, Frente 2 (cancha de usos múltiples, juegos infantiles, alumbrado y cercado perimetral), en la colonia Paseos del Sol, municipio de Zapopan, Jalisco.</v>
      </c>
      <c r="G564" s="14" t="str">
        <f>'[1]V, inciso p) (OP)'!AR295</f>
        <v>Recurso Propio</v>
      </c>
      <c r="H564" s="15">
        <f>'[1]V, inciso p) (OP)'!AJ295</f>
        <v>3989821.13</v>
      </c>
      <c r="I564" s="14" t="str">
        <f>'[1]V, inciso p) (OP)'!AS295</f>
        <v>Colonia Paseos del Sol</v>
      </c>
      <c r="J564" s="14" t="str">
        <f>'[1]V, inciso p) (OP)'!T295</f>
        <v>RICARDO</v>
      </c>
      <c r="K564" s="14" t="str">
        <f>'[1]V, inciso p) (OP)'!U295</f>
        <v>HARO</v>
      </c>
      <c r="L564" s="14" t="str">
        <f>'[1]V, inciso p) (OP)'!V295</f>
        <v>BUGARIN</v>
      </c>
      <c r="M564" s="14" t="str">
        <f>'[1]V, inciso p) (OP)'!W295</f>
        <v>CENTRAL EDIFICACIONES, S.A. DE C.V.</v>
      </c>
      <c r="N564" s="14" t="str">
        <f>'[1]V, inciso p) (OP)'!X295</f>
        <v>CED030514T47</v>
      </c>
      <c r="O564" s="15">
        <f t="shared" si="13"/>
        <v>3989821.13</v>
      </c>
      <c r="P564" s="15">
        <f t="shared" si="15"/>
        <v>3989821.13</v>
      </c>
      <c r="Q564" s="21" t="s">
        <v>881</v>
      </c>
      <c r="R564" s="22">
        <f>H564/1504</f>
        <v>2652.8066023936171</v>
      </c>
      <c r="S564" s="12" t="s">
        <v>42</v>
      </c>
      <c r="T564" s="17">
        <v>38952</v>
      </c>
      <c r="U564" s="14" t="s">
        <v>43</v>
      </c>
      <c r="V564" s="12" t="s">
        <v>378</v>
      </c>
      <c r="W564" s="13">
        <f>'[1]V, inciso p) (OP)'!AM295</f>
        <v>43088</v>
      </c>
      <c r="X564" s="13">
        <f>'[1]V, inciso p) (OP)'!AN295</f>
        <v>43192</v>
      </c>
      <c r="Y564" s="12" t="s">
        <v>615</v>
      </c>
      <c r="Z564" s="12" t="s">
        <v>616</v>
      </c>
      <c r="AA564" s="12" t="s">
        <v>617</v>
      </c>
      <c r="AB564" s="14" t="s">
        <v>1498</v>
      </c>
      <c r="AC564" s="14" t="s">
        <v>48</v>
      </c>
      <c r="AD564" s="14" t="s">
        <v>1571</v>
      </c>
    </row>
    <row r="565" spans="1:30" ht="80.099999999999994" customHeight="1">
      <c r="A565" s="5">
        <v>296</v>
      </c>
      <c r="B565" s="12">
        <v>2017</v>
      </c>
      <c r="C565" s="14" t="str">
        <f>'[1]V, inciso p) (OP)'!B296</f>
        <v>Licitación por Invitación Restringida</v>
      </c>
      <c r="D565" s="14" t="str">
        <f>'[1]V, inciso p) (OP)'!D296</f>
        <v>DOPI-MUN-RM-BAN-CI-296-2017</v>
      </c>
      <c r="E565" s="13">
        <f>'[1]V, inciso p) (OP)'!AD296</f>
        <v>43082</v>
      </c>
      <c r="F565" s="14" t="str">
        <f>'[1]V, inciso p) (OP)'!AL296</f>
        <v>Peatonalización en varias colonias y vialidades del municipio (Incluye: machuelos, banquetas, accesibilidad universal y bolardos). Primera Etapa, municipio de Zapopan, Jalisco.</v>
      </c>
      <c r="G565" s="14" t="str">
        <f>'[1]V, inciso p) (OP)'!AR296</f>
        <v>Recurso Propio</v>
      </c>
      <c r="H565" s="15">
        <f>'[1]V, inciso p) (OP)'!AJ296</f>
        <v>8241710.4699999997</v>
      </c>
      <c r="I565" s="14" t="s">
        <v>1349</v>
      </c>
      <c r="J565" s="14" t="str">
        <f>'[1]V, inciso p) (OP)'!T296</f>
        <v>IRMA NOEMI</v>
      </c>
      <c r="K565" s="14" t="str">
        <f>'[1]V, inciso p) (OP)'!U296</f>
        <v>HERNÁNDEZ</v>
      </c>
      <c r="L565" s="14" t="str">
        <f>'[1]V, inciso p) (OP)'!V296</f>
        <v>ESPINOZA</v>
      </c>
      <c r="M565" s="14" t="str">
        <f>'[1]V, inciso p) (OP)'!W296</f>
        <v>ARQUITECTOS DEL SUR, S.A. DE C.V.</v>
      </c>
      <c r="N565" s="14" t="str">
        <f>'[1]V, inciso p) (OP)'!X296</f>
        <v>ASU140117G73</v>
      </c>
      <c r="O565" s="15">
        <f t="shared" si="13"/>
        <v>8241710.4699999997</v>
      </c>
      <c r="P565" s="15">
        <f t="shared" si="15"/>
        <v>8241710.4699999997</v>
      </c>
      <c r="Q565" s="21" t="s">
        <v>1089</v>
      </c>
      <c r="R565" s="22">
        <f>H565/5507</f>
        <v>1496.5880642818231</v>
      </c>
      <c r="S565" s="12" t="s">
        <v>42</v>
      </c>
      <c r="T565" s="17">
        <v>98421</v>
      </c>
      <c r="U565" s="14" t="s">
        <v>43</v>
      </c>
      <c r="V565" s="12" t="s">
        <v>378</v>
      </c>
      <c r="W565" s="13">
        <f>'[1]V, inciso p) (OP)'!AM296</f>
        <v>43082</v>
      </c>
      <c r="X565" s="13">
        <f>'[1]V, inciso p) (OP)'!AN296</f>
        <v>43231</v>
      </c>
      <c r="Y565" s="12" t="s">
        <v>470</v>
      </c>
      <c r="Z565" s="12" t="s">
        <v>315</v>
      </c>
      <c r="AA565" s="12" t="s">
        <v>134</v>
      </c>
      <c r="AB565" s="14" t="s">
        <v>1499</v>
      </c>
      <c r="AC565" s="14" t="s">
        <v>48</v>
      </c>
      <c r="AD565" s="14" t="s">
        <v>1571</v>
      </c>
    </row>
    <row r="566" spans="1:30" ht="80.099999999999994" customHeight="1">
      <c r="A566" s="5">
        <v>297</v>
      </c>
      <c r="B566" s="12">
        <v>2017</v>
      </c>
      <c r="C566" s="14" t="str">
        <f>'[1]V, inciso p) (OP)'!B297</f>
        <v>Licitación por Invitación Restringida</v>
      </c>
      <c r="D566" s="14" t="str">
        <f>'[1]V, inciso p) (OP)'!D297</f>
        <v>DOPI-MUN-R33-IS-CI-297-2017</v>
      </c>
      <c r="E566" s="13">
        <f>'[1]V, inciso p) (OP)'!AD297</f>
        <v>43082</v>
      </c>
      <c r="F566" s="14" t="str">
        <f>'[1]V, inciso p) (OP)'!AL297</f>
        <v>Construcción de red de drenaje y red de agua potable de calles de la colonia Lomas del Centinela II, segunda etapa, municipio de Zapopan, Jalisco.</v>
      </c>
      <c r="G566" s="14" t="str">
        <f>'[1]V, inciso p) (OP)'!AR297</f>
        <v>Fondo para la Infraestructura Social Municipal 2017</v>
      </c>
      <c r="H566" s="15">
        <f>'[1]V, inciso p) (OP)'!AJ297</f>
        <v>7996862.4500000002</v>
      </c>
      <c r="I566" s="14" t="str">
        <f>'[1]V, inciso p) (OP)'!AS297</f>
        <v>Colonia Lomas del Centinela II</v>
      </c>
      <c r="J566" s="14" t="str">
        <f>'[1]V, inciso p) (OP)'!T297</f>
        <v>OMAR</v>
      </c>
      <c r="K566" s="14" t="str">
        <f>'[1]V, inciso p) (OP)'!U297</f>
        <v>TORRES</v>
      </c>
      <c r="L566" s="14" t="str">
        <f>'[1]V, inciso p) (OP)'!V297</f>
        <v>RAMOS</v>
      </c>
      <c r="M566" s="14" t="str">
        <f>'[1]V, inciso p) (OP)'!W297</f>
        <v>GRUPO CONSTRUCTOR OBINARQ, S.A. DE C.V.</v>
      </c>
      <c r="N566" s="14" t="str">
        <f>'[1]V, inciso p) (OP)'!X297</f>
        <v>GCO070524GT1</v>
      </c>
      <c r="O566" s="15">
        <f t="shared" si="13"/>
        <v>7996862.4500000002</v>
      </c>
      <c r="P566" s="15">
        <v>7996860</v>
      </c>
      <c r="Q566" s="21" t="s">
        <v>1090</v>
      </c>
      <c r="R566" s="22">
        <f>H566/1910</f>
        <v>4186.838979057592</v>
      </c>
      <c r="S566" s="12" t="s">
        <v>42</v>
      </c>
      <c r="T566" s="17">
        <v>291</v>
      </c>
      <c r="U566" s="14" t="s">
        <v>43</v>
      </c>
      <c r="V566" s="12" t="s">
        <v>44</v>
      </c>
      <c r="W566" s="13">
        <f>'[1]V, inciso p) (OP)'!AM297</f>
        <v>43082</v>
      </c>
      <c r="X566" s="13">
        <f>'[1]V, inciso p) (OP)'!AN297</f>
        <v>43100</v>
      </c>
      <c r="Y566" s="12" t="s">
        <v>767</v>
      </c>
      <c r="Z566" s="12" t="s">
        <v>843</v>
      </c>
      <c r="AA566" s="12" t="s">
        <v>769</v>
      </c>
      <c r="AB566" s="14" t="s">
        <v>1500</v>
      </c>
      <c r="AC566" s="14" t="s">
        <v>125</v>
      </c>
      <c r="AD566" s="14"/>
    </row>
    <row r="567" spans="1:30" ht="80.099999999999994" customHeight="1">
      <c r="A567" s="5">
        <v>298</v>
      </c>
      <c r="B567" s="12">
        <v>2017</v>
      </c>
      <c r="C567" s="14" t="str">
        <f>'[1]V, inciso p) (OP)'!B298</f>
        <v>Licitación por Invitación Restringida</v>
      </c>
      <c r="D567" s="14" t="str">
        <f>'[1]V, inciso p) (OP)'!D298</f>
        <v>DOPI-MUN-R33-IS-CI-298-2017</v>
      </c>
      <c r="E567" s="13">
        <f>'[1]V, inciso p) (OP)'!AD298</f>
        <v>43082</v>
      </c>
      <c r="F567" s="14" t="str">
        <f>'[1]V, inciso p) (OP)'!AL298</f>
        <v>Construcción de colector y complemento de servicios básicos en la colonia La Magdalena, primera etapa, municipio de Zapopan, Jalisco.</v>
      </c>
      <c r="G567" s="14" t="str">
        <f>'[1]V, inciso p) (OP)'!AR298</f>
        <v>Fondo para la Infraestructura Social Municipal 2018</v>
      </c>
      <c r="H567" s="15">
        <f>'[1]V, inciso p) (OP)'!AJ298</f>
        <v>5994261</v>
      </c>
      <c r="I567" s="14" t="str">
        <f>'[1]V, inciso p) (OP)'!AS298</f>
        <v>Colonia La Magdalena</v>
      </c>
      <c r="J567" s="14" t="str">
        <f>'[1]V, inciso p) (OP)'!T298</f>
        <v>DAVID</v>
      </c>
      <c r="K567" s="14" t="str">
        <f>'[1]V, inciso p) (OP)'!U298</f>
        <v>HERNÁNDEZ</v>
      </c>
      <c r="L567" s="14" t="str">
        <f>'[1]V, inciso p) (OP)'!V298</f>
        <v>ESQUIVEL</v>
      </c>
      <c r="M567" s="14" t="str">
        <f>'[1]V, inciso p) (OP)'!W298</f>
        <v>ARQUITECTURA Y ESPACIOS BEDA, S.A. DE C.V.</v>
      </c>
      <c r="N567" s="14" t="str">
        <f>'[1]V, inciso p) (OP)'!X298</f>
        <v>AEB000705CS2</v>
      </c>
      <c r="O567" s="15">
        <f t="shared" si="13"/>
        <v>5994261</v>
      </c>
      <c r="P567" s="15">
        <v>5994261</v>
      </c>
      <c r="Q567" s="21" t="s">
        <v>1091</v>
      </c>
      <c r="R567" s="22">
        <f>H567/436</f>
        <v>13748.305045871559</v>
      </c>
      <c r="S567" s="12" t="s">
        <v>42</v>
      </c>
      <c r="T567" s="17">
        <v>645</v>
      </c>
      <c r="U567" s="14" t="s">
        <v>43</v>
      </c>
      <c r="V567" s="12" t="s">
        <v>44</v>
      </c>
      <c r="W567" s="13">
        <f>'[1]V, inciso p) (OP)'!AM298</f>
        <v>43082</v>
      </c>
      <c r="X567" s="13">
        <f>'[1]V, inciso p) (OP)'!AN298</f>
        <v>43100</v>
      </c>
      <c r="Y567" s="12" t="s">
        <v>468</v>
      </c>
      <c r="Z567" s="12" t="s">
        <v>307</v>
      </c>
      <c r="AA567" s="12" t="s">
        <v>308</v>
      </c>
      <c r="AB567" s="14" t="s">
        <v>1501</v>
      </c>
      <c r="AC567" s="14" t="s">
        <v>125</v>
      </c>
      <c r="AD567" s="14"/>
    </row>
    <row r="568" spans="1:30" ht="80.099999999999994" customHeight="1">
      <c r="A568" s="5">
        <v>299</v>
      </c>
      <c r="B568" s="12">
        <v>2017</v>
      </c>
      <c r="C568" s="14" t="str">
        <f>'[1]V, inciso p) (OP)'!B299</f>
        <v>Licitación por Invitación Restringida</v>
      </c>
      <c r="D568" s="14" t="str">
        <f>'[1]V, inciso p) (OP)'!D299</f>
        <v>DOPI-MUN-CUSMAX-PAV-CI-299-2017</v>
      </c>
      <c r="E568" s="13">
        <f>'[1]V, inciso p) (OP)'!AD299</f>
        <v>43082</v>
      </c>
      <c r="F568" s="14" t="str">
        <f>'[1]V, inciso p) (OP)'!AL299</f>
        <v>Construcción de Parque Lineal en la Av. Patria, de Av. Acueducto - Eva Briseño-Av. Américas, tercera etapa: cruceros seguros, accesibilidades y semaforización, municipio de Zapopan, Jalisco.</v>
      </c>
      <c r="G568" s="14" t="str">
        <f>'[1]V, inciso p) (OP)'!AR299</f>
        <v>Cusmax 2017</v>
      </c>
      <c r="H568" s="15">
        <f>'[1]V, inciso p) (OP)'!AJ299</f>
        <v>5231076.3600000003</v>
      </c>
      <c r="I568" s="14" t="str">
        <f>'[1]V, inciso p) (OP)'!AS299</f>
        <v>Zona Andares</v>
      </c>
      <c r="J568" s="14" t="str">
        <f>'[1]V, inciso p) (OP)'!T299</f>
        <v>GUSTAVO</v>
      </c>
      <c r="K568" s="14" t="str">
        <f>'[1]V, inciso p) (OP)'!U299</f>
        <v>DURAN</v>
      </c>
      <c r="L568" s="14" t="str">
        <f>'[1]V, inciso p) (OP)'!V299</f>
        <v>JIMÉNEZ</v>
      </c>
      <c r="M568" s="14" t="str">
        <f>'[1]V, inciso p) (OP)'!W299</f>
        <v>DURAN JIMÉNEZ ARQUITECTOS Y ASOCIADOS, S.A. DE C.V.</v>
      </c>
      <c r="N568" s="14" t="str">
        <f>'[1]V, inciso p) (OP)'!X299</f>
        <v>DJA9405184G7</v>
      </c>
      <c r="O568" s="15">
        <f t="shared" si="13"/>
        <v>5231076.3600000003</v>
      </c>
      <c r="P568" s="15">
        <f>O568</f>
        <v>5231076.3600000003</v>
      </c>
      <c r="Q568" s="21" t="s">
        <v>1092</v>
      </c>
      <c r="R568" s="22">
        <f>H568/2150</f>
        <v>2433.0587720930234</v>
      </c>
      <c r="S568" s="12" t="s">
        <v>42</v>
      </c>
      <c r="T568" s="17">
        <v>12056</v>
      </c>
      <c r="U568" s="14" t="s">
        <v>43</v>
      </c>
      <c r="V568" s="12" t="s">
        <v>378</v>
      </c>
      <c r="W568" s="13">
        <f>'[1]V, inciso p) (OP)'!AM299</f>
        <v>43082</v>
      </c>
      <c r="X568" s="13">
        <f>'[1]V, inciso p) (OP)'!AN299</f>
        <v>43186</v>
      </c>
      <c r="Y568" s="12" t="s">
        <v>505</v>
      </c>
      <c r="Z568" s="12" t="s">
        <v>506</v>
      </c>
      <c r="AA568" s="12" t="s">
        <v>375</v>
      </c>
      <c r="AB568" s="14" t="s">
        <v>1502</v>
      </c>
      <c r="AC568" s="14" t="s">
        <v>48</v>
      </c>
      <c r="AD568" s="14" t="s">
        <v>1571</v>
      </c>
    </row>
    <row r="569" spans="1:30" ht="80.099999999999994" customHeight="1">
      <c r="A569" s="5">
        <v>300</v>
      </c>
      <c r="B569" s="12">
        <v>2017</v>
      </c>
      <c r="C569" s="14" t="str">
        <f>'[1]V, inciso p) (OP)'!B300</f>
        <v>Licitación por Invitación Restringida</v>
      </c>
      <c r="D569" s="14" t="str">
        <f>'[1]V, inciso p) (OP)'!D300</f>
        <v>DOPI-MUN-CUSMAX-PAV-CI-300-2017</v>
      </c>
      <c r="E569" s="13">
        <f>'[1]V, inciso p) (OP)'!AD300</f>
        <v>43082</v>
      </c>
      <c r="F569" s="14" t="str">
        <f>'[1]V, inciso p) (OP)'!AL300</f>
        <v>Construcción de crucero seguro en Av. Acueducto y Av. Puerta de Hierro, municipio de Zapopan, Jalisco.</v>
      </c>
      <c r="G569" s="14" t="str">
        <f>'[1]V, inciso p) (OP)'!AR300</f>
        <v>Cusmax 2017</v>
      </c>
      <c r="H569" s="15">
        <f>'[1]V, inciso p) (OP)'!AJ300</f>
        <v>4127441.19</v>
      </c>
      <c r="I569" s="14" t="str">
        <f>'[1]V, inciso p) (OP)'!AS300</f>
        <v>Colonia Puertade Hierro</v>
      </c>
      <c r="J569" s="14" t="str">
        <f>'[1]V, inciso p) (OP)'!T300</f>
        <v>JOSÉ DE JESÚS</v>
      </c>
      <c r="K569" s="14" t="str">
        <f>'[1]V, inciso p) (OP)'!U300</f>
        <v>ROMERO</v>
      </c>
      <c r="L569" s="14" t="str">
        <f>'[1]V, inciso p) (OP)'!V300</f>
        <v>GARCÍA</v>
      </c>
      <c r="M569" s="14" t="str">
        <f>'[1]V, inciso p) (OP)'!W300</f>
        <v>URBANIZADORA Y CONSTRUCTORA ROAL, S.A. DE C.V.</v>
      </c>
      <c r="N569" s="14" t="str">
        <f>'[1]V, inciso p) (OP)'!X300</f>
        <v>URC160310857</v>
      </c>
      <c r="O569" s="15">
        <f t="shared" si="13"/>
        <v>4127441.19</v>
      </c>
      <c r="P569" s="15">
        <f>O569</f>
        <v>4127441.19</v>
      </c>
      <c r="Q569" s="21" t="s">
        <v>1093</v>
      </c>
      <c r="R569" s="22">
        <f>H569/326</f>
        <v>12660.862546012269</v>
      </c>
      <c r="S569" s="12" t="s">
        <v>42</v>
      </c>
      <c r="T569" s="17">
        <v>26598</v>
      </c>
      <c r="U569" s="14" t="s">
        <v>43</v>
      </c>
      <c r="V569" s="12" t="s">
        <v>378</v>
      </c>
      <c r="W569" s="13">
        <f>'[1]V, inciso p) (OP)'!AM300</f>
        <v>43082</v>
      </c>
      <c r="X569" s="13">
        <f>'[1]V, inciso p) (OP)'!AN300</f>
        <v>43186</v>
      </c>
      <c r="Y569" s="12" t="s">
        <v>976</v>
      </c>
      <c r="Z569" s="12" t="s">
        <v>977</v>
      </c>
      <c r="AA569" s="12" t="s">
        <v>877</v>
      </c>
      <c r="AB569" s="14" t="s">
        <v>1503</v>
      </c>
      <c r="AC569" s="14" t="s">
        <v>48</v>
      </c>
      <c r="AD569" s="14" t="s">
        <v>1571</v>
      </c>
    </row>
    <row r="570" spans="1:30" ht="80.099999999999994" customHeight="1">
      <c r="A570" s="5">
        <v>301</v>
      </c>
      <c r="B570" s="12">
        <v>2017</v>
      </c>
      <c r="C570" s="14" t="str">
        <f>'[1]V, inciso p) (OP)'!B301</f>
        <v>Licitación por Invitación Restringida</v>
      </c>
      <c r="D570" s="14" t="str">
        <f>'[1]V, inciso p) (OP)'!D301</f>
        <v>DOPI-MUN-CUSMAX-IE-CI-301-2017</v>
      </c>
      <c r="E570" s="13">
        <f>'[1]V, inciso p) (OP)'!AD301</f>
        <v>43088</v>
      </c>
      <c r="F570" s="14" t="str">
        <f>'[1]V, inciso p) (OP)'!AL301</f>
        <v>Estructura con lonaria y rehabilitación de Infraestructura en la Escuela C.A.M. Juan José Arreola - Roberto Solís Quiroga (pintura en exterior, impermeabilización, adecuación de banquetas y accesibilidad, rehabilitación de baños, pintura en exterior y malla perimetral), colonia Residencial Moctezuma Poniente, municipio de Zapopan, Jalisco.</v>
      </c>
      <c r="G570" s="14" t="str">
        <f>'[1]V, inciso p) (OP)'!AR301</f>
        <v>Cusmax 2017</v>
      </c>
      <c r="H570" s="15">
        <f>'[1]V, inciso p) (OP)'!AJ301</f>
        <v>3696246.86</v>
      </c>
      <c r="I570" s="14" t="str">
        <f>'[1]V, inciso p) (OP)'!AS301</f>
        <v>Colonia Residencial Moctezuma Poniente</v>
      </c>
      <c r="J570" s="14" t="str">
        <f>'[1]V, inciso p) (OP)'!T301</f>
        <v xml:space="preserve">RODOLFO </v>
      </c>
      <c r="K570" s="14" t="str">
        <f>'[1]V, inciso p) (OP)'!U301</f>
        <v xml:space="preserve">PLASCHINSKI </v>
      </c>
      <c r="L570" s="14" t="str">
        <f>'[1]V, inciso p) (OP)'!V301</f>
        <v>VÁZQUEZ</v>
      </c>
      <c r="M570" s="14" t="str">
        <f>'[1]V, inciso p) (OP)'!W301</f>
        <v>CONSTRUCTIO GERENS, S.A. DE C.V.</v>
      </c>
      <c r="N570" s="14" t="str">
        <f>'[1]V, inciso p) (OP)'!X301</f>
        <v>CGE0101209V0</v>
      </c>
      <c r="O570" s="15">
        <f t="shared" si="13"/>
        <v>3696246.86</v>
      </c>
      <c r="P570" s="15">
        <f>O570</f>
        <v>3696246.86</v>
      </c>
      <c r="Q570" s="21" t="s">
        <v>1094</v>
      </c>
      <c r="R570" s="22">
        <f>H570/642</f>
        <v>5757.3938629283484</v>
      </c>
      <c r="S570" s="12" t="s">
        <v>42</v>
      </c>
      <c r="T570" s="17">
        <v>569</v>
      </c>
      <c r="U570" s="14" t="s">
        <v>43</v>
      </c>
      <c r="V570" s="12" t="s">
        <v>378</v>
      </c>
      <c r="W570" s="13">
        <f>'[1]V, inciso p) (OP)'!AM301</f>
        <v>43088</v>
      </c>
      <c r="X570" s="13">
        <f>'[1]V, inciso p) (OP)'!AN301</f>
        <v>43177</v>
      </c>
      <c r="Y570" s="12" t="s">
        <v>470</v>
      </c>
      <c r="Z570" s="12" t="s">
        <v>315</v>
      </c>
      <c r="AA570" s="12" t="s">
        <v>134</v>
      </c>
      <c r="AB570" s="14" t="s">
        <v>1504</v>
      </c>
      <c r="AC570" s="14" t="s">
        <v>48</v>
      </c>
      <c r="AD570" s="14" t="s">
        <v>1571</v>
      </c>
    </row>
    <row r="571" spans="1:30" ht="80.099999999999994" customHeight="1">
      <c r="A571" s="5">
        <v>302</v>
      </c>
      <c r="B571" s="12">
        <v>2017</v>
      </c>
      <c r="C571" s="14" t="str">
        <f>'[1]V, inciso p) (OP)'!B302</f>
        <v>Licitación por Invitación Restringida</v>
      </c>
      <c r="D571" s="14" t="str">
        <f>'[1]V, inciso p) (OP)'!D302</f>
        <v>DOPI-MUN-CUSMAX-ID-CI-302-2017</v>
      </c>
      <c r="E571" s="13">
        <f>'[1]V, inciso p) (OP)'!AD302</f>
        <v>43082</v>
      </c>
      <c r="F571" s="14" t="str">
        <f>'[1]V, inciso p) (OP)'!AL302</f>
        <v>Construcción de Unidad Deportiva Arenales Tapatíos 2da Sección (Alcances: Cancha de Futbol 7 con pasto sintético, módulo de baños, cercado perimetral, andador, juegos infantiles, alumbrado público, banquetas y accesibilidad), primera etapa, municipio de Zapopan, Jalisco.</v>
      </c>
      <c r="G571" s="14" t="str">
        <f>'[1]V, inciso p) (OP)'!AR302</f>
        <v>Cusmax 2017</v>
      </c>
      <c r="H571" s="15">
        <f>'[1]V, inciso p) (OP)'!AJ302</f>
        <v>5655079.3700000001</v>
      </c>
      <c r="I571" s="14" t="str">
        <f>'[1]V, inciso p) (OP)'!AS302</f>
        <v>Colonia Arenales Tapatios</v>
      </c>
      <c r="J571" s="14" t="str">
        <f>'[1]V, inciso p) (OP)'!T302</f>
        <v>MARÍA ARCELIA</v>
      </c>
      <c r="K571" s="14" t="str">
        <f>'[1]V, inciso p) (OP)'!U302</f>
        <v>IÑIGUEZ</v>
      </c>
      <c r="L571" s="14" t="str">
        <f>'[1]V, inciso p) (OP)'!V302</f>
        <v>HERNÁNDEZ</v>
      </c>
      <c r="M571" s="14" t="str">
        <f>'[1]V, inciso p) (OP)'!W302</f>
        <v>COMERCIALIZADORA POLIGONO, S..A DE C.V.</v>
      </c>
      <c r="N571" s="14" t="str">
        <f>'[1]V, inciso p) (OP)'!X302</f>
        <v>COP1209104M8</v>
      </c>
      <c r="O571" s="15">
        <f t="shared" si="13"/>
        <v>5655079.3700000001</v>
      </c>
      <c r="P571" s="15">
        <f>O571</f>
        <v>5655079.3700000001</v>
      </c>
      <c r="Q571" s="21" t="s">
        <v>1095</v>
      </c>
      <c r="R571" s="22">
        <f>H571/3150</f>
        <v>1795.2632920634921</v>
      </c>
      <c r="S571" s="12" t="s">
        <v>42</v>
      </c>
      <c r="T571" s="17">
        <v>2056</v>
      </c>
      <c r="U571" s="14" t="s">
        <v>43</v>
      </c>
      <c r="V571" s="12" t="s">
        <v>378</v>
      </c>
      <c r="W571" s="13">
        <f>'[1]V, inciso p) (OP)'!AM302</f>
        <v>43082</v>
      </c>
      <c r="X571" s="13">
        <f>'[1]V, inciso p) (OP)'!AN302</f>
        <v>43201</v>
      </c>
      <c r="Y571" s="12" t="s">
        <v>418</v>
      </c>
      <c r="Z571" s="12" t="s">
        <v>419</v>
      </c>
      <c r="AA571" s="12" t="s">
        <v>420</v>
      </c>
      <c r="AB571" s="14" t="s">
        <v>1505</v>
      </c>
      <c r="AC571" s="14" t="s">
        <v>48</v>
      </c>
      <c r="AD571" s="14" t="s">
        <v>1571</v>
      </c>
    </row>
    <row r="572" spans="1:30" ht="80.099999999999994" customHeight="1">
      <c r="A572" s="5">
        <v>303</v>
      </c>
      <c r="B572" s="12">
        <v>2017</v>
      </c>
      <c r="C572" s="14" t="str">
        <f>'[1]V, inciso p) (OP)'!B303</f>
        <v>Invitación a Cuando Menos Tres Personas</v>
      </c>
      <c r="D572" s="14" t="str">
        <f>'[1]V, inciso p) (OP)'!D303</f>
        <v>DOPI-FED-EP-EP-CI-303-2017</v>
      </c>
      <c r="E572" s="13">
        <f>'[1]V, inciso p) (OP)'!AD303</f>
        <v>43082</v>
      </c>
      <c r="F572" s="14" t="str">
        <f>'[1]V, inciso p) (OP)'!AL303</f>
        <v>Mejoramiento físico de espacios públicos, Parque Aurelio Ortega, municipio de Zapopan, Jalisco.</v>
      </c>
      <c r="G572" s="14" t="str">
        <f>'[1]V, inciso p) (OP)'!AR303</f>
        <v>Espacios Públicos</v>
      </c>
      <c r="H572" s="15">
        <f>'[1]V, inciso p) (OP)'!AJ303</f>
        <v>2918783.25</v>
      </c>
      <c r="I572" s="14" t="str">
        <f>'[1]V, inciso p) (OP)'!AS303</f>
        <v>Aurelio Ortega</v>
      </c>
      <c r="J572" s="14" t="str">
        <f>'[1]V, inciso p) (OP)'!T303</f>
        <v>ERNESTO</v>
      </c>
      <c r="K572" s="14" t="str">
        <f>'[1]V, inciso p) (OP)'!U303</f>
        <v>OLIVARES</v>
      </c>
      <c r="L572" s="14" t="str">
        <f>'[1]V, inciso p) (OP)'!V303</f>
        <v>ÁLVAREZ</v>
      </c>
      <c r="M572" s="14" t="str">
        <f>'[1]V, inciso p) (OP)'!W303</f>
        <v>SERVICIOS METROPOLITANOS DE JALISCO, S.A. DE C.V.</v>
      </c>
      <c r="N572" s="14" t="str">
        <f>'[1]V, inciso p) (OP)'!X303</f>
        <v>SMJ090317FS9</v>
      </c>
      <c r="O572" s="15">
        <f t="shared" si="13"/>
        <v>2918783.25</v>
      </c>
      <c r="P572" s="15">
        <v>2918783.25</v>
      </c>
      <c r="Q572" s="21" t="s">
        <v>1096</v>
      </c>
      <c r="R572" s="22">
        <f>H572/1654</f>
        <v>1764.6815296251511</v>
      </c>
      <c r="S572" s="12" t="s">
        <v>42</v>
      </c>
      <c r="T572" s="17">
        <v>1204</v>
      </c>
      <c r="U572" s="14" t="s">
        <v>43</v>
      </c>
      <c r="V572" s="12" t="s">
        <v>378</v>
      </c>
      <c r="W572" s="13">
        <f>'[1]V, inciso p) (OP)'!AM303</f>
        <v>43082</v>
      </c>
      <c r="X572" s="13">
        <f>'[1]V, inciso p) (OP)'!AN303</f>
        <v>43100</v>
      </c>
      <c r="Y572" s="12" t="s">
        <v>436</v>
      </c>
      <c r="Z572" s="12" t="s">
        <v>75</v>
      </c>
      <c r="AA572" s="12" t="s">
        <v>567</v>
      </c>
      <c r="AB572" s="14" t="s">
        <v>1506</v>
      </c>
      <c r="AC572" s="14" t="s">
        <v>48</v>
      </c>
      <c r="AD572" s="14"/>
    </row>
    <row r="573" spans="1:30" ht="80.099999999999994" customHeight="1">
      <c r="A573" s="5">
        <v>304</v>
      </c>
      <c r="B573" s="12">
        <v>2017</v>
      </c>
      <c r="C573" s="14" t="str">
        <f>'[1]V, inciso p) (OP)'!B304</f>
        <v>Licitación por Invitación Restringida</v>
      </c>
      <c r="D573" s="14" t="str">
        <f>'[1]V, inciso p) (OP)'!D304</f>
        <v>DOPI-MUN-RM-PAV-CI-304-2017</v>
      </c>
      <c r="E573" s="13">
        <f>'[1]V, inciso p) (OP)'!AD304</f>
        <v>43133</v>
      </c>
      <c r="F573" s="14" t="str">
        <f>'[1]V, inciso p) (OP)'!AL304</f>
        <v>Pavimentación de Av. Copalita, de calle Venustiano Carranza a Av. San Cristóbal Magallanes, incluye: banquetas y señalética horizontal, en la colonia Vicente Guerrero, municipio de Zapopan, Jalisco.</v>
      </c>
      <c r="G573" s="14" t="str">
        <f>'[1]V, inciso p) (OP)'!AR304</f>
        <v>Recurso Propio</v>
      </c>
      <c r="H573" s="15">
        <f>'[1]V, inciso p) (OP)'!AJ304</f>
        <v>6216718.1200000001</v>
      </c>
      <c r="I573" s="14" t="str">
        <f>'[1]V, inciso p) (OP)'!AS304</f>
        <v>Colonia Vicente Guerrero</v>
      </c>
      <c r="J573" s="14" t="str">
        <f>'[1]V, inciso p) (OP)'!T304</f>
        <v>PATRICIA LORENA</v>
      </c>
      <c r="K573" s="14" t="str">
        <f>'[1]V, inciso p) (OP)'!U304</f>
        <v xml:space="preserve">GARCÍA </v>
      </c>
      <c r="L573" s="14" t="str">
        <f>'[1]V, inciso p) (OP)'!V304</f>
        <v>MEZA</v>
      </c>
      <c r="M573" s="14" t="str">
        <f>'[1]V, inciso p) (OP)'!W304</f>
        <v>ARQUITECTOS  Y OBRAS PERDURABLES, S.A. DE C.V.</v>
      </c>
      <c r="N573" s="14" t="str">
        <f>'[1]V, inciso p) (OP)'!X304</f>
        <v>AOP140117KA2</v>
      </c>
      <c r="O573" s="15">
        <f t="shared" si="13"/>
        <v>6216718.1200000001</v>
      </c>
      <c r="P573" s="15">
        <f>O573</f>
        <v>6216718.1200000001</v>
      </c>
      <c r="Q573" s="21" t="s">
        <v>1097</v>
      </c>
      <c r="R573" s="22">
        <f>O573/2280</f>
        <v>2726.6307543859648</v>
      </c>
      <c r="S573" s="12" t="s">
        <v>42</v>
      </c>
      <c r="T573" s="17">
        <v>3688</v>
      </c>
      <c r="U573" s="14" t="s">
        <v>43</v>
      </c>
      <c r="V573" s="12" t="s">
        <v>378</v>
      </c>
      <c r="W573" s="13">
        <f>'[1]V, inciso p) (OP)'!AM304</f>
        <v>43133</v>
      </c>
      <c r="X573" s="13">
        <f>'[1]V, inciso p) (OP)'!AN304</f>
        <v>43282</v>
      </c>
      <c r="Y573" s="12" t="s">
        <v>336</v>
      </c>
      <c r="Z573" s="12" t="s">
        <v>337</v>
      </c>
      <c r="AA573" s="12" t="s">
        <v>120</v>
      </c>
      <c r="AB573" s="14" t="s">
        <v>1507</v>
      </c>
      <c r="AC573" s="14" t="s">
        <v>48</v>
      </c>
      <c r="AD573" s="14" t="s">
        <v>1571</v>
      </c>
    </row>
    <row r="574" spans="1:30" ht="80.099999999999994" customHeight="1">
      <c r="A574" s="5">
        <v>305</v>
      </c>
      <c r="B574" s="12">
        <v>2017</v>
      </c>
      <c r="C574" s="14" t="str">
        <f>'[1]V, inciso p) (OP)'!B305</f>
        <v>Licitación por Invitación Restringida</v>
      </c>
      <c r="D574" s="14" t="str">
        <f>'[1]V, inciso p) (OP)'!D305</f>
        <v>DOPI-MUN-PP-EP-CI-305-2017</v>
      </c>
      <c r="E574" s="13">
        <f>'[1]V, inciso p) (OP)'!AD305</f>
        <v>43088</v>
      </c>
      <c r="F574" s="14" t="str">
        <f>'[1]V, inciso p) (OP)'!AL305</f>
        <v>Construcción de Parque para Adultos Mayores en la Colonia La Calma, municipio de Zapopan, Jalisco.</v>
      </c>
      <c r="G574" s="14" t="str">
        <f>'[1]V, inciso p) (OP)'!AR305</f>
        <v>Presupuesto Participativo</v>
      </c>
      <c r="H574" s="15">
        <f>'[1]V, inciso p) (OP)'!AJ305</f>
        <v>3985716.58</v>
      </c>
      <c r="I574" s="14" t="str">
        <f>'[1]V, inciso p) (OP)'!AS305</f>
        <v>Colonia La Calma</v>
      </c>
      <c r="J574" s="14" t="str">
        <f>'[1]V, inciso p) (OP)'!T305</f>
        <v>JESÚS</v>
      </c>
      <c r="K574" s="14" t="str">
        <f>'[1]V, inciso p) (OP)'!U305</f>
        <v>ARENAS</v>
      </c>
      <c r="L574" s="14" t="str">
        <f>'[1]V, inciso p) (OP)'!V305</f>
        <v>BRAVO</v>
      </c>
      <c r="M574" s="14" t="str">
        <f>'[1]V, inciso p) (OP)'!W305</f>
        <v>SICOSA, S.A. DE C.V.</v>
      </c>
      <c r="N574" s="14" t="str">
        <f>'[1]V, inciso p) (OP)'!X305</f>
        <v>SIC940317FH7</v>
      </c>
      <c r="O574" s="15">
        <f t="shared" si="13"/>
        <v>3985716.58</v>
      </c>
      <c r="P574" s="15">
        <f>O574</f>
        <v>3985716.58</v>
      </c>
      <c r="Q574" s="21" t="s">
        <v>1098</v>
      </c>
      <c r="R574" s="22">
        <f>H574/1307</f>
        <v>3049.5153634276971</v>
      </c>
      <c r="S574" s="12" t="s">
        <v>42</v>
      </c>
      <c r="T574" s="17">
        <v>1026</v>
      </c>
      <c r="U574" s="14" t="s">
        <v>43</v>
      </c>
      <c r="V574" s="12" t="s">
        <v>378</v>
      </c>
      <c r="W574" s="13">
        <f>'[1]V, inciso p) (OP)'!AM305</f>
        <v>43088</v>
      </c>
      <c r="X574" s="13">
        <f>'[1]V, inciso p) (OP)'!AN305</f>
        <v>43174</v>
      </c>
      <c r="Y574" s="12" t="s">
        <v>436</v>
      </c>
      <c r="Z574" s="12" t="s">
        <v>75</v>
      </c>
      <c r="AA574" s="12" t="s">
        <v>567</v>
      </c>
      <c r="AB574" s="14" t="s">
        <v>1508</v>
      </c>
      <c r="AC574" s="14" t="s">
        <v>48</v>
      </c>
      <c r="AD574" s="14" t="s">
        <v>1571</v>
      </c>
    </row>
    <row r="575" spans="1:30" ht="80.099999999999994" customHeight="1">
      <c r="A575" s="5">
        <v>306</v>
      </c>
      <c r="B575" s="12">
        <v>2017</v>
      </c>
      <c r="C575" s="14" t="str">
        <f>'[1]V, inciso p) (OP)'!B306</f>
        <v>Licitación por Invitación Restringida</v>
      </c>
      <c r="D575" s="14" t="str">
        <f>'[1]V, inciso p) (OP)'!D306</f>
        <v>DOPI-MUN-RM-EP-CI-306-2017</v>
      </c>
      <c r="E575" s="13">
        <f>'[1]V, inciso p) (OP)'!AD306</f>
        <v>43088</v>
      </c>
      <c r="F575" s="14" t="str">
        <f>'[1]V, inciso p) (OP)'!AL306</f>
        <v>Parque incluyente en Colonia Gustavo Diaz Ordaz, Primera Etapa, municipio de Zapopan, Jalisco.</v>
      </c>
      <c r="G575" s="14" t="str">
        <f>'[1]V, inciso p) (OP)'!AR306</f>
        <v>Recurso Propio</v>
      </c>
      <c r="H575" s="15">
        <f>'[1]V, inciso p) (OP)'!AJ306</f>
        <v>5979767.6399999997</v>
      </c>
      <c r="I575" s="14" t="str">
        <f>'[1]V, inciso p) (OP)'!AS306</f>
        <v>Colonia Gustavo Diaz Ordaz</v>
      </c>
      <c r="J575" s="14" t="str">
        <f>'[1]V, inciso p) (OP)'!T306</f>
        <v>JUAN CARLOS</v>
      </c>
      <c r="K575" s="14" t="str">
        <f>'[1]V, inciso p) (OP)'!U306</f>
        <v>SUAZO</v>
      </c>
      <c r="L575" s="14" t="str">
        <f>'[1]V, inciso p) (OP)'!V306</f>
        <v>HERNÁNDEZ</v>
      </c>
      <c r="M575" s="14" t="str">
        <f>'[1]V, inciso p) (OP)'!W306</f>
        <v>CODIGO A CONSTRUCTORES, S.A. DE C.V.</v>
      </c>
      <c r="N575" s="14" t="str">
        <f>'[1]V, inciso p) (OP)'!X306</f>
        <v>CCO1304181PA</v>
      </c>
      <c r="O575" s="15">
        <f t="shared" si="13"/>
        <v>5979767.6399999997</v>
      </c>
      <c r="P575" s="15">
        <f>O575</f>
        <v>5979767.6399999997</v>
      </c>
      <c r="Q575" s="21" t="s">
        <v>1099</v>
      </c>
      <c r="R575" s="22">
        <f>H575/2291</f>
        <v>2610.1124574421647</v>
      </c>
      <c r="S575" s="12" t="s">
        <v>42</v>
      </c>
      <c r="T575" s="17">
        <v>2069</v>
      </c>
      <c r="U575" s="14" t="s">
        <v>43</v>
      </c>
      <c r="V575" s="12" t="s">
        <v>378</v>
      </c>
      <c r="W575" s="13">
        <f>'[1]V, inciso p) (OP)'!AM306</f>
        <v>43088</v>
      </c>
      <c r="X575" s="13">
        <f>'[1]V, inciso p) (OP)'!AN306</f>
        <v>43174</v>
      </c>
      <c r="Y575" s="12" t="s">
        <v>1031</v>
      </c>
      <c r="Z575" s="12" t="s">
        <v>743</v>
      </c>
      <c r="AA575" s="12" t="s">
        <v>744</v>
      </c>
      <c r="AB575" s="14" t="s">
        <v>48</v>
      </c>
      <c r="AC575" s="14" t="s">
        <v>48</v>
      </c>
      <c r="AD575" s="14" t="s">
        <v>1571</v>
      </c>
    </row>
    <row r="576" spans="1:30" ht="80.099999999999994" customHeight="1">
      <c r="A576" s="5">
        <v>307</v>
      </c>
      <c r="B576" s="12">
        <v>2017</v>
      </c>
      <c r="C576" s="14" t="str">
        <f>'[1]V, inciso p) (OP)'!B307</f>
        <v>Licitación por Invitación Restringida</v>
      </c>
      <c r="D576" s="14" t="str">
        <f>'[1]V, inciso p) (OP)'!D307</f>
        <v>DOPI-MUN-CUSMAX-EP-CI-307-2017</v>
      </c>
      <c r="E576" s="13">
        <f>'[1]V, inciso p) (OP)'!AD307</f>
        <v>43088</v>
      </c>
      <c r="F576" s="14" t="str">
        <f>'[1]V, inciso p) (OP)'!AL307</f>
        <v>Rehabilitación de espacio recreativo, sustitución de losas dañadas y machuelos, cancha de futbol rápido, rehabilitación de jardineras, mobiliario urbano, forestación, accesibilidad e iluminación, colonia San Isidro Ejidal, municipio de Zapopan, Jalisco.</v>
      </c>
      <c r="G576" s="14" t="str">
        <f>'[1]V, inciso p) (OP)'!AR307</f>
        <v>Cusmax 2017</v>
      </c>
      <c r="H576" s="15">
        <f>'[1]V, inciso p) (OP)'!AJ307</f>
        <v>3998780.69</v>
      </c>
      <c r="I576" s="14" t="str">
        <f>'[1]V, inciso p) (OP)'!AS307</f>
        <v>Colonia San Isidro Ejidal</v>
      </c>
      <c r="J576" s="14" t="str">
        <f>'[1]V, inciso p) (OP)'!T307</f>
        <v>HÉCTOR RUBÉN</v>
      </c>
      <c r="K576" s="14" t="str">
        <f>'[1]V, inciso p) (OP)'!U307</f>
        <v>PÉREZ</v>
      </c>
      <c r="L576" s="14" t="str">
        <f>'[1]V, inciso p) (OP)'!V307</f>
        <v>VARGAS</v>
      </c>
      <c r="M576" s="14" t="str">
        <f>'[1]V, inciso p) (OP)'!W307</f>
        <v>DOS-HB CONSTRUCCIÓN, S.A. DE C.V.</v>
      </c>
      <c r="N576" s="14" t="str">
        <f>'[1]V, inciso p) (OP)'!X307</f>
        <v>DCO140606CT5</v>
      </c>
      <c r="O576" s="15">
        <f t="shared" si="13"/>
        <v>3998780.69</v>
      </c>
      <c r="P576" s="15">
        <f>O576</f>
        <v>3998780.69</v>
      </c>
      <c r="Q576" s="21" t="s">
        <v>1100</v>
      </c>
      <c r="R576" s="22">
        <f>H576/3524</f>
        <v>1134.727778093076</v>
      </c>
      <c r="S576" s="12" t="s">
        <v>42</v>
      </c>
      <c r="T576" s="17">
        <v>2687</v>
      </c>
      <c r="U576" s="14" t="s">
        <v>43</v>
      </c>
      <c r="V576" s="12" t="s">
        <v>378</v>
      </c>
      <c r="W576" s="13">
        <f>'[1]V, inciso p) (OP)'!AM307</f>
        <v>43088</v>
      </c>
      <c r="X576" s="13">
        <f>'[1]V, inciso p) (OP)'!AN307</f>
        <v>43174</v>
      </c>
      <c r="Y576" s="12" t="s">
        <v>436</v>
      </c>
      <c r="Z576" s="12" t="s">
        <v>75</v>
      </c>
      <c r="AA576" s="12" t="s">
        <v>567</v>
      </c>
      <c r="AB576" s="14" t="s">
        <v>1509</v>
      </c>
      <c r="AC576" s="14" t="s">
        <v>48</v>
      </c>
      <c r="AD576" s="14" t="s">
        <v>1571</v>
      </c>
    </row>
    <row r="577" spans="1:30" ht="80.099999999999994" customHeight="1">
      <c r="A577" s="5">
        <v>308</v>
      </c>
      <c r="B577" s="12">
        <v>2017</v>
      </c>
      <c r="C577" s="14" t="str">
        <f>'[1]V, inciso p) (OP)'!B308</f>
        <v>Licitación por Invitación Restringida</v>
      </c>
      <c r="D577" s="14" t="str">
        <f>'[1]V, inciso p) (OP)'!D308</f>
        <v>DOPI-MUN-CUSMAX-IE-CI-308-2017</v>
      </c>
      <c r="E577" s="13">
        <f>'[1]V, inciso p) (OP)'!AD308</f>
        <v>43088</v>
      </c>
      <c r="F577" s="14" t="str">
        <f>'[1]V, inciso p) (OP)'!AL308</f>
        <v>Rehabilitación de Infraestructura en el Centro de Capacitación Laboral Benito Juárez (rehabilitación de barda, techos, cisterna, estructura con lonaria, construcción de espacio cívico, pintura en exterior, impermeabilización), colonia Unidad Estatuto Jurídico, municipio de Zapopan, Jalisco.</v>
      </c>
      <c r="G577" s="14" t="str">
        <f>'[1]V, inciso p) (OP)'!AR308</f>
        <v>Cusmax 2017</v>
      </c>
      <c r="H577" s="15">
        <f>'[1]V, inciso p) (OP)'!AJ308</f>
        <v>2795892.55</v>
      </c>
      <c r="I577" s="14" t="str">
        <f>'[1]V, inciso p) (OP)'!AS308</f>
        <v>Colonia Unidad Estatuto Jurídico</v>
      </c>
      <c r="J577" s="14" t="str">
        <f>'[1]V, inciso p) (OP)'!T308</f>
        <v xml:space="preserve">ISIDRO </v>
      </c>
      <c r="K577" s="14" t="str">
        <f>'[1]V, inciso p) (OP)'!U308</f>
        <v xml:space="preserve"> ESPINOZA </v>
      </c>
      <c r="L577" s="14" t="str">
        <f>'[1]V, inciso p) (OP)'!V308</f>
        <v xml:space="preserve"> PERALTA</v>
      </c>
      <c r="M577" s="14" t="str">
        <f>'[1]V, inciso p) (OP)'!W308</f>
        <v>PROMOTORA Y EDIFICADORA SIERRA BLANCA S.A. DE C.V.</v>
      </c>
      <c r="N577" s="14" t="str">
        <f>'[1]V, inciso p) (OP)'!X308</f>
        <v>PES1105119J6</v>
      </c>
      <c r="O577" s="15">
        <f t="shared" si="13"/>
        <v>2795892.55</v>
      </c>
      <c r="P577" s="15">
        <v>1121221.3500000001</v>
      </c>
      <c r="Q577" s="21" t="s">
        <v>1101</v>
      </c>
      <c r="R577" s="22">
        <f>H577/210</f>
        <v>13313.774047619047</v>
      </c>
      <c r="S577" s="12" t="s">
        <v>42</v>
      </c>
      <c r="T577" s="17">
        <v>563</v>
      </c>
      <c r="U577" s="14" t="s">
        <v>43</v>
      </c>
      <c r="V577" s="12" t="s">
        <v>378</v>
      </c>
      <c r="W577" s="13">
        <f>'[1]V, inciso p) (OP)'!AM308</f>
        <v>43088</v>
      </c>
      <c r="X577" s="13">
        <f>'[1]V, inciso p) (OP)'!AN308</f>
        <v>43177</v>
      </c>
      <c r="Y577" s="12" t="s">
        <v>436</v>
      </c>
      <c r="Z577" s="12" t="s">
        <v>75</v>
      </c>
      <c r="AA577" s="12" t="s">
        <v>567</v>
      </c>
      <c r="AB577" s="14" t="s">
        <v>1510</v>
      </c>
      <c r="AC577" s="14" t="s">
        <v>48</v>
      </c>
      <c r="AD577" s="14"/>
    </row>
    <row r="578" spans="1:30" ht="80.099999999999994" customHeight="1">
      <c r="A578" s="5">
        <v>309</v>
      </c>
      <c r="B578" s="12">
        <v>2017</v>
      </c>
      <c r="C578" s="14" t="str">
        <f>'[1]V, inciso p) (OP)'!B309</f>
        <v>Licitación por Invitación Restringida</v>
      </c>
      <c r="D578" s="14" t="str">
        <f>'[1]V, inciso p) (OP)'!D309</f>
        <v>DOPI-MUN-CUSMAX-ID-CI-309-2017</v>
      </c>
      <c r="E578" s="13">
        <f>'[1]V, inciso p) (OP)'!AD309</f>
        <v>43088</v>
      </c>
      <c r="F578" s="14" t="str">
        <f>'[1]V, inciso p) (OP)'!AL309</f>
        <v>Construcción de la Unidad Deportiva Santa Lucia (Alcances: cancha de futbol 7, gimnasio al aire libre, área de juegos y cercado perimetral, primera etapa, municipio de Zapopan, Jalisco.</v>
      </c>
      <c r="G578" s="14" t="str">
        <f>'[1]V, inciso p) (OP)'!AR309</f>
        <v>Cusmax 2017</v>
      </c>
      <c r="H578" s="15">
        <f>'[1]V, inciso p) (OP)'!AJ309</f>
        <v>3491530.1</v>
      </c>
      <c r="I578" s="14" t="str">
        <f>'[1]V, inciso p) (OP)'!AS309</f>
        <v>Colonia Santa Lucia</v>
      </c>
      <c r="J578" s="14" t="str">
        <f>'[1]V, inciso p) (OP)'!T309</f>
        <v>JOAQUIN</v>
      </c>
      <c r="K578" s="14" t="str">
        <f>'[1]V, inciso p) (OP)'!U309</f>
        <v>RAMÍREZ</v>
      </c>
      <c r="L578" s="14" t="str">
        <f>'[1]V, inciso p) (OP)'!V309</f>
        <v>GALLARDO</v>
      </c>
      <c r="M578" s="14" t="str">
        <f>'[1]V, inciso p) (OP)'!W309</f>
        <v>A. &amp; G. URBANIZADORA, S.A. DE C.V.</v>
      </c>
      <c r="N578" s="14" t="str">
        <f>'[1]V, inciso p) (OP)'!X309</f>
        <v>AUR100826KX0</v>
      </c>
      <c r="O578" s="15">
        <f t="shared" si="13"/>
        <v>3491530.1</v>
      </c>
      <c r="P578" s="15">
        <v>3377659.5</v>
      </c>
      <c r="Q578" s="21" t="s">
        <v>1095</v>
      </c>
      <c r="R578" s="22">
        <f>H578/3150</f>
        <v>1108.4222539682539</v>
      </c>
      <c r="S578" s="12" t="s">
        <v>42</v>
      </c>
      <c r="T578" s="17">
        <v>2684</v>
      </c>
      <c r="U578" s="14" t="s">
        <v>43</v>
      </c>
      <c r="V578" s="12" t="s">
        <v>378</v>
      </c>
      <c r="W578" s="13">
        <f>'[1]V, inciso p) (OP)'!AM309</f>
        <v>43088</v>
      </c>
      <c r="X578" s="13">
        <f>'[1]V, inciso p) (OP)'!AN309</f>
        <v>43177</v>
      </c>
      <c r="Y578" s="12" t="s">
        <v>830</v>
      </c>
      <c r="Z578" s="12" t="s">
        <v>831</v>
      </c>
      <c r="AA578" s="12" t="s">
        <v>134</v>
      </c>
      <c r="AB578" s="14" t="s">
        <v>1511</v>
      </c>
      <c r="AC578" s="14" t="s">
        <v>48</v>
      </c>
      <c r="AD578" s="14"/>
    </row>
    <row r="579" spans="1:30" ht="80.099999999999994" customHeight="1">
      <c r="A579" s="5">
        <v>310</v>
      </c>
      <c r="B579" s="12">
        <v>2017</v>
      </c>
      <c r="C579" s="14" t="str">
        <f>'[1]V, inciso p) (OP)'!B310</f>
        <v>Licitación por Invitación Restringida</v>
      </c>
      <c r="D579" s="14" t="str">
        <f>'[1]V, inciso p) (OP)'!D310</f>
        <v>DOPI-MUN-CUSMAX-EP-CI-310-2017</v>
      </c>
      <c r="E579" s="13">
        <f>'[1]V, inciso p) (OP)'!AD310</f>
        <v>43088</v>
      </c>
      <c r="F579" s="14" t="str">
        <f>'[1]V, inciso p) (OP)'!AL310</f>
        <v>Construcción del parque incluyente en Carretera a Tesistán (La Loma), primera etapa, municipio de Zapopan, Jalisco.</v>
      </c>
      <c r="G579" s="14" t="str">
        <f>'[1]V, inciso p) (OP)'!AR310</f>
        <v>Cusmax 2017</v>
      </c>
      <c r="H579" s="15">
        <f>'[1]V, inciso p) (OP)'!AJ310</f>
        <v>4950060.7300000004</v>
      </c>
      <c r="I579" s="14" t="str">
        <f>'[1]V, inciso p) (OP)'!AS310</f>
        <v>Colonia La Loma</v>
      </c>
      <c r="J579" s="14" t="str">
        <f>'[1]V, inciso p) (OP)'!T310</f>
        <v xml:space="preserve">EDUARDO </v>
      </c>
      <c r="K579" s="14" t="str">
        <f>'[1]V, inciso p) (OP)'!U310</f>
        <v>CRUZ</v>
      </c>
      <c r="L579" s="14" t="str">
        <f>'[1]V, inciso p) (OP)'!V310</f>
        <v>MOGUEL</v>
      </c>
      <c r="M579" s="14" t="str">
        <f>'[1]V, inciso p) (OP)'!W310</f>
        <v>BALKEN, S.A. DE C.V.</v>
      </c>
      <c r="N579" s="14" t="str">
        <f>'[1]V, inciso p) (OP)'!X310</f>
        <v>BAL990803661</v>
      </c>
      <c r="O579" s="15">
        <f t="shared" si="13"/>
        <v>4950060.7300000004</v>
      </c>
      <c r="P579" s="15">
        <f>O579</f>
        <v>4950060.7300000004</v>
      </c>
      <c r="Q579" s="21" t="s">
        <v>1102</v>
      </c>
      <c r="R579" s="22">
        <f>H579/3750</f>
        <v>1320.0161946666667</v>
      </c>
      <c r="S579" s="12" t="s">
        <v>42</v>
      </c>
      <c r="T579" s="17">
        <v>985</v>
      </c>
      <c r="U579" s="14" t="s">
        <v>43</v>
      </c>
      <c r="V579" s="12" t="s">
        <v>378</v>
      </c>
      <c r="W579" s="13">
        <f>'[1]V, inciso p) (OP)'!AM310</f>
        <v>43088</v>
      </c>
      <c r="X579" s="13">
        <f>'[1]V, inciso p) (OP)'!AN310</f>
        <v>43177</v>
      </c>
      <c r="Y579" s="12" t="s">
        <v>794</v>
      </c>
      <c r="Z579" s="12" t="s">
        <v>992</v>
      </c>
      <c r="AA579" s="12" t="s">
        <v>164</v>
      </c>
      <c r="AB579" s="14" t="s">
        <v>1512</v>
      </c>
      <c r="AC579" s="14" t="s">
        <v>48</v>
      </c>
      <c r="AD579" s="14" t="s">
        <v>1571</v>
      </c>
    </row>
    <row r="580" spans="1:30" ht="80.099999999999994" customHeight="1">
      <c r="A580" s="5">
        <v>311</v>
      </c>
      <c r="B580" s="12">
        <v>2017</v>
      </c>
      <c r="C580" s="14" t="str">
        <f>'[1]V, inciso p) (OP)'!B311</f>
        <v>Licitación por Invitación Restringida</v>
      </c>
      <c r="D580" s="14" t="str">
        <f>'[1]V, inciso p) (OP)'!D311</f>
        <v>DOPI-MUN-CUSMAX-EP-CI-311-2017</v>
      </c>
      <c r="E580" s="13">
        <f>'[1]V, inciso p) (OP)'!AD311</f>
        <v>43088</v>
      </c>
      <c r="F580" s="14" t="str">
        <f>'[1]V, inciso p) (OP)'!AL311</f>
        <v>Construcción de terraza para usos múltiples, rehabilitación de alumbrado público, banquetas y accesibilidad en Parque la Calma, municipio de Zapopan, Jalisco.</v>
      </c>
      <c r="G580" s="14" t="str">
        <f>'[1]V, inciso p) (OP)'!AR311</f>
        <v>Cusmax 2017</v>
      </c>
      <c r="H580" s="15">
        <f>'[1]V, inciso p) (OP)'!AJ311</f>
        <v>3994412.49</v>
      </c>
      <c r="I580" s="14" t="str">
        <f>'[1]V, inciso p) (OP)'!AS311</f>
        <v>Colonia La Calma</v>
      </c>
      <c r="J580" s="14" t="str">
        <f>'[1]V, inciso p) (OP)'!T311</f>
        <v>ALEJANDRO</v>
      </c>
      <c r="K580" s="14" t="str">
        <f>'[1]V, inciso p) (OP)'!U311</f>
        <v>GUEVARA</v>
      </c>
      <c r="L580" s="14" t="str">
        <f>'[1]V, inciso p) (OP)'!V311</f>
        <v>CASTELLANOS</v>
      </c>
      <c r="M580" s="14" t="str">
        <f>'[1]V, inciso p) (OP)'!W311</f>
        <v>URBANIZACION Y CONSTRUCCIÓN AVANZADA, S.A. DE C.V.</v>
      </c>
      <c r="N580" s="14" t="str">
        <f>'[1]V, inciso p) (OP)'!X311</f>
        <v>UCA0207107X6</v>
      </c>
      <c r="O580" s="15">
        <f t="shared" si="13"/>
        <v>3994412.49</v>
      </c>
      <c r="P580" s="15">
        <f>O580</f>
        <v>3994412.49</v>
      </c>
      <c r="Q580" s="21" t="s">
        <v>1103</v>
      </c>
      <c r="R580" s="22">
        <f>H580/3492</f>
        <v>1143.8752835051548</v>
      </c>
      <c r="S580" s="12" t="s">
        <v>42</v>
      </c>
      <c r="T580" s="17">
        <v>825</v>
      </c>
      <c r="U580" s="14" t="s">
        <v>43</v>
      </c>
      <c r="V580" s="12" t="s">
        <v>378</v>
      </c>
      <c r="W580" s="13">
        <f>'[1]V, inciso p) (OP)'!AM311</f>
        <v>43088</v>
      </c>
      <c r="X580" s="13">
        <f>'[1]V, inciso p) (OP)'!AN311</f>
        <v>43177</v>
      </c>
      <c r="Y580" s="12" t="s">
        <v>418</v>
      </c>
      <c r="Z580" s="12" t="s">
        <v>419</v>
      </c>
      <c r="AA580" s="12" t="s">
        <v>420</v>
      </c>
      <c r="AB580" s="14" t="s">
        <v>1513</v>
      </c>
      <c r="AC580" s="14" t="s">
        <v>48</v>
      </c>
      <c r="AD580" s="14" t="s">
        <v>1571</v>
      </c>
    </row>
    <row r="581" spans="1:30" ht="80.099999999999994" customHeight="1">
      <c r="A581" s="5">
        <v>312</v>
      </c>
      <c r="B581" s="12">
        <v>2017</v>
      </c>
      <c r="C581" s="14" t="str">
        <f>'[1]V, inciso p) (OP)'!B312</f>
        <v>Licitación por Invitación Restringida</v>
      </c>
      <c r="D581" s="14" t="str">
        <f>'[1]V, inciso p) (OP)'!D312</f>
        <v>DOPI-MUN-CUSMAX-EP-CI-312-2017</v>
      </c>
      <c r="E581" s="13">
        <f>'[1]V, inciso p) (OP)'!AD312</f>
        <v>43088</v>
      </c>
      <c r="F581" s="14" t="str">
        <f>'[1]V, inciso p) (OP)'!AL312</f>
        <v>Rehabilitación y Equipamiento del Parque infantil ubicado en la calle Idolina Gaona de Cosío y Octava Oriente, en la colonia Jardines de Nuevo México, municipio de Zapopan, Jalisco.</v>
      </c>
      <c r="G581" s="14" t="str">
        <f>'[1]V, inciso p) (OP)'!AR312</f>
        <v>Cusmax 2017</v>
      </c>
      <c r="H581" s="15">
        <f>'[1]V, inciso p) (OP)'!AJ312</f>
        <v>2886916.94</v>
      </c>
      <c r="I581" s="14" t="str">
        <f>'[1]V, inciso p) (OP)'!AS312</f>
        <v>Colonia Jarfdínes de Nuevo México</v>
      </c>
      <c r="J581" s="14" t="str">
        <f>'[1]V, inciso p) (OP)'!T312</f>
        <v>LUIS REYNALDO</v>
      </c>
      <c r="K581" s="14" t="str">
        <f>'[1]V, inciso p) (OP)'!U312</f>
        <v xml:space="preserve">GALVÁN </v>
      </c>
      <c r="L581" s="14" t="str">
        <f>'[1]V, inciso p) (OP)'!V312</f>
        <v>BERMEJO</v>
      </c>
      <c r="M581" s="14" t="str">
        <f>'[1]V, inciso p) (OP)'!W312</f>
        <v>GALJACK ARQUITECTOS Y CONSTRUCCIONES, S.A. DE C.V.</v>
      </c>
      <c r="N581" s="14" t="str">
        <f>'[1]V, inciso p) (OP)'!X312</f>
        <v>GAC051206TQ3</v>
      </c>
      <c r="O581" s="15">
        <f t="shared" si="13"/>
        <v>2886916.94</v>
      </c>
      <c r="P581" s="15">
        <v>2885656.96</v>
      </c>
      <c r="Q581" s="21" t="s">
        <v>1104</v>
      </c>
      <c r="R581" s="22">
        <f>H581/435</f>
        <v>6636.5906666666669</v>
      </c>
      <c r="S581" s="12" t="s">
        <v>42</v>
      </c>
      <c r="T581" s="17">
        <v>634</v>
      </c>
      <c r="U581" s="14" t="s">
        <v>43</v>
      </c>
      <c r="V581" s="12" t="s">
        <v>378</v>
      </c>
      <c r="W581" s="13">
        <f>'[1]V, inciso p) (OP)'!AM312</f>
        <v>43088</v>
      </c>
      <c r="X581" s="13">
        <f>'[1]V, inciso p) (OP)'!AN312</f>
        <v>43177</v>
      </c>
      <c r="Y581" s="12" t="s">
        <v>336</v>
      </c>
      <c r="Z581" s="12" t="s">
        <v>337</v>
      </c>
      <c r="AA581" s="12" t="s">
        <v>120</v>
      </c>
      <c r="AB581" s="14" t="s">
        <v>1514</v>
      </c>
      <c r="AC581" s="14" t="s">
        <v>48</v>
      </c>
      <c r="AD581" s="14"/>
    </row>
    <row r="582" spans="1:30" ht="80.099999999999994" customHeight="1">
      <c r="A582" s="5">
        <v>313</v>
      </c>
      <c r="B582" s="12">
        <v>2017</v>
      </c>
      <c r="C582" s="14" t="str">
        <f>'[1]V, inciso p) (OP)'!B313</f>
        <v>Licitación por Invitación Restringida</v>
      </c>
      <c r="D582" s="14" t="str">
        <f>'[1]V, inciso p) (OP)'!D313</f>
        <v>DOPI-MUN-CUSMAX-ID-CI-313-2017</v>
      </c>
      <c r="E582" s="13">
        <f>'[1]V, inciso p) (OP)'!AD313</f>
        <v>43088</v>
      </c>
      <c r="F582" s="14" t="str">
        <f>'[1]V, inciso p) (OP)'!AL313</f>
        <v>Construcción de la Unidad Deportiva en el fraccionamiento Valle de Los Molinos, primera etapa, municipio de Zapopan, Jalisco.</v>
      </c>
      <c r="G582" s="14" t="str">
        <f>'[1]V, inciso p) (OP)'!AR313</f>
        <v>Cusmax 2017</v>
      </c>
      <c r="H582" s="15">
        <f>'[1]V, inciso p) (OP)'!AJ313</f>
        <v>5078968.1900000004</v>
      </c>
      <c r="I582" s="14" t="str">
        <f>'[1]V, inciso p) (OP)'!AS313</f>
        <v>Colonia Valle de los Molinos</v>
      </c>
      <c r="J582" s="14" t="str">
        <f>'[1]V, inciso p) (OP)'!T313</f>
        <v>ADALBERTO</v>
      </c>
      <c r="K582" s="14" t="str">
        <f>'[1]V, inciso p) (OP)'!U313</f>
        <v>MEDINA</v>
      </c>
      <c r="L582" s="14" t="str">
        <f>'[1]V, inciso p) (OP)'!V313</f>
        <v>MORALES</v>
      </c>
      <c r="M582" s="14" t="str">
        <f>'[1]V, inciso p) (OP)'!W313</f>
        <v>URDEM, S.A. DE C.V.</v>
      </c>
      <c r="N582" s="14" t="str">
        <f>'[1]V, inciso p) (OP)'!X313</f>
        <v>URD130830U21</v>
      </c>
      <c r="O582" s="15">
        <f t="shared" si="13"/>
        <v>5078968.1900000004</v>
      </c>
      <c r="P582" s="15">
        <v>5078888.57</v>
      </c>
      <c r="Q582" s="21" t="s">
        <v>1105</v>
      </c>
      <c r="R582" s="22">
        <f>H582/6136</f>
        <v>827.73275586701436</v>
      </c>
      <c r="S582" s="12" t="s">
        <v>42</v>
      </c>
      <c r="T582" s="17">
        <v>1068</v>
      </c>
      <c r="U582" s="14" t="s">
        <v>43</v>
      </c>
      <c r="V582" s="12" t="s">
        <v>378</v>
      </c>
      <c r="W582" s="13">
        <f>'[1]V, inciso p) (OP)'!AM313</f>
        <v>43088</v>
      </c>
      <c r="X582" s="13">
        <f>'[1]V, inciso p) (OP)'!AN313</f>
        <v>43177</v>
      </c>
      <c r="Y582" s="12" t="s">
        <v>468</v>
      </c>
      <c r="Z582" s="12" t="s">
        <v>307</v>
      </c>
      <c r="AA582" s="12" t="s">
        <v>308</v>
      </c>
      <c r="AB582" s="14" t="s">
        <v>1515</v>
      </c>
      <c r="AC582" s="14" t="s">
        <v>48</v>
      </c>
      <c r="AD582" s="14"/>
    </row>
    <row r="583" spans="1:30" ht="80.099999999999994" customHeight="1">
      <c r="A583" s="5">
        <v>314</v>
      </c>
      <c r="B583" s="12">
        <v>2017</v>
      </c>
      <c r="C583" s="14" t="str">
        <f>'[1]V, inciso p) (OP)'!B314</f>
        <v>Licitación por Invitación Restringida</v>
      </c>
      <c r="D583" s="14" t="str">
        <f>'[1]V, inciso p) (OP)'!D314</f>
        <v>DOPI-MUN-CUSMAX-IE-CI-314-2017</v>
      </c>
      <c r="E583" s="13">
        <f>'[1]V, inciso p) (OP)'!AD314</f>
        <v>43088</v>
      </c>
      <c r="F583" s="14" t="str">
        <f>'[1]V, inciso p) (OP)'!AL314</f>
        <v>Rehabilitación de Infraestructura en la Escuela C.A.M. Sabino Cruz López (Rehabilitación de patio cívico, rehabilitación de juegos, reparación de techo, pintura en exterior, impermeabilización, banquetas y accesibilidad), colonia el Vigía, municipio de Zapopan, Jalisco.</v>
      </c>
      <c r="G583" s="14" t="str">
        <f>'[1]V, inciso p) (OP)'!AR314</f>
        <v>Cusmax 2017</v>
      </c>
      <c r="H583" s="15">
        <f>'[1]V, inciso p) (OP)'!AJ314</f>
        <v>1995958</v>
      </c>
      <c r="I583" s="14" t="str">
        <f>'[1]V, inciso p) (OP)'!AS314</f>
        <v>Colonia El Vigia</v>
      </c>
      <c r="J583" s="14" t="str">
        <f>'[1]V, inciso p) (OP)'!T314</f>
        <v xml:space="preserve">ARTURO </v>
      </c>
      <c r="K583" s="14" t="str">
        <f>'[1]V, inciso p) (OP)'!U314</f>
        <v>DISTANCIA</v>
      </c>
      <c r="L583" s="14" t="str">
        <f>'[1]V, inciso p) (OP)'!V314</f>
        <v>SÁNCHEZ</v>
      </c>
      <c r="M583" s="14" t="str">
        <f>'[1]V, inciso p) (OP)'!W314</f>
        <v>JAVAX CONSULTORES, S.A. DE C.V.</v>
      </c>
      <c r="N583" s="14" t="str">
        <f>'[1]V, inciso p) (OP)'!X314</f>
        <v>JCO160413SK4</v>
      </c>
      <c r="O583" s="15">
        <f t="shared" si="13"/>
        <v>1995958</v>
      </c>
      <c r="P583" s="15">
        <f>O583</f>
        <v>1995958</v>
      </c>
      <c r="Q583" s="21" t="s">
        <v>1106</v>
      </c>
      <c r="R583" s="22">
        <f>H583/543</f>
        <v>3675.7974217311234</v>
      </c>
      <c r="S583" s="12" t="s">
        <v>42</v>
      </c>
      <c r="T583" s="17">
        <v>355</v>
      </c>
      <c r="U583" s="14" t="s">
        <v>43</v>
      </c>
      <c r="V583" s="12" t="s">
        <v>378</v>
      </c>
      <c r="W583" s="13">
        <f>'[1]V, inciso p) (OP)'!AM314</f>
        <v>43088</v>
      </c>
      <c r="X583" s="13">
        <f>'[1]V, inciso p) (OP)'!AN314</f>
        <v>43177</v>
      </c>
      <c r="Y583" s="12" t="s">
        <v>436</v>
      </c>
      <c r="Z583" s="12" t="s">
        <v>75</v>
      </c>
      <c r="AA583" s="12" t="s">
        <v>567</v>
      </c>
      <c r="AB583" s="14" t="s">
        <v>1516</v>
      </c>
      <c r="AC583" s="14" t="s">
        <v>48</v>
      </c>
      <c r="AD583" s="14" t="s">
        <v>1571</v>
      </c>
    </row>
    <row r="584" spans="1:30" ht="80.099999999999994" customHeight="1">
      <c r="A584" s="5">
        <v>315</v>
      </c>
      <c r="B584" s="12">
        <v>2017</v>
      </c>
      <c r="C584" s="14" t="str">
        <f>'[1]V, inciso p) (OP)'!B315</f>
        <v>Licitación por Invitación Restringida</v>
      </c>
      <c r="D584" s="14" t="str">
        <f>'[1]V, inciso p) (OP)'!D315</f>
        <v>DOPI-MUN-CUSMAX-EP-CI-315-2017</v>
      </c>
      <c r="E584" s="13">
        <f>'[1]V, inciso p) (OP)'!AD315</f>
        <v>43088</v>
      </c>
      <c r="F584" s="14" t="str">
        <f>'[1]V, inciso p) (OP)'!AL315</f>
        <v>Rehabilitación de espacio recreativa, juegos infantiles, gimnasio al aire libre, sustitución de losas dañadas, andadores, banquetas, accesibilidad y alumbrado, Lomas de Atemajac, municipio de Zapopan, Jalisco.</v>
      </c>
      <c r="G584" s="14" t="str">
        <f>'[1]V, inciso p) (OP)'!AR315</f>
        <v>Cusmax 2017</v>
      </c>
      <c r="H584" s="15">
        <f>'[1]V, inciso p) (OP)'!AJ315</f>
        <v>3925636.16</v>
      </c>
      <c r="I584" s="14" t="str">
        <f>'[1]V, inciso p) (OP)'!AS315</f>
        <v>Colonia Lomas de Atemajac</v>
      </c>
      <c r="J584" s="14" t="str">
        <f>'[1]V, inciso p) (OP)'!T315</f>
        <v>JOSÉ DE JESÚS</v>
      </c>
      <c r="K584" s="14" t="str">
        <f>'[1]V, inciso p) (OP)'!U315</f>
        <v>PALAFOX</v>
      </c>
      <c r="L584" s="14" t="str">
        <f>'[1]V, inciso p) (OP)'!V315</f>
        <v>VILLEGAS</v>
      </c>
      <c r="M584" s="14" t="str">
        <f>'[1]V, inciso p) (OP)'!W315</f>
        <v>MEGAENLACE CONSTRUCCIÓNES S.A. DE C.V.</v>
      </c>
      <c r="N584" s="14" t="str">
        <f>'[1]V, inciso p) (OP)'!X315</f>
        <v>MCO1510113H8</v>
      </c>
      <c r="O584" s="15">
        <f t="shared" si="13"/>
        <v>3925636.16</v>
      </c>
      <c r="P584" s="15">
        <f>O584</f>
        <v>3925636.16</v>
      </c>
      <c r="Q584" s="21" t="s">
        <v>1107</v>
      </c>
      <c r="R584" s="22">
        <f>H584/1850</f>
        <v>2121.9654918918918</v>
      </c>
      <c r="S584" s="12" t="s">
        <v>42</v>
      </c>
      <c r="T584" s="17">
        <v>1678</v>
      </c>
      <c r="U584" s="14" t="s">
        <v>43</v>
      </c>
      <c r="V584" s="12" t="s">
        <v>378</v>
      </c>
      <c r="W584" s="13">
        <f>'[1]V, inciso p) (OP)'!AM315</f>
        <v>43088</v>
      </c>
      <c r="X584" s="13">
        <f>'[1]V, inciso p) (OP)'!AN315</f>
        <v>43177</v>
      </c>
      <c r="Y584" s="12" t="s">
        <v>436</v>
      </c>
      <c r="Z584" s="12" t="s">
        <v>75</v>
      </c>
      <c r="AA584" s="12" t="s">
        <v>567</v>
      </c>
      <c r="AB584" s="14" t="s">
        <v>1517</v>
      </c>
      <c r="AC584" s="14" t="s">
        <v>48</v>
      </c>
      <c r="AD584" s="14" t="s">
        <v>1571</v>
      </c>
    </row>
    <row r="585" spans="1:30" ht="80.099999999999994" customHeight="1">
      <c r="A585" s="5">
        <v>316</v>
      </c>
      <c r="B585" s="12">
        <v>2017</v>
      </c>
      <c r="C585" s="14" t="str">
        <f>'[1]V, inciso p) (OP)'!B316</f>
        <v>Licitación por Invitación Restringida</v>
      </c>
      <c r="D585" s="14" t="str">
        <f>'[1]V, inciso p) (OP)'!D316</f>
        <v>DOPI-MUN-CUSMAX-IE-CI-316-2017</v>
      </c>
      <c r="E585" s="13">
        <f>'[1]V, inciso p) (OP)'!AD316</f>
        <v>43088</v>
      </c>
      <c r="F585" s="14" t="str">
        <f>'[1]V, inciso p) (OP)'!AL316</f>
        <v>Estructura con lonaria y rehabilitación de Infraestructura en el C.A.M. CITIA (Centro Interdisciplinario para el Tratamiento e Investigación del Autismo) (rehabilitación de patio cívico, adecuación de banquetas y accesibilidad, impermeabilización, pintura en exteriores), colonia Arboledas, municipio de Zapopan, Jalisco.</v>
      </c>
      <c r="G585" s="14" t="str">
        <f>'[1]V, inciso p) (OP)'!AR316</f>
        <v>Cusmax 2017</v>
      </c>
      <c r="H585" s="15">
        <f>'[1]V, inciso p) (OP)'!AJ316</f>
        <v>3092973.17</v>
      </c>
      <c r="I585" s="14" t="str">
        <f>'[1]V, inciso p) (OP)'!AS316</f>
        <v>Colonia Arboledas</v>
      </c>
      <c r="J585" s="14" t="str">
        <f>'[1]V, inciso p) (OP)'!T316</f>
        <v>LORENA MARGARITA</v>
      </c>
      <c r="K585" s="14" t="str">
        <f>'[1]V, inciso p) (OP)'!U316</f>
        <v>LIMÓN</v>
      </c>
      <c r="L585" s="14" t="str">
        <f>'[1]V, inciso p) (OP)'!V316</f>
        <v>GONZÁLEZ</v>
      </c>
      <c r="M585" s="14" t="str">
        <f>'[1]V, inciso p) (OP)'!W316</f>
        <v>INGENIERIA Y SISTEMAS DE INFRAESTRUCTURA, S.A. DE C.V.</v>
      </c>
      <c r="N585" s="14" t="str">
        <f>'[1]V, inciso p) (OP)'!X316</f>
        <v>ISI921126N34</v>
      </c>
      <c r="O585" s="15">
        <f t="shared" si="13"/>
        <v>3092973.17</v>
      </c>
      <c r="P585" s="15">
        <v>3092973.17</v>
      </c>
      <c r="Q585" s="21" t="s">
        <v>1108</v>
      </c>
      <c r="R585" s="22">
        <f>H585/478</f>
        <v>6470.655167364017</v>
      </c>
      <c r="S585" s="12" t="s">
        <v>42</v>
      </c>
      <c r="T585" s="17">
        <v>469</v>
      </c>
      <c r="U585" s="14" t="s">
        <v>43</v>
      </c>
      <c r="V585" s="12" t="s">
        <v>378</v>
      </c>
      <c r="W585" s="13">
        <f>'[1]V, inciso p) (OP)'!AM316</f>
        <v>43088</v>
      </c>
      <c r="X585" s="13">
        <f>'[1]V, inciso p) (OP)'!AN316</f>
        <v>43177</v>
      </c>
      <c r="Y585" s="12" t="s">
        <v>436</v>
      </c>
      <c r="Z585" s="12" t="s">
        <v>75</v>
      </c>
      <c r="AA585" s="12" t="s">
        <v>567</v>
      </c>
      <c r="AB585" s="14" t="s">
        <v>1518</v>
      </c>
      <c r="AC585" s="14" t="s">
        <v>48</v>
      </c>
      <c r="AD585" s="14"/>
    </row>
    <row r="586" spans="1:30" ht="80.099999999999994" customHeight="1">
      <c r="A586" s="5">
        <v>317</v>
      </c>
      <c r="B586" s="12">
        <v>2017</v>
      </c>
      <c r="C586" s="14" t="str">
        <f>'[1]V, inciso p) (OP)'!B317</f>
        <v>Licitación por Invitación Restringida</v>
      </c>
      <c r="D586" s="14" t="str">
        <f>'[1]V, inciso p) (OP)'!D317</f>
        <v>DOPI-MUN-CUSMAX-ID-CI-317-2017</v>
      </c>
      <c r="E586" s="13">
        <f>'[1]V, inciso p) (OP)'!AD317</f>
        <v>43088</v>
      </c>
      <c r="F586" s="14" t="str">
        <f>'[1]V, inciso p) (OP)'!AL317</f>
        <v>Rehabilitación de la Unidad Deportiva Santa Ana Tepetitlán, (Alcances: construcción de cancha de futbol soccer de pasto sintético), primera etapa, municipio de Zapopan, Jalisco.</v>
      </c>
      <c r="G586" s="14" t="str">
        <f>'[1]V, inciso p) (OP)'!AR317</f>
        <v>Cusmax 2017</v>
      </c>
      <c r="H586" s="15">
        <f>'[1]V, inciso p) (OP)'!AJ317</f>
        <v>5666226.9900000002</v>
      </c>
      <c r="I586" s="14" t="str">
        <f>'[1]V, inciso p) (OP)'!AS317</f>
        <v>Colonia Santa Ana Tepetitlán</v>
      </c>
      <c r="J586" s="14" t="str">
        <f>'[1]V, inciso p) (OP)'!T317</f>
        <v>JOSÉ LUIS ROBERTO</v>
      </c>
      <c r="K586" s="14" t="str">
        <f>'[1]V, inciso p) (OP)'!U317</f>
        <v>ULLOA</v>
      </c>
      <c r="L586" s="14" t="str">
        <f>'[1]V, inciso p) (OP)'!V317</f>
        <v>LEAÑO</v>
      </c>
      <c r="M586" s="14" t="str">
        <f>'[1]V, inciso p) (OP)'!W317</f>
        <v>EPSIC, ESTUDIOS, PROYECTOS Y SERVICIOS INTEGRADOS PARA LA CONSTRUCCIÓN, S.A. DE C.V.</v>
      </c>
      <c r="N586" s="14" t="str">
        <f>'[1]V, inciso p) (OP)'!X317</f>
        <v>EEP070913PY4</v>
      </c>
      <c r="O586" s="15">
        <f t="shared" si="13"/>
        <v>5666226.9900000002</v>
      </c>
      <c r="P586" s="15">
        <f>O586</f>
        <v>5666226.9900000002</v>
      </c>
      <c r="Q586" s="21" t="s">
        <v>1109</v>
      </c>
      <c r="R586" s="22">
        <f>H586/4492</f>
        <v>1261.4040494211933</v>
      </c>
      <c r="S586" s="12" t="s">
        <v>42</v>
      </c>
      <c r="T586" s="17">
        <v>2481</v>
      </c>
      <c r="U586" s="14" t="s">
        <v>43</v>
      </c>
      <c r="V586" s="12" t="s">
        <v>378</v>
      </c>
      <c r="W586" s="13">
        <f>'[1]V, inciso p) (OP)'!AM317</f>
        <v>43088</v>
      </c>
      <c r="X586" s="13">
        <f>'[1]V, inciso p) (OP)'!AN317</f>
        <v>43177</v>
      </c>
      <c r="Y586" s="12" t="s">
        <v>735</v>
      </c>
      <c r="Z586" s="12" t="s">
        <v>236</v>
      </c>
      <c r="AA586" s="12" t="s">
        <v>147</v>
      </c>
      <c r="AB586" s="14" t="s">
        <v>1519</v>
      </c>
      <c r="AC586" s="14" t="s">
        <v>48</v>
      </c>
      <c r="AD586" s="14" t="s">
        <v>1571</v>
      </c>
    </row>
    <row r="587" spans="1:30" ht="80.099999999999994" customHeight="1">
      <c r="A587" s="5">
        <v>320</v>
      </c>
      <c r="B587" s="12">
        <v>2017</v>
      </c>
      <c r="C587" s="14" t="str">
        <f>'[1]V, inciso p) (OP)'!B318</f>
        <v>Licitación por Invitación Restringida</v>
      </c>
      <c r="D587" s="14" t="str">
        <f>'[1]V, inciso p) (OP)'!D318</f>
        <v>DOPI-MUN-RM-IM-CI-320-2017</v>
      </c>
      <c r="E587" s="13">
        <f>'[1]V, inciso p) (OP)'!AD318</f>
        <v>43088</v>
      </c>
      <c r="F587" s="14" t="str">
        <f>'[1]V, inciso p) (OP)'!AL318</f>
        <v>Construcción siete locales comerciales en la localidad de La Venta del Astillero y rehabilitación de bodegas y casa ejidal en la localidad de Santa Lucia, municipio de Zapopan, Jalisco.</v>
      </c>
      <c r="G587" s="14" t="str">
        <f>'[1]V, inciso p) (OP)'!AR318</f>
        <v>Recurso Propio</v>
      </c>
      <c r="H587" s="15">
        <f>'[1]V, inciso p) (OP)'!AJ318</f>
        <v>5044118.71</v>
      </c>
      <c r="I587" s="14" t="str">
        <f>'[1]V, inciso p) (OP)'!AS318</f>
        <v>Localidad Santa Lucia</v>
      </c>
      <c r="J587" s="14" t="str">
        <f>'[1]V, inciso p) (OP)'!T318</f>
        <v>MARÍA DE LOURDES</v>
      </c>
      <c r="K587" s="14" t="str">
        <f>'[1]V, inciso p) (OP)'!U318</f>
        <v>PARRA</v>
      </c>
      <c r="L587" s="14" t="str">
        <f>'[1]V, inciso p) (OP)'!V318</f>
        <v>PRECIADO</v>
      </c>
      <c r="M587" s="14" t="str">
        <f>'[1]V, inciso p) (OP)'!W318</f>
        <v>CONSTRUCTORA CARVGO, S.A. DE C.V.</v>
      </c>
      <c r="N587" s="14" t="str">
        <f>'[1]V, inciso p) (OP)'!X318</f>
        <v>CCA121113SY9</v>
      </c>
      <c r="O587" s="15">
        <f t="shared" si="13"/>
        <v>5044118.71</v>
      </c>
      <c r="P587" s="15">
        <f>O587</f>
        <v>5044118.71</v>
      </c>
      <c r="Q587" s="21" t="s">
        <v>1110</v>
      </c>
      <c r="R587" s="22">
        <f>H587/722</f>
        <v>6986.3140027700829</v>
      </c>
      <c r="S587" s="12" t="s">
        <v>42</v>
      </c>
      <c r="T587" s="17">
        <v>126</v>
      </c>
      <c r="U587" s="14" t="s">
        <v>43</v>
      </c>
      <c r="V587" s="12" t="s">
        <v>378</v>
      </c>
      <c r="W587" s="13">
        <f>'[1]V, inciso p) (OP)'!AM318</f>
        <v>43088</v>
      </c>
      <c r="X587" s="13">
        <f>'[1]V, inciso p) (OP)'!AN318</f>
        <v>43207</v>
      </c>
      <c r="Y587" s="12" t="s">
        <v>399</v>
      </c>
      <c r="Z587" s="12" t="s">
        <v>284</v>
      </c>
      <c r="AA587" s="12" t="s">
        <v>81</v>
      </c>
      <c r="AB587" s="14" t="s">
        <v>1520</v>
      </c>
      <c r="AC587" s="14" t="s">
        <v>48</v>
      </c>
      <c r="AD587" s="14" t="s">
        <v>1571</v>
      </c>
    </row>
    <row r="588" spans="1:30" ht="80.099999999999994" customHeight="1">
      <c r="A588" s="5">
        <v>321</v>
      </c>
      <c r="B588" s="12">
        <v>2017</v>
      </c>
      <c r="C588" s="14" t="str">
        <f>'[1]V, inciso p) (OP)'!B319</f>
        <v>Licitación por Invitación Restringida</v>
      </c>
      <c r="D588" s="14" t="str">
        <f>'[1]V, inciso p) (OP)'!D319</f>
        <v>DOPI-MUN-PP-IS-CI-321-2017</v>
      </c>
      <c r="E588" s="13">
        <f>'[1]V, inciso p) (OP)'!AD319</f>
        <v>43133</v>
      </c>
      <c r="F588" s="14" t="str">
        <f>'[1]V, inciso p) (OP)'!AL319</f>
        <v>Construcción de alberca para rehabilitación de niños con fibrosis muscular (recurso municipal), municipio de Zapopan, Jalisco.</v>
      </c>
      <c r="G588" s="14" t="str">
        <f>'[1]V, inciso p) (OP)'!AR319</f>
        <v>Presupuesto Participativo</v>
      </c>
      <c r="H588" s="15">
        <f>'[1]V, inciso p) (OP)'!AJ319</f>
        <v>2994664.35</v>
      </c>
      <c r="I588" s="14" t="str">
        <f>'[1]V, inciso p) (OP)'!AS319</f>
        <v>Colonia La Calma</v>
      </c>
      <c r="J588" s="14" t="str">
        <f>'[1]V, inciso p) (OP)'!T319</f>
        <v>JOSÉ GABRIEL</v>
      </c>
      <c r="K588" s="14" t="str">
        <f>'[1]V, inciso p) (OP)'!U319</f>
        <v xml:space="preserve"> GALLO </v>
      </c>
      <c r="L588" s="14" t="str">
        <f>'[1]V, inciso p) (OP)'!V319</f>
        <v>GONZÁLEZ</v>
      </c>
      <c r="M588" s="14" t="str">
        <f>'[1]V, inciso p) (OP)'!W319</f>
        <v>DEINCOKWI, S.A. DE C.V.</v>
      </c>
      <c r="N588" s="14" t="str">
        <f>'[1]V, inciso p) (OP)'!X319</f>
        <v>DEI071106LKA</v>
      </c>
      <c r="O588" s="15">
        <f t="shared" si="13"/>
        <v>2994664.35</v>
      </c>
      <c r="P588" s="15">
        <f>O588</f>
        <v>2994664.35</v>
      </c>
      <c r="Q588" s="23" t="s">
        <v>1111</v>
      </c>
      <c r="R588" s="22">
        <f>O588/2436</f>
        <v>1229.3367610837438</v>
      </c>
      <c r="S588" s="12" t="s">
        <v>42</v>
      </c>
      <c r="T588" s="17">
        <v>21596</v>
      </c>
      <c r="U588" s="14" t="s">
        <v>43</v>
      </c>
      <c r="V588" s="12" t="s">
        <v>378</v>
      </c>
      <c r="W588" s="13">
        <f>'[1]V, inciso p) (OP)'!AM319</f>
        <v>43133</v>
      </c>
      <c r="X588" s="13">
        <f>'[1]V, inciso p) (OP)'!AN319</f>
        <v>43282</v>
      </c>
      <c r="Y588" s="12" t="s">
        <v>767</v>
      </c>
      <c r="Z588" s="12" t="s">
        <v>843</v>
      </c>
      <c r="AA588" s="12" t="s">
        <v>769</v>
      </c>
      <c r="AB588" s="14" t="s">
        <v>1521</v>
      </c>
      <c r="AC588" s="14" t="s">
        <v>48</v>
      </c>
      <c r="AD588" s="14" t="s">
        <v>1571</v>
      </c>
    </row>
    <row r="589" spans="1:30" ht="80.099999999999994" customHeight="1">
      <c r="A589" s="5">
        <v>322</v>
      </c>
      <c r="B589" s="12">
        <v>2017</v>
      </c>
      <c r="C589" s="12" t="s">
        <v>65</v>
      </c>
      <c r="D589" s="14" t="str">
        <f>'[1]V, inciso o) (OP)'!C276</f>
        <v>DOPI-MUN-RM-IE-AD-322-2017</v>
      </c>
      <c r="E589" s="13">
        <f>'[1]V, inciso o) (OP)'!V276</f>
        <v>43045</v>
      </c>
      <c r="F589" s="14" t="str">
        <f>'[1]V, inciso o) (OP)'!AA276</f>
        <v>Reforzamiento Complementario de estructuras con lonarias en la Escuela Primaria 5 de Mayo y Bernardo Ortíz de Montellano, matricula 642, colonia Misión del Bosque; Escuela Primaria Rural Luis Pérez Verdía, matricula 220, colonia San Francisco de Ixcatán; Escuela Primaria Rural Mariano Azuela, matricula 198, colonia Río Blanco; Escuela Primaria Rural Miguel Hidalgo y Costilla, matricula 140, Ampliación de Copala, municipio de Zapopan, Jalisco.</v>
      </c>
      <c r="G589" s="14" t="s">
        <v>499</v>
      </c>
      <c r="H589" s="15">
        <f>'[1]V, inciso o) (OP)'!Y276</f>
        <v>1664033.71</v>
      </c>
      <c r="I589" s="14" t="s">
        <v>1112</v>
      </c>
      <c r="J589" s="14" t="str">
        <f>'[1]V, inciso o) (OP)'!M276</f>
        <v>J. GERARDO</v>
      </c>
      <c r="K589" s="14" t="str">
        <f>'[1]V, inciso o) (OP)'!N276</f>
        <v>NICANOR</v>
      </c>
      <c r="L589" s="14" t="str">
        <f>'[1]V, inciso o) (OP)'!O276</f>
        <v>MEJIA MARISCAL</v>
      </c>
      <c r="M589" s="14" t="str">
        <f>'[1]V, inciso o) (OP)'!P276</f>
        <v>INECO CONSTRUYE, S.A. DE C.V.</v>
      </c>
      <c r="N589" s="14" t="str">
        <f>'[1]V, inciso o) (OP)'!Q276</f>
        <v>ICO980722MQ4</v>
      </c>
      <c r="O589" s="15">
        <f t="shared" si="13"/>
        <v>1664033.71</v>
      </c>
      <c r="P589" s="15">
        <f>O589</f>
        <v>1664033.71</v>
      </c>
      <c r="Q589" s="12" t="s">
        <v>1113</v>
      </c>
      <c r="R589" s="15">
        <f>H589/1865</f>
        <v>892.24327613941011</v>
      </c>
      <c r="S589" s="12" t="s">
        <v>42</v>
      </c>
      <c r="T589" s="17">
        <v>3689</v>
      </c>
      <c r="U589" s="14" t="s">
        <v>43</v>
      </c>
      <c r="V589" s="12" t="s">
        <v>378</v>
      </c>
      <c r="W589" s="13">
        <f>'[1]V, inciso o) (OP)'!AD276</f>
        <v>43045</v>
      </c>
      <c r="X589" s="13">
        <f>'[1]V, inciso o) (OP)'!AE276</f>
        <v>43100</v>
      </c>
      <c r="Y589" s="12" t="s">
        <v>436</v>
      </c>
      <c r="Z589" s="12" t="s">
        <v>295</v>
      </c>
      <c r="AA589" s="12" t="s">
        <v>76</v>
      </c>
      <c r="AB589" s="14" t="s">
        <v>48</v>
      </c>
      <c r="AC589" s="14" t="s">
        <v>48</v>
      </c>
      <c r="AD589" s="14" t="s">
        <v>1571</v>
      </c>
    </row>
    <row r="590" spans="1:30" ht="80.099999999999994" customHeight="1">
      <c r="A590" s="5">
        <v>323</v>
      </c>
      <c r="B590" s="12">
        <v>2017</v>
      </c>
      <c r="C590" s="12" t="s">
        <v>65</v>
      </c>
      <c r="D590" s="14" t="str">
        <f>'[1]V, inciso o) (OP)'!C277</f>
        <v>DOPI-MUN-RM-IH-AD-323-2017</v>
      </c>
      <c r="E590" s="13">
        <f>'[1]V, inciso o) (OP)'!V277</f>
        <v>43040</v>
      </c>
      <c r="F590" s="14" t="str">
        <f>'[1]V, inciso o) (OP)'!AA277</f>
        <v>Construcción de Adecuaciones hidráulicas en la línea de agua potable y alcantarillado en la calle Rizo Ayala y paseo de Las Araucarias y obra civil complementaria, Municipio de Zapopan, Jalisco.</v>
      </c>
      <c r="G590" s="14" t="s">
        <v>499</v>
      </c>
      <c r="H590" s="15">
        <f>'[1]V, inciso o) (OP)'!Y277</f>
        <v>1218435.67</v>
      </c>
      <c r="I590" s="14" t="s">
        <v>483</v>
      </c>
      <c r="J590" s="14" t="str">
        <f>'[1]V, inciso o) (OP)'!M277</f>
        <v>CLAUDIO FELIPE</v>
      </c>
      <c r="K590" s="14" t="str">
        <f>'[1]V, inciso o) (OP)'!N277</f>
        <v>TRUJILLO</v>
      </c>
      <c r="L590" s="14" t="str">
        <f>'[1]V, inciso o) (OP)'!O277</f>
        <v>GRACIAN</v>
      </c>
      <c r="M590" s="14" t="str">
        <f>'[1]V, inciso o) (OP)'!P277</f>
        <v>DESARROLLADORA LUMADI, S.A. DE C.V.</v>
      </c>
      <c r="N590" s="14" t="str">
        <f>'[1]V, inciso o) (OP)'!Q277</f>
        <v>DLU100818F46</v>
      </c>
      <c r="O590" s="15">
        <f t="shared" si="13"/>
        <v>1218435.67</v>
      </c>
      <c r="P590" s="15">
        <v>1218160.8400000001</v>
      </c>
      <c r="Q590" s="12" t="s">
        <v>1114</v>
      </c>
      <c r="R590" s="15">
        <f>H590/143</f>
        <v>8520.5291608391599</v>
      </c>
      <c r="S590" s="12" t="s">
        <v>42</v>
      </c>
      <c r="T590" s="17">
        <v>426</v>
      </c>
      <c r="U590" s="14" t="s">
        <v>43</v>
      </c>
      <c r="V590" s="12" t="s">
        <v>44</v>
      </c>
      <c r="W590" s="13">
        <f>'[1]V, inciso o) (OP)'!AD277</f>
        <v>43040</v>
      </c>
      <c r="X590" s="13">
        <f>'[1]V, inciso o) (OP)'!AE277</f>
        <v>43084</v>
      </c>
      <c r="Y590" s="12" t="s">
        <v>449</v>
      </c>
      <c r="Z590" s="12" t="s">
        <v>450</v>
      </c>
      <c r="AA590" s="12" t="s">
        <v>451</v>
      </c>
      <c r="AB590" s="8" t="s">
        <v>1975</v>
      </c>
      <c r="AC590" s="14" t="s">
        <v>48</v>
      </c>
      <c r="AD590" s="14"/>
    </row>
    <row r="591" spans="1:30" ht="80.099999999999994" customHeight="1">
      <c r="A591" s="5">
        <v>324</v>
      </c>
      <c r="B591" s="12">
        <v>2017</v>
      </c>
      <c r="C591" s="12" t="s">
        <v>65</v>
      </c>
      <c r="D591" s="14" t="str">
        <f>'[1]V, inciso o) (OP)'!C278</f>
        <v>DOPI-MUN-RM-EP-AD-324-2017</v>
      </c>
      <c r="E591" s="13">
        <f>'[1]V, inciso o) (OP)'!V278</f>
        <v>43040</v>
      </c>
      <c r="F591" s="14" t="str">
        <f>'[1]V, inciso o) (OP)'!AA278</f>
        <v>Construcción de plazoleta, cruceros seguros, mobiliario y obra complementaria en el Andador Rizo Ayala, Municipio de Zapopan, Jalisco.</v>
      </c>
      <c r="G591" s="14" t="s">
        <v>499</v>
      </c>
      <c r="H591" s="15">
        <f>'[1]V, inciso o) (OP)'!Y278</f>
        <v>1710522.15</v>
      </c>
      <c r="I591" s="14" t="s">
        <v>483</v>
      </c>
      <c r="J591" s="14" t="str">
        <f>'[1]V, inciso o) (OP)'!M278</f>
        <v>ARTURO</v>
      </c>
      <c r="K591" s="14" t="str">
        <f>'[1]V, inciso o) (OP)'!N278</f>
        <v>RÁNGEL</v>
      </c>
      <c r="L591" s="14" t="str">
        <f>'[1]V, inciso o) (OP)'!O278</f>
        <v>PAEZ</v>
      </c>
      <c r="M591" s="14" t="str">
        <f>'[1]V, inciso o) (OP)'!P278</f>
        <v>CONSTRUCTORA LASA, S.A. DE C.V.</v>
      </c>
      <c r="N591" s="14" t="str">
        <f>'[1]V, inciso o) (OP)'!Q278</f>
        <v>CLA890925ER5</v>
      </c>
      <c r="O591" s="15">
        <f t="shared" si="13"/>
        <v>1710522.15</v>
      </c>
      <c r="P591" s="15">
        <v>1425373.46</v>
      </c>
      <c r="Q591" s="12" t="s">
        <v>1115</v>
      </c>
      <c r="R591" s="15">
        <f>H591/2191</f>
        <v>780.70385668644451</v>
      </c>
      <c r="S591" s="12" t="s">
        <v>42</v>
      </c>
      <c r="T591" s="17">
        <v>1868</v>
      </c>
      <c r="U591" s="14" t="s">
        <v>43</v>
      </c>
      <c r="V591" s="12" t="s">
        <v>378</v>
      </c>
      <c r="W591" s="13">
        <f>'[1]V, inciso o) (OP)'!AD278</f>
        <v>43040</v>
      </c>
      <c r="X591" s="13">
        <f>'[1]V, inciso o) (OP)'!AE278</f>
        <v>43084</v>
      </c>
      <c r="Y591" s="12" t="s">
        <v>449</v>
      </c>
      <c r="Z591" s="12" t="s">
        <v>450</v>
      </c>
      <c r="AA591" s="12" t="s">
        <v>451</v>
      </c>
      <c r="AB591" s="8" t="s">
        <v>1976</v>
      </c>
      <c r="AC591" s="14" t="s">
        <v>48</v>
      </c>
      <c r="AD591" s="14"/>
    </row>
    <row r="592" spans="1:30" ht="80.099999999999994" customHeight="1">
      <c r="A592" s="5">
        <v>325</v>
      </c>
      <c r="B592" s="12">
        <v>2017</v>
      </c>
      <c r="C592" s="12" t="s">
        <v>65</v>
      </c>
      <c r="D592" s="14" t="str">
        <f>'[1]V, inciso o) (OP)'!C279</f>
        <v>DOPI-MUN-RM-IU-AD-325-2017</v>
      </c>
      <c r="E592" s="13">
        <f>'[1]V, inciso o) (OP)'!V279</f>
        <v>43063</v>
      </c>
      <c r="F592" s="14" t="str">
        <f>'[1]V, inciso o) (OP)'!AA279</f>
        <v>Segunda etapa de la renovación de imagen urbana en la colonia Díaz Ordaz, municipio de Zapopan, Jalisco</v>
      </c>
      <c r="G592" s="14" t="s">
        <v>499</v>
      </c>
      <c r="H592" s="15">
        <f>'[1]V, inciso o) (OP)'!Y279</f>
        <v>1650458.56</v>
      </c>
      <c r="I592" s="14" t="s">
        <v>895</v>
      </c>
      <c r="J592" s="14" t="str">
        <f>'[1]V, inciso o) (OP)'!M279</f>
        <v>WILLIAMS PATRICKS</v>
      </c>
      <c r="K592" s="14" t="str">
        <f>'[1]V, inciso o) (OP)'!N279</f>
        <v>GIL</v>
      </c>
      <c r="L592" s="14" t="str">
        <f>'[1]V, inciso o) (OP)'!O279</f>
        <v>PÉREZ</v>
      </c>
      <c r="M592" s="14" t="str">
        <f>'[1]V, inciso o) (OP)'!P279</f>
        <v>GP WILLIAMS ADMON, S.A. DE C.V.</v>
      </c>
      <c r="N592" s="14" t="str">
        <f>'[1]V, inciso o) (OP)'!Q279</f>
        <v>GWA141209KG7</v>
      </c>
      <c r="O592" s="15">
        <f t="shared" si="13"/>
        <v>1650458.56</v>
      </c>
      <c r="P592" s="15">
        <v>1650458.55</v>
      </c>
      <c r="Q592" s="12" t="s">
        <v>1116</v>
      </c>
      <c r="R592" s="15">
        <f>H592/1052</f>
        <v>1568.876958174905</v>
      </c>
      <c r="S592" s="12" t="s">
        <v>42</v>
      </c>
      <c r="T592" s="17">
        <v>986</v>
      </c>
      <c r="U592" s="14" t="s">
        <v>43</v>
      </c>
      <c r="V592" s="12" t="s">
        <v>378</v>
      </c>
      <c r="W592" s="13">
        <f>'[1]V, inciso o) (OP)'!AD279</f>
        <v>43063</v>
      </c>
      <c r="X592" s="13">
        <f>'[1]V, inciso o) (OP)'!AE279</f>
        <v>43145</v>
      </c>
      <c r="Y592" s="12" t="s">
        <v>767</v>
      </c>
      <c r="Z592" s="12" t="s">
        <v>843</v>
      </c>
      <c r="AA592" s="12" t="s">
        <v>769</v>
      </c>
      <c r="AB592" s="8" t="s">
        <v>1977</v>
      </c>
      <c r="AC592" s="14" t="s">
        <v>48</v>
      </c>
      <c r="AD592" s="14"/>
    </row>
    <row r="593" spans="1:30" ht="80.099999999999994" customHeight="1">
      <c r="A593" s="5">
        <v>326</v>
      </c>
      <c r="B593" s="12">
        <v>2017</v>
      </c>
      <c r="C593" s="12" t="s">
        <v>65</v>
      </c>
      <c r="D593" s="14" t="str">
        <f>'[1]V, inciso o) (OP)'!C280</f>
        <v>DOPI-MUN-RM-PAV-AD-326-2017</v>
      </c>
      <c r="E593" s="13">
        <f>'[1]V, inciso o) (OP)'!V280</f>
        <v>43031</v>
      </c>
      <c r="F593" s="14" t="str">
        <f>'[1]V, inciso o) (OP)'!AA280</f>
        <v>Renivelación con mezcla asfáltica de vialidades, en las colonias Girasoles Elite y Las Casitas, municipio de Zapopan, Jalisco.</v>
      </c>
      <c r="G593" s="14" t="s">
        <v>499</v>
      </c>
      <c r="H593" s="15">
        <f>'[1]V, inciso o) (OP)'!Y280</f>
        <v>1705874.36</v>
      </c>
      <c r="I593" s="14" t="s">
        <v>1117</v>
      </c>
      <c r="J593" s="14" t="str">
        <f>'[1]V, inciso o) (OP)'!M280</f>
        <v>ALEX</v>
      </c>
      <c r="K593" s="14" t="str">
        <f>'[1]V, inciso o) (OP)'!N280</f>
        <v>MEDINA</v>
      </c>
      <c r="L593" s="14" t="str">
        <f>'[1]V, inciso o) (OP)'!O280</f>
        <v>GÓMEZ</v>
      </c>
      <c r="M593" s="14" t="str">
        <f>'[1]V, inciso o) (OP)'!P280</f>
        <v>MEDGAR CONSTRUCCIONES, S.A. DE C.V.</v>
      </c>
      <c r="N593" s="14" t="str">
        <f>'[1]V, inciso o) (OP)'!Q280</f>
        <v>MCO150527NY3</v>
      </c>
      <c r="O593" s="15">
        <f t="shared" si="13"/>
        <v>1705874.36</v>
      </c>
      <c r="P593" s="15">
        <v>1410164.55</v>
      </c>
      <c r="Q593" s="12" t="s">
        <v>1118</v>
      </c>
      <c r="R593" s="15">
        <f>H593/4356</f>
        <v>391.61486685032139</v>
      </c>
      <c r="S593" s="12" t="s">
        <v>42</v>
      </c>
      <c r="T593" s="17">
        <v>695</v>
      </c>
      <c r="U593" s="14" t="s">
        <v>43</v>
      </c>
      <c r="V593" s="12" t="s">
        <v>378</v>
      </c>
      <c r="W593" s="13">
        <f>'[1]V, inciso o) (OP)'!AD280</f>
        <v>43031</v>
      </c>
      <c r="X593" s="13">
        <f>'[1]V, inciso o) (OP)'!AE280</f>
        <v>43100</v>
      </c>
      <c r="Y593" s="12" t="s">
        <v>439</v>
      </c>
      <c r="Z593" s="12" t="s">
        <v>186</v>
      </c>
      <c r="AA593" s="12" t="s">
        <v>92</v>
      </c>
      <c r="AB593" s="12"/>
      <c r="AC593" s="14" t="s">
        <v>48</v>
      </c>
      <c r="AD593" s="14"/>
    </row>
    <row r="594" spans="1:30" ht="80.099999999999994" customHeight="1">
      <c r="A594" s="5">
        <v>327</v>
      </c>
      <c r="B594" s="12">
        <v>2017</v>
      </c>
      <c r="C594" s="12" t="s">
        <v>65</v>
      </c>
      <c r="D594" s="14" t="str">
        <f>'[1]V, inciso o) (OP)'!C281</f>
        <v>DOPI-MUN-RM-IM-AD-327-2017</v>
      </c>
      <c r="E594" s="13">
        <f>'[1]V, inciso o) (OP)'!V281</f>
        <v>43046</v>
      </c>
      <c r="F594" s="14" t="str">
        <f>'[1]V, inciso o) (OP)'!AA281</f>
        <v>Rehabilitación del Centro Comunitario en la colonia el Colli CTM, Municipio de Zapopan, Jalisco.</v>
      </c>
      <c r="G594" s="14" t="s">
        <v>499</v>
      </c>
      <c r="H594" s="15">
        <f>'[1]V, inciso o) (OP)'!Y281</f>
        <v>1436854.75</v>
      </c>
      <c r="I594" s="14" t="s">
        <v>1119</v>
      </c>
      <c r="J594" s="14" t="str">
        <f>'[1]V, inciso o) (OP)'!M281</f>
        <v>ALFREDO</v>
      </c>
      <c r="K594" s="14" t="str">
        <f>'[1]V, inciso o) (OP)'!N281</f>
        <v>FLORES</v>
      </c>
      <c r="L594" s="14" t="str">
        <f>'[1]V, inciso o) (OP)'!O281</f>
        <v>CHÁVEZ</v>
      </c>
      <c r="M594" s="14" t="str">
        <f>'[1]V, inciso o) (OP)'!P281</f>
        <v>ALFREDO FLORES CHÁVEZ</v>
      </c>
      <c r="N594" s="14" t="str">
        <f>'[1]V, inciso o) (OP)'!Q281</f>
        <v>FOCA830904HT8</v>
      </c>
      <c r="O594" s="15">
        <f t="shared" si="13"/>
        <v>1436854.75</v>
      </c>
      <c r="P594" s="15">
        <v>1436854.71</v>
      </c>
      <c r="Q594" s="12" t="s">
        <v>1120</v>
      </c>
      <c r="R594" s="15">
        <f>H594/2400</f>
        <v>598.68947916666662</v>
      </c>
      <c r="S594" s="12" t="s">
        <v>42</v>
      </c>
      <c r="T594" s="17">
        <v>5602</v>
      </c>
      <c r="U594" s="14" t="s">
        <v>43</v>
      </c>
      <c r="V594" s="12" t="s">
        <v>44</v>
      </c>
      <c r="W594" s="13">
        <f>'[1]V, inciso o) (OP)'!AD281</f>
        <v>43046</v>
      </c>
      <c r="X594" s="13">
        <f>'[1]V, inciso o) (OP)'!AE281</f>
        <v>43146</v>
      </c>
      <c r="Y594" s="12" t="s">
        <v>615</v>
      </c>
      <c r="Z594" s="12" t="s">
        <v>616</v>
      </c>
      <c r="AA594" s="12" t="s">
        <v>617</v>
      </c>
      <c r="AB594" s="14" t="s">
        <v>48</v>
      </c>
      <c r="AC594" s="14" t="s">
        <v>48</v>
      </c>
      <c r="AD594" s="14"/>
    </row>
    <row r="595" spans="1:30" ht="80.099999999999994" customHeight="1">
      <c r="A595" s="5">
        <v>328</v>
      </c>
      <c r="B595" s="12">
        <v>2017</v>
      </c>
      <c r="C595" s="12" t="s">
        <v>65</v>
      </c>
      <c r="D595" s="14" t="str">
        <f>'[1]V, inciso o) (OP)'!C282</f>
        <v>DOPI-MUN-RM-BAN-AD-328-2017</v>
      </c>
      <c r="E595" s="13">
        <f>'[1]V, inciso o) (OP)'!V282</f>
        <v>43024</v>
      </c>
      <c r="F595" s="14" t="str">
        <f>'[1]V, inciso o) (OP)'!AA282</f>
        <v>Peatonalización, construcción de banquetas sustitución de guarniciones, bolardos, accesibilidad, primera etapa en la Colonia Tabachines, Municipio de Zapopan, Jalisco.</v>
      </c>
      <c r="G595" s="14" t="s">
        <v>499</v>
      </c>
      <c r="H595" s="15">
        <f>'[1]V, inciso o) (OP)'!Y282</f>
        <v>1554169.12</v>
      </c>
      <c r="I595" s="14" t="s">
        <v>1121</v>
      </c>
      <c r="J595" s="14" t="str">
        <f>'[1]V, inciso o) (OP)'!M282</f>
        <v>ESTEBAN</v>
      </c>
      <c r="K595" s="14" t="str">
        <f>'[1]V, inciso o) (OP)'!N282</f>
        <v>PÉREZ</v>
      </c>
      <c r="L595" s="14" t="str">
        <f>'[1]V, inciso o) (OP)'!O282</f>
        <v>MUÑOZ</v>
      </c>
      <c r="M595" s="14" t="str">
        <f>'[1]V, inciso o) (OP)'!P282</f>
        <v>GRUPO PG CONSTRUCTORES Y SUPERVISORES, S.A. DE C.V.</v>
      </c>
      <c r="N595" s="14" t="str">
        <f>'[1]V, inciso o) (OP)'!Q282</f>
        <v>GPC110927671</v>
      </c>
      <c r="O595" s="15">
        <f t="shared" si="13"/>
        <v>1554169.12</v>
      </c>
      <c r="P595" s="15">
        <f>O595</f>
        <v>1554169.12</v>
      </c>
      <c r="Q595" s="12" t="s">
        <v>1122</v>
      </c>
      <c r="R595" s="15">
        <f>H595/2300</f>
        <v>675.72570434782608</v>
      </c>
      <c r="S595" s="12" t="s">
        <v>42</v>
      </c>
      <c r="T595" s="17">
        <v>1163</v>
      </c>
      <c r="U595" s="14" t="s">
        <v>43</v>
      </c>
      <c r="V595" s="12" t="s">
        <v>378</v>
      </c>
      <c r="W595" s="13">
        <f>'[1]V, inciso o) (OP)'!AD282</f>
        <v>43024</v>
      </c>
      <c r="X595" s="13">
        <f>'[1]V, inciso o) (OP)'!AE282</f>
        <v>43084</v>
      </c>
      <c r="Y595" s="12" t="s">
        <v>365</v>
      </c>
      <c r="Z595" s="12" t="s">
        <v>366</v>
      </c>
      <c r="AA595" s="12" t="s">
        <v>367</v>
      </c>
      <c r="AB595" s="14" t="s">
        <v>48</v>
      </c>
      <c r="AC595" s="14" t="s">
        <v>48</v>
      </c>
      <c r="AD595" s="14" t="s">
        <v>1571</v>
      </c>
    </row>
    <row r="596" spans="1:30" ht="80.099999999999994" customHeight="1">
      <c r="A596" s="5">
        <v>329</v>
      </c>
      <c r="B596" s="12">
        <v>2017</v>
      </c>
      <c r="C596" s="12" t="s">
        <v>65</v>
      </c>
      <c r="D596" s="14" t="str">
        <f>'[1]V, inciso o) (OP)'!C283</f>
        <v>DOPI-MUN-RM-IM-AD-329-2017</v>
      </c>
      <c r="E596" s="13">
        <f>'[1]V, inciso o) (OP)'!V283</f>
        <v>43042</v>
      </c>
      <c r="F596" s="14" t="str">
        <f>'[1]V, inciso o) (OP)'!AA283</f>
        <v>Rehabilitación y equipamiento del sistema de trampas de grasa, albañilería y acabados, en el área de carnicerías del mercado municipal Atemajac, municipio de Zapopan, Jalisco.</v>
      </c>
      <c r="G596" s="14" t="s">
        <v>499</v>
      </c>
      <c r="H596" s="15">
        <f>'[1]V, inciso o) (OP)'!Y283</f>
        <v>1664300.46</v>
      </c>
      <c r="I596" s="14" t="s">
        <v>1123</v>
      </c>
      <c r="J596" s="14" t="str">
        <f>'[1]V, inciso o) (OP)'!M283</f>
        <v>ERICK</v>
      </c>
      <c r="K596" s="14" t="str">
        <f>'[1]V, inciso o) (OP)'!N283</f>
        <v>VILLASEÑOR</v>
      </c>
      <c r="L596" s="14" t="str">
        <f>'[1]V, inciso o) (OP)'!O283</f>
        <v>GUTIÉRREZ</v>
      </c>
      <c r="M596" s="14" t="str">
        <f>'[1]V, inciso o) (OP)'!P283</f>
        <v>PIXIDE CONSTRUCTORA, S.A. DE C.V.</v>
      </c>
      <c r="N596" s="14" t="str">
        <f>'[1]V, inciso o) (OP)'!Q283</f>
        <v>PCO140829425</v>
      </c>
      <c r="O596" s="15">
        <f t="shared" si="13"/>
        <v>1664300.46</v>
      </c>
      <c r="P596" s="15">
        <v>1664300.46</v>
      </c>
      <c r="Q596" s="12" t="s">
        <v>1124</v>
      </c>
      <c r="R596" s="15">
        <f>H596/540</f>
        <v>3082.037888888889</v>
      </c>
      <c r="S596" s="12" t="s">
        <v>42</v>
      </c>
      <c r="T596" s="17">
        <v>124022</v>
      </c>
      <c r="U596" s="14" t="s">
        <v>43</v>
      </c>
      <c r="V596" s="12" t="s">
        <v>44</v>
      </c>
      <c r="W596" s="13">
        <f>'[1]V, inciso o) (OP)'!AD283</f>
        <v>43042</v>
      </c>
      <c r="X596" s="13">
        <f>'[1]V, inciso o) (OP)'!AE283</f>
        <v>43084</v>
      </c>
      <c r="Y596" s="12" t="s">
        <v>399</v>
      </c>
      <c r="Z596" s="12" t="s">
        <v>284</v>
      </c>
      <c r="AA596" s="12" t="s">
        <v>81</v>
      </c>
      <c r="AB596" s="8" t="s">
        <v>1978</v>
      </c>
      <c r="AC596" s="14" t="s">
        <v>48</v>
      </c>
      <c r="AD596" s="14"/>
    </row>
    <row r="597" spans="1:30" ht="80.099999999999994" customHeight="1">
      <c r="A597" s="5">
        <v>330</v>
      </c>
      <c r="B597" s="12">
        <v>2017</v>
      </c>
      <c r="C597" s="12" t="s">
        <v>65</v>
      </c>
      <c r="D597" s="14" t="str">
        <f>'[1]V, inciso o) (OP)'!C284</f>
        <v>DOPI-MUN-RM-PROY-AD-330-2017</v>
      </c>
      <c r="E597" s="13">
        <f>'[1]V, inciso o) (OP)'!V284</f>
        <v>43031</v>
      </c>
      <c r="F597" s="14" t="str">
        <f>'[1]V, inciso o) (OP)'!AA284</f>
        <v>Diagnóstico, diseño y proyectos hidráulicos 2017, frente 1, de diferentes redes de agua potable y alcantarillado, municipio de Zapopan Jalisco.</v>
      </c>
      <c r="G597" s="14" t="s">
        <v>499</v>
      </c>
      <c r="H597" s="15">
        <f>'[1]V, inciso o) (OP)'!Y284</f>
        <v>976825.88</v>
      </c>
      <c r="I597" s="14" t="s">
        <v>1349</v>
      </c>
      <c r="J597" s="14" t="str">
        <f>'[1]V, inciso o) (OP)'!M284</f>
        <v>JAVIER</v>
      </c>
      <c r="K597" s="14" t="str">
        <f>'[1]V, inciso o) (OP)'!N284</f>
        <v xml:space="preserve">ÁVILA </v>
      </c>
      <c r="L597" s="14" t="str">
        <f>'[1]V, inciso o) (OP)'!O284</f>
        <v>FLORES</v>
      </c>
      <c r="M597" s="14" t="str">
        <f>'[1]V, inciso o) (OP)'!P284</f>
        <v>SAVHO CONSULTORÍA Y CONSTRUCCIÓN, S.A. DE C.V.</v>
      </c>
      <c r="N597" s="14" t="str">
        <f>'[1]V, inciso o) (OP)'!Q284</f>
        <v>SCC060622HZ3</v>
      </c>
      <c r="O597" s="15">
        <f t="shared" si="13"/>
        <v>976825.88</v>
      </c>
      <c r="P597" s="15">
        <v>976816.05</v>
      </c>
      <c r="Q597" s="12" t="s">
        <v>1125</v>
      </c>
      <c r="R597" s="15">
        <f>H597/25</f>
        <v>39073.035199999998</v>
      </c>
      <c r="S597" s="12" t="s">
        <v>125</v>
      </c>
      <c r="T597" s="17" t="s">
        <v>125</v>
      </c>
      <c r="U597" s="14" t="s">
        <v>43</v>
      </c>
      <c r="V597" s="12" t="s">
        <v>378</v>
      </c>
      <c r="W597" s="13">
        <f>'[1]V, inciso o) (OP)'!AD284</f>
        <v>43031</v>
      </c>
      <c r="X597" s="13">
        <f>'[1]V, inciso o) (OP)'!AE284</f>
        <v>43131</v>
      </c>
      <c r="Y597" s="12" t="s">
        <v>692</v>
      </c>
      <c r="Z597" s="12" t="s">
        <v>693</v>
      </c>
      <c r="AA597" s="12" t="s">
        <v>136</v>
      </c>
      <c r="AB597" s="14" t="s">
        <v>48</v>
      </c>
      <c r="AC597" s="14" t="s">
        <v>48</v>
      </c>
      <c r="AD597" s="14"/>
    </row>
    <row r="598" spans="1:30" ht="80.099999999999994" customHeight="1">
      <c r="A598" s="5">
        <v>332</v>
      </c>
      <c r="B598" s="12">
        <v>2017</v>
      </c>
      <c r="C598" s="12" t="s">
        <v>65</v>
      </c>
      <c r="D598" s="14" t="str">
        <f>'[1]V, inciso o) (OP)'!C285</f>
        <v>DOPI-MUN-CUSMAX-PROY-AD-332-2017</v>
      </c>
      <c r="E598" s="13">
        <f>'[1]V, inciso o) (OP)'!V285</f>
        <v>43060</v>
      </c>
      <c r="F598" s="14" t="str">
        <f>'[1]V, inciso o) (OP)'!AA285</f>
        <v>Elaboración de proyecto ejecutivo para la construcción de Estación de Bomberos en Circuito Andares, municipio de Zapopan, Jalisco.</v>
      </c>
      <c r="G598" s="14" t="s">
        <v>987</v>
      </c>
      <c r="H598" s="15">
        <f>'[1]V, inciso o) (OP)'!Y285</f>
        <v>996458.25</v>
      </c>
      <c r="I598" s="14" t="s">
        <v>1071</v>
      </c>
      <c r="J598" s="14" t="str">
        <f>'[1]V, inciso o) (OP)'!M285</f>
        <v>CARLOS ALBERTO</v>
      </c>
      <c r="K598" s="14" t="str">
        <f>'[1]V, inciso o) (OP)'!N285</f>
        <v>VILLASEÑOR</v>
      </c>
      <c r="L598" s="14" t="str">
        <f>'[1]V, inciso o) (OP)'!O285</f>
        <v>NÚÑEZ</v>
      </c>
      <c r="M598" s="14" t="str">
        <f>'[1]V, inciso o) (OP)'!P285</f>
        <v>MTQ DE MÉXICO, S.A. DE C.V.</v>
      </c>
      <c r="N598" s="14" t="str">
        <f>'[1]V, inciso o) (OP)'!Q285</f>
        <v>MME011214IV5</v>
      </c>
      <c r="O598" s="15">
        <f t="shared" si="13"/>
        <v>996458.25</v>
      </c>
      <c r="P598" s="15">
        <f>O598</f>
        <v>996458.25</v>
      </c>
      <c r="Q598" s="12" t="s">
        <v>714</v>
      </c>
      <c r="R598" s="15">
        <f>H598</f>
        <v>996458.25</v>
      </c>
      <c r="S598" s="12" t="s">
        <v>125</v>
      </c>
      <c r="T598" s="17" t="s">
        <v>125</v>
      </c>
      <c r="U598" s="14" t="s">
        <v>43</v>
      </c>
      <c r="V598" s="12" t="s">
        <v>378</v>
      </c>
      <c r="W598" s="13">
        <f>'[1]V, inciso o) (OP)'!AD285</f>
        <v>43060</v>
      </c>
      <c r="X598" s="13">
        <f>'[1]V, inciso o) (OP)'!AE285</f>
        <v>43146</v>
      </c>
      <c r="Y598" s="12" t="s">
        <v>692</v>
      </c>
      <c r="Z598" s="12" t="s">
        <v>693</v>
      </c>
      <c r="AA598" s="12" t="s">
        <v>136</v>
      </c>
      <c r="AB598" s="8" t="s">
        <v>1979</v>
      </c>
      <c r="AC598" s="14" t="s">
        <v>48</v>
      </c>
      <c r="AD598" s="14" t="s">
        <v>1571</v>
      </c>
    </row>
    <row r="599" spans="1:30" ht="80.099999999999994" customHeight="1">
      <c r="A599" s="5">
        <v>334</v>
      </c>
      <c r="B599" s="12">
        <v>2017</v>
      </c>
      <c r="C599" s="12" t="s">
        <v>65</v>
      </c>
      <c r="D599" s="14" t="str">
        <f>'[1]V, inciso o) (OP)'!C286</f>
        <v>DOPI-MUN-CUSMAX-IM-AD-334-2017</v>
      </c>
      <c r="E599" s="13">
        <f>'[1]V, inciso o) (OP)'!V286</f>
        <v>43049</v>
      </c>
      <c r="F599" s="14" t="str">
        <f>'[1]V, inciso o) (OP)'!AA286</f>
        <v>Rehabilitación de la Barda en la Unidad Deportiva Lagos del Country, ubicada sobre la calle Laguna de Términos, colonia Lagos del Country, municipio de Zapopan, Jalisco.</v>
      </c>
      <c r="G599" s="14" t="s">
        <v>987</v>
      </c>
      <c r="H599" s="15">
        <f>'[1]V, inciso o) (OP)'!Y286</f>
        <v>485258.58</v>
      </c>
      <c r="I599" s="14" t="s">
        <v>1126</v>
      </c>
      <c r="J599" s="14" t="str">
        <f>'[1]V, inciso o) (OP)'!M286</f>
        <v>JUAN ALFONSO</v>
      </c>
      <c r="K599" s="14" t="str">
        <f>'[1]V, inciso o) (OP)'!N286</f>
        <v>BELLON</v>
      </c>
      <c r="L599" s="14" t="str">
        <f>'[1]V, inciso o) (OP)'!O286</f>
        <v>CÁRDENAS</v>
      </c>
      <c r="M599" s="14" t="str">
        <f>'[1]V, inciso o) (OP)'!P286</f>
        <v>PROYECTOS Y CONSTRUCCIÓNES BELA, S.A. DE C.V.</v>
      </c>
      <c r="N599" s="14" t="str">
        <f>'[1]V, inciso o) (OP)'!Q286</f>
        <v>PYC130626TA7</v>
      </c>
      <c r="O599" s="15">
        <f t="shared" si="13"/>
        <v>485258.58</v>
      </c>
      <c r="P599" s="15">
        <v>485258.5</v>
      </c>
      <c r="Q599" s="12" t="s">
        <v>1127</v>
      </c>
      <c r="R599" s="15">
        <f>H599/724</f>
        <v>670.2466574585635</v>
      </c>
      <c r="S599" s="12" t="s">
        <v>42</v>
      </c>
      <c r="T599" s="17">
        <v>6058</v>
      </c>
      <c r="U599" s="14" t="s">
        <v>43</v>
      </c>
      <c r="V599" s="12" t="s">
        <v>44</v>
      </c>
      <c r="W599" s="13">
        <f>'[1]V, inciso o) (OP)'!AD286</f>
        <v>43049</v>
      </c>
      <c r="X599" s="13">
        <f>'[1]V, inciso o) (OP)'!AE286</f>
        <v>43130</v>
      </c>
      <c r="Y599" s="12" t="s">
        <v>830</v>
      </c>
      <c r="Z599" s="12" t="s">
        <v>831</v>
      </c>
      <c r="AA599" s="12" t="s">
        <v>134</v>
      </c>
      <c r="AB599" s="8" t="s">
        <v>1980</v>
      </c>
      <c r="AC599" s="14" t="s">
        <v>48</v>
      </c>
      <c r="AD599" s="14"/>
    </row>
    <row r="600" spans="1:30" ht="80.099999999999994" customHeight="1">
      <c r="A600" s="5">
        <v>335</v>
      </c>
      <c r="B600" s="12">
        <v>2017</v>
      </c>
      <c r="C600" s="12" t="s">
        <v>65</v>
      </c>
      <c r="D600" s="14" t="str">
        <f>'[1]V, inciso o) (OP)'!C287</f>
        <v>DOPI-MUN-CUSMAX-IH-AD-335-2017</v>
      </c>
      <c r="E600" s="13">
        <f>'[1]V, inciso o) (OP)'!V287</f>
        <v>43063</v>
      </c>
      <c r="F600" s="14" t="str">
        <f>'[1]V, inciso o) (OP)'!AA287</f>
        <v>Construcción de bocas de tormenta, modificación de rasantes en crucero y construcción de pozos de absorción en la privada Manuel M. Diéguez en su cruce con la calle Dr. Alberto Román, municipio de Zapopan, Jalisco.</v>
      </c>
      <c r="G600" s="14" t="s">
        <v>987</v>
      </c>
      <c r="H600" s="15">
        <f>'[1]V, inciso o) (OP)'!Y287</f>
        <v>997254.59</v>
      </c>
      <c r="I600" s="14" t="s">
        <v>1128</v>
      </c>
      <c r="J600" s="14" t="str">
        <f>'[1]V, inciso o) (OP)'!M287</f>
        <v>HÉCTOR ANDRÉS</v>
      </c>
      <c r="K600" s="14" t="str">
        <f>'[1]V, inciso o) (OP)'!N287</f>
        <v>VALADES</v>
      </c>
      <c r="L600" s="14" t="str">
        <f>'[1]V, inciso o) (OP)'!O287</f>
        <v>SÁNCHEZ</v>
      </c>
      <c r="M600" s="14" t="str">
        <f>'[1]V, inciso o) (OP)'!P287</f>
        <v>CONSTRUMOVA, S.A. P.I. DE C.V.</v>
      </c>
      <c r="N600" s="14" t="str">
        <f>'[1]V, inciso o) (OP)'!Q287</f>
        <v>CON130531FB8</v>
      </c>
      <c r="O600" s="15">
        <f t="shared" si="13"/>
        <v>997254.59</v>
      </c>
      <c r="P600" s="15">
        <f>O600</f>
        <v>997254.59</v>
      </c>
      <c r="Q600" s="12" t="s">
        <v>1129</v>
      </c>
      <c r="R600" s="15">
        <f>H600/328</f>
        <v>3040.4103353658534</v>
      </c>
      <c r="S600" s="12" t="s">
        <v>42</v>
      </c>
      <c r="T600" s="17">
        <v>489</v>
      </c>
      <c r="U600" s="14" t="s">
        <v>43</v>
      </c>
      <c r="V600" s="12" t="s">
        <v>378</v>
      </c>
      <c r="W600" s="13">
        <f>'[1]V, inciso o) (OP)'!AD287</f>
        <v>43063</v>
      </c>
      <c r="X600" s="13">
        <f>'[1]V, inciso o) (OP)'!AE287</f>
        <v>43131</v>
      </c>
      <c r="Y600" s="12" t="s">
        <v>794</v>
      </c>
      <c r="Z600" s="12" t="s">
        <v>833</v>
      </c>
      <c r="AA600" s="12" t="s">
        <v>191</v>
      </c>
      <c r="AB600" s="8" t="s">
        <v>1981</v>
      </c>
      <c r="AC600" s="14" t="s">
        <v>48</v>
      </c>
      <c r="AD600" s="14" t="s">
        <v>1571</v>
      </c>
    </row>
    <row r="601" spans="1:30" ht="80.099999999999994" customHeight="1">
      <c r="A601" s="5">
        <v>336</v>
      </c>
      <c r="B601" s="12">
        <v>2017</v>
      </c>
      <c r="C601" s="12" t="s">
        <v>65</v>
      </c>
      <c r="D601" s="14" t="str">
        <f>'[1]V, inciso o) (OP)'!C288</f>
        <v>DOPI-MUN-RM-PAV-AD-336-2017</v>
      </c>
      <c r="E601" s="13">
        <f>'[1]V, inciso o) (OP)'!V288</f>
        <v>43042</v>
      </c>
      <c r="F601" s="14" t="str">
        <f>'[1]V, inciso o) (OP)'!AA288</f>
        <v>Pavimentación con adoquín y empedrado tradicional con material producto de recuperación en diferentes vialidades en el municipio de Zapopan, Jalisco, frente 3.</v>
      </c>
      <c r="G601" s="14" t="s">
        <v>499</v>
      </c>
      <c r="H601" s="15">
        <f>'[1]V, inciso o) (OP)'!Y288</f>
        <v>1680442.12</v>
      </c>
      <c r="I601" s="14" t="s">
        <v>1349</v>
      </c>
      <c r="J601" s="14" t="str">
        <f>'[1]V, inciso o) (OP)'!M288</f>
        <v>JOSÉ OMAR</v>
      </c>
      <c r="K601" s="14" t="str">
        <f>'[1]V, inciso o) (OP)'!N288</f>
        <v>FERNÁNDEZ</v>
      </c>
      <c r="L601" s="14" t="str">
        <f>'[1]V, inciso o) (OP)'!O288</f>
        <v>VÁZQUEZ</v>
      </c>
      <c r="M601" s="14" t="str">
        <f>'[1]V, inciso o) (OP)'!P288</f>
        <v>JOSÉ OMAR FERNÁNDEZ VÁZQUEZ</v>
      </c>
      <c r="N601" s="14" t="str">
        <f>'[1]V, inciso o) (OP)'!Q288</f>
        <v>FEVO740619686</v>
      </c>
      <c r="O601" s="15">
        <f t="shared" si="13"/>
        <v>1680442.12</v>
      </c>
      <c r="P601" s="15">
        <v>1680442.12</v>
      </c>
      <c r="Q601" s="12" t="s">
        <v>1130</v>
      </c>
      <c r="R601" s="15">
        <f>H601/1750</f>
        <v>960.25264000000004</v>
      </c>
      <c r="S601" s="12" t="s">
        <v>42</v>
      </c>
      <c r="T601" s="17">
        <v>396</v>
      </c>
      <c r="U601" s="14" t="s">
        <v>43</v>
      </c>
      <c r="V601" s="12" t="s">
        <v>378</v>
      </c>
      <c r="W601" s="13">
        <f>'[1]V, inciso o) (OP)'!AD288</f>
        <v>43042</v>
      </c>
      <c r="X601" s="13">
        <f>'[1]V, inciso o) (OP)'!AE288</f>
        <v>43131</v>
      </c>
      <c r="Y601" s="12" t="s">
        <v>439</v>
      </c>
      <c r="Z601" s="12" t="s">
        <v>186</v>
      </c>
      <c r="AA601" s="12" t="s">
        <v>92</v>
      </c>
      <c r="AB601" s="14" t="s">
        <v>48</v>
      </c>
      <c r="AC601" s="14" t="s">
        <v>48</v>
      </c>
      <c r="AD601" s="14"/>
    </row>
    <row r="602" spans="1:30" ht="80.099999999999994" customHeight="1">
      <c r="A602" s="5">
        <v>337</v>
      </c>
      <c r="B602" s="12">
        <v>2017</v>
      </c>
      <c r="C602" s="12" t="s">
        <v>65</v>
      </c>
      <c r="D602" s="14" t="str">
        <f>'[1]V, inciso o) (OP)'!C289</f>
        <v>DOPI-MUN-CUSMAX-PROY-AD-337-2017</v>
      </c>
      <c r="E602" s="13">
        <f>'[1]V, inciso o) (OP)'!V289</f>
        <v>43018</v>
      </c>
      <c r="F602" s="14" t="str">
        <f>'[1]V, inciso o) (OP)'!AA289</f>
        <v>Elaboración de proyecto geométrico ejecutivo de cruceros seguros en el corredor de la Av. Patria -  Av. Acueducto, municipio de Zapopan, Jalisco</v>
      </c>
      <c r="G602" s="14" t="s">
        <v>987</v>
      </c>
      <c r="H602" s="15">
        <f>'[1]V, inciso o) (OP)'!Y289</f>
        <v>491840</v>
      </c>
      <c r="I602" s="14" t="s">
        <v>1071</v>
      </c>
      <c r="J602" s="14" t="str">
        <f>'[1]V, inciso o) (OP)'!M289</f>
        <v>SERGIO ALEJANDRO</v>
      </c>
      <c r="K602" s="14" t="str">
        <f>'[1]V, inciso o) (OP)'!N289</f>
        <v>LARIOS</v>
      </c>
      <c r="L602" s="14" t="str">
        <f>'[1]V, inciso o) (OP)'!O289</f>
        <v>VIRGEN</v>
      </c>
      <c r="M602" s="14" t="str">
        <f>'[1]V, inciso o) (OP)'!P289</f>
        <v xml:space="preserve">ESTUDIOS, PROYECTOS Y SEÑALIZACION VIAL, S.A. DE C.V. </v>
      </c>
      <c r="N602" s="14" t="str">
        <f>'[1]V, inciso o) (OP)'!Q289</f>
        <v>EPS040708MA2</v>
      </c>
      <c r="O602" s="15">
        <f t="shared" si="13"/>
        <v>491840</v>
      </c>
      <c r="P602" s="15">
        <f t="shared" ref="P602:P608" si="16">O602</f>
        <v>491840</v>
      </c>
      <c r="Q602" s="12" t="s">
        <v>1131</v>
      </c>
      <c r="R602" s="15">
        <f>H602/4</f>
        <v>122960</v>
      </c>
      <c r="S602" s="12" t="s">
        <v>125</v>
      </c>
      <c r="T602" s="17" t="s">
        <v>125</v>
      </c>
      <c r="U602" s="14" t="s">
        <v>43</v>
      </c>
      <c r="V602" s="12" t="s">
        <v>378</v>
      </c>
      <c r="W602" s="13">
        <f>'[1]V, inciso o) (OP)'!AD289</f>
        <v>43018</v>
      </c>
      <c r="X602" s="13">
        <f>'[1]V, inciso o) (OP)'!AE289</f>
        <v>43100</v>
      </c>
      <c r="Y602" s="12" t="s">
        <v>692</v>
      </c>
      <c r="Z602" s="12" t="s">
        <v>693</v>
      </c>
      <c r="AA602" s="12" t="s">
        <v>136</v>
      </c>
      <c r="AB602" s="8" t="s">
        <v>1982</v>
      </c>
      <c r="AC602" s="14" t="s">
        <v>48</v>
      </c>
      <c r="AD602" s="14" t="s">
        <v>1571</v>
      </c>
    </row>
    <row r="603" spans="1:30" ht="80.099999999999994" customHeight="1">
      <c r="A603" s="5">
        <v>338</v>
      </c>
      <c r="B603" s="12">
        <v>2017</v>
      </c>
      <c r="C603" s="12" t="s">
        <v>65</v>
      </c>
      <c r="D603" s="14" t="str">
        <f>'[1]V, inciso o) (OP)'!C290</f>
        <v>DOPI-MUN-CUSMAX-PROY-AD-338-2017</v>
      </c>
      <c r="E603" s="13">
        <f>'[1]V, inciso o) (OP)'!V290</f>
        <v>43066</v>
      </c>
      <c r="F603" s="14" t="str">
        <f>'[1]V, inciso o) (OP)'!AA290</f>
        <v>Elaboración de proyecto ejecutivo para iluminación del parque lineal Patria, en el tramo de Av. Acueducto a Av. Américas, municipio de Zapopan, Jalisco.</v>
      </c>
      <c r="G603" s="14" t="s">
        <v>987</v>
      </c>
      <c r="H603" s="15">
        <f>'[1]V, inciso o) (OP)'!Y290</f>
        <v>95898.49</v>
      </c>
      <c r="I603" s="14" t="s">
        <v>1071</v>
      </c>
      <c r="J603" s="14" t="str">
        <f>'[1]V, inciso o) (OP)'!M290</f>
        <v xml:space="preserve">CARLOS ISRAEL </v>
      </c>
      <c r="K603" s="14" t="str">
        <f>'[1]V, inciso o) (OP)'!N290</f>
        <v>JAUREGUI</v>
      </c>
      <c r="L603" s="14" t="str">
        <f>'[1]V, inciso o) (OP)'!O290</f>
        <v xml:space="preserve"> GOMEZ</v>
      </c>
      <c r="M603" s="14" t="str">
        <f>'[1]V, inciso o) (OP)'!P290</f>
        <v>CARJAU, S.A. DE C.V.</v>
      </c>
      <c r="N603" s="14" t="str">
        <f>'[1]V, inciso o) (OP)'!Q290</f>
        <v>CAR041213BM6</v>
      </c>
      <c r="O603" s="15">
        <f t="shared" si="13"/>
        <v>95898.49</v>
      </c>
      <c r="P603" s="15">
        <f t="shared" si="16"/>
        <v>95898.49</v>
      </c>
      <c r="Q603" s="12" t="s">
        <v>714</v>
      </c>
      <c r="R603" s="15">
        <f>H603</f>
        <v>95898.49</v>
      </c>
      <c r="S603" s="12" t="s">
        <v>125</v>
      </c>
      <c r="T603" s="17" t="s">
        <v>125</v>
      </c>
      <c r="U603" s="14" t="s">
        <v>43</v>
      </c>
      <c r="V603" s="12" t="s">
        <v>378</v>
      </c>
      <c r="W603" s="13">
        <f>'[1]V, inciso o) (OP)'!AD290</f>
        <v>43066</v>
      </c>
      <c r="X603" s="13">
        <f>'[1]V, inciso o) (OP)'!AE290</f>
        <v>43131</v>
      </c>
      <c r="Y603" s="12" t="s">
        <v>692</v>
      </c>
      <c r="Z603" s="12" t="s">
        <v>693</v>
      </c>
      <c r="AA603" s="12" t="s">
        <v>136</v>
      </c>
      <c r="AB603" s="8" t="s">
        <v>1983</v>
      </c>
      <c r="AC603" s="14" t="s">
        <v>48</v>
      </c>
      <c r="AD603" s="14" t="s">
        <v>1571</v>
      </c>
    </row>
    <row r="604" spans="1:30" ht="80.099999999999994" customHeight="1">
      <c r="A604" s="5">
        <v>339</v>
      </c>
      <c r="B604" s="12">
        <v>2017</v>
      </c>
      <c r="C604" s="12" t="s">
        <v>65</v>
      </c>
      <c r="D604" s="14" t="str">
        <f>'[1]V, inciso o) (OP)'!C291</f>
        <v>DOPI-MUN-CUSMAX-PROY-AD-339-2017</v>
      </c>
      <c r="E604" s="13">
        <f>'[1]V, inciso o) (OP)'!V291</f>
        <v>43084</v>
      </c>
      <c r="F604" s="14" t="str">
        <f>'[1]V, inciso o) (OP)'!AA291</f>
        <v>Elaboración de proyecto ejecutivo hidráulico del parque lineal Patria, municipio de Zapopan, Jalisco.</v>
      </c>
      <c r="G604" s="14" t="s">
        <v>987</v>
      </c>
      <c r="H604" s="15">
        <f>'[1]V, inciso o) (OP)'!Y291</f>
        <v>248650.88</v>
      </c>
      <c r="I604" s="14" t="s">
        <v>1071</v>
      </c>
      <c r="J604" s="14" t="str">
        <f>'[1]V, inciso o) (OP)'!M291</f>
        <v>FRANCISCA ELVIA</v>
      </c>
      <c r="K604" s="14" t="str">
        <f>'[1]V, inciso o) (OP)'!N291</f>
        <v>RUBIO</v>
      </c>
      <c r="L604" s="14" t="str">
        <f>'[1]V, inciso o) (OP)'!O291</f>
        <v>MONTES</v>
      </c>
      <c r="M604" s="14" t="str">
        <f>'[1]V, inciso o) (OP)'!P291</f>
        <v>INFRAESTRUCTURA HIDRAULICA Y SERVICIOS, S.A. DE C.V.</v>
      </c>
      <c r="N604" s="14" t="str">
        <f>'[1]V, inciso o) (OP)'!Q291</f>
        <v>IHS9809171R9</v>
      </c>
      <c r="O604" s="15">
        <f t="shared" si="13"/>
        <v>248650.88</v>
      </c>
      <c r="P604" s="15">
        <f t="shared" si="16"/>
        <v>248650.88</v>
      </c>
      <c r="Q604" s="12" t="s">
        <v>714</v>
      </c>
      <c r="R604" s="15">
        <f>H604</f>
        <v>248650.88</v>
      </c>
      <c r="S604" s="12" t="s">
        <v>125</v>
      </c>
      <c r="T604" s="17" t="s">
        <v>125</v>
      </c>
      <c r="U604" s="14" t="s">
        <v>43</v>
      </c>
      <c r="V604" s="12" t="s">
        <v>378</v>
      </c>
      <c r="W604" s="13">
        <f>'[1]V, inciso o) (OP)'!AD291</f>
        <v>43084</v>
      </c>
      <c r="X604" s="13">
        <f>'[1]V, inciso o) (OP)'!AE291</f>
        <v>43131</v>
      </c>
      <c r="Y604" s="12" t="s">
        <v>692</v>
      </c>
      <c r="Z604" s="12" t="s">
        <v>693</v>
      </c>
      <c r="AA604" s="12" t="s">
        <v>136</v>
      </c>
      <c r="AB604" s="8" t="s">
        <v>1984</v>
      </c>
      <c r="AC604" s="14" t="s">
        <v>48</v>
      </c>
      <c r="AD604" s="14" t="s">
        <v>1571</v>
      </c>
    </row>
    <row r="605" spans="1:30" ht="80.099999999999994" customHeight="1">
      <c r="A605" s="5">
        <v>340</v>
      </c>
      <c r="B605" s="12">
        <v>2017</v>
      </c>
      <c r="C605" s="12" t="s">
        <v>65</v>
      </c>
      <c r="D605" s="14" t="str">
        <f>'[1]V, inciso o) (OP)'!C292</f>
        <v>DOPI-MUN-RM-IE-AD-340-2017</v>
      </c>
      <c r="E605" s="13">
        <f>'[1]V, inciso o) (OP)'!V292</f>
        <v>43084</v>
      </c>
      <c r="F605" s="14" t="str">
        <f>'[1]V, inciso o) (OP)'!AA292</f>
        <v>Estructuras con lonaria, carpintería, acabados, y cancelería, en el CDI del DIF No. 8 María Jaime Franco, ubicado en Santa Ana Tepetitlán, municipio de Zapopan, Jalisco.</v>
      </c>
      <c r="G605" s="14" t="s">
        <v>499</v>
      </c>
      <c r="H605" s="15">
        <f>'[1]V, inciso o) (OP)'!Y292</f>
        <v>1558918.75</v>
      </c>
      <c r="I605" s="14" t="s">
        <v>281</v>
      </c>
      <c r="J605" s="14" t="str">
        <f>'[1]V, inciso o) (OP)'!M292</f>
        <v>WILLIAMS PATRICKS</v>
      </c>
      <c r="K605" s="14" t="str">
        <f>'[1]V, inciso o) (OP)'!N292</f>
        <v>GIL</v>
      </c>
      <c r="L605" s="14" t="str">
        <f>'[1]V, inciso o) (OP)'!O292</f>
        <v>PÉREZ</v>
      </c>
      <c r="M605" s="14" t="str">
        <f>'[1]V, inciso o) (OP)'!P292</f>
        <v>GP WILLIAMS ADMON, S.A. DE C.V.</v>
      </c>
      <c r="N605" s="14" t="str">
        <f>'[1]V, inciso o) (OP)'!Q292</f>
        <v>GWA141209KG7</v>
      </c>
      <c r="O605" s="15">
        <f t="shared" si="13"/>
        <v>1558918.75</v>
      </c>
      <c r="P605" s="15">
        <f t="shared" si="16"/>
        <v>1558918.75</v>
      </c>
      <c r="Q605" s="12" t="s">
        <v>1132</v>
      </c>
      <c r="R605" s="15">
        <f>H605/368</f>
        <v>4236.192255434783</v>
      </c>
      <c r="S605" s="12" t="s">
        <v>42</v>
      </c>
      <c r="T605" s="17">
        <v>128961</v>
      </c>
      <c r="U605" s="14" t="s">
        <v>43</v>
      </c>
      <c r="V605" s="12" t="s">
        <v>378</v>
      </c>
      <c r="W605" s="13">
        <f>'[1]V, inciso o) (OP)'!AD292</f>
        <v>43084</v>
      </c>
      <c r="X605" s="13">
        <f>'[1]V, inciso o) (OP)'!AE292</f>
        <v>43131</v>
      </c>
      <c r="Y605" s="12" t="s">
        <v>611</v>
      </c>
      <c r="Z605" s="12" t="s">
        <v>312</v>
      </c>
      <c r="AA605" s="12" t="s">
        <v>64</v>
      </c>
      <c r="AB605" s="14" t="s">
        <v>48</v>
      </c>
      <c r="AC605" s="14" t="s">
        <v>48</v>
      </c>
      <c r="AD605" s="14" t="s">
        <v>1571</v>
      </c>
    </row>
    <row r="606" spans="1:30" ht="80.099999999999994" customHeight="1">
      <c r="A606" s="5">
        <v>341</v>
      </c>
      <c r="B606" s="12">
        <v>2017</v>
      </c>
      <c r="C606" s="12" t="s">
        <v>65</v>
      </c>
      <c r="D606" s="14" t="str">
        <f>'[1]V, inciso o) (OP)'!C293</f>
        <v>DOPI-MUN-R33-DS-AD-341-2017</v>
      </c>
      <c r="E606" s="13">
        <f>'[1]V, inciso o) (OP)'!V293</f>
        <v>43045</v>
      </c>
      <c r="F606" s="14" t="str">
        <f>'[1]V, inciso o) (OP)'!AA293</f>
        <v>Construcción de colector de alejamiento en la localidad de Pedregal de Milpillas, municipio de Zapopan, Jalisco, Frente 1.</v>
      </c>
      <c r="G606" s="14" t="s">
        <v>933</v>
      </c>
      <c r="H606" s="15">
        <f>'[1]V, inciso o) (OP)'!Y293</f>
        <v>1620156.15</v>
      </c>
      <c r="I606" s="14" t="s">
        <v>1133</v>
      </c>
      <c r="J606" s="14" t="str">
        <f>'[1]V, inciso o) (OP)'!M293</f>
        <v>MAXIMILIANO</v>
      </c>
      <c r="K606" s="14" t="str">
        <f>'[1]V, inciso o) (OP)'!N293</f>
        <v>TORRES</v>
      </c>
      <c r="L606" s="14" t="str">
        <f>'[1]V, inciso o) (OP)'!O293</f>
        <v>LÓPEZ</v>
      </c>
      <c r="M606" s="14" t="str">
        <f>'[1]V, inciso o) (OP)'!P293</f>
        <v>GRUPO CONSTRUCTOR STRADE, S.A. DE C.V.</v>
      </c>
      <c r="N606" s="14" t="str">
        <f>'[1]V, inciso o) (OP)'!Q293</f>
        <v>GCS080902S44</v>
      </c>
      <c r="O606" s="15">
        <f t="shared" si="13"/>
        <v>1620156.15</v>
      </c>
      <c r="P606" s="15">
        <f t="shared" si="16"/>
        <v>1620156.15</v>
      </c>
      <c r="Q606" s="12" t="s">
        <v>1134</v>
      </c>
      <c r="R606" s="15">
        <f>H606/262</f>
        <v>6183.802099236641</v>
      </c>
      <c r="S606" s="12" t="s">
        <v>42</v>
      </c>
      <c r="T606" s="17">
        <v>352</v>
      </c>
      <c r="U606" s="14" t="s">
        <v>43</v>
      </c>
      <c r="V606" s="12" t="s">
        <v>378</v>
      </c>
      <c r="W606" s="13">
        <f>'[1]V, inciso o) (OP)'!AD293</f>
        <v>43045</v>
      </c>
      <c r="X606" s="13">
        <f>'[1]V, inciso o) (OP)'!AE293</f>
        <v>43100</v>
      </c>
      <c r="Y606" s="12" t="s">
        <v>468</v>
      </c>
      <c r="Z606" s="12" t="s">
        <v>307</v>
      </c>
      <c r="AA606" s="12" t="s">
        <v>308</v>
      </c>
      <c r="AB606" s="14" t="s">
        <v>1565</v>
      </c>
      <c r="AC606" s="14" t="s">
        <v>48</v>
      </c>
      <c r="AD606" s="14" t="s">
        <v>1571</v>
      </c>
    </row>
    <row r="607" spans="1:30" ht="80.099999999999994" customHeight="1">
      <c r="A607" s="5">
        <v>342</v>
      </c>
      <c r="B607" s="12">
        <v>2017</v>
      </c>
      <c r="C607" s="12" t="s">
        <v>65</v>
      </c>
      <c r="D607" s="14" t="str">
        <f>'[1]V, inciso o) (OP)'!C294</f>
        <v>DOPI-MUN-R33-DS-AD-342-2017</v>
      </c>
      <c r="E607" s="13">
        <f>'[1]V, inciso o) (OP)'!V294</f>
        <v>43045</v>
      </c>
      <c r="F607" s="14" t="str">
        <f>'[1]V, inciso o) (OP)'!AA294</f>
        <v>Construcción de colector de alejamiento en la localidad de Pedregal de Milpillas, municipio de Zapopan, Jalisco, Frente 2.</v>
      </c>
      <c r="G607" s="14" t="s">
        <v>1135</v>
      </c>
      <c r="H607" s="15">
        <f>'[1]V, inciso o) (OP)'!Y294</f>
        <v>1557137.55</v>
      </c>
      <c r="I607" s="14" t="s">
        <v>1133</v>
      </c>
      <c r="J607" s="14" t="str">
        <f>'[1]V, inciso o) (OP)'!M294</f>
        <v>ERNESTO</v>
      </c>
      <c r="K607" s="14" t="str">
        <f>'[1]V, inciso o) (OP)'!N294</f>
        <v>OLIVARES</v>
      </c>
      <c r="L607" s="14" t="str">
        <f>'[1]V, inciso o) (OP)'!O294</f>
        <v>ÁLVAREZ</v>
      </c>
      <c r="M607" s="14" t="str">
        <f>'[1]V, inciso o) (OP)'!P294</f>
        <v xml:space="preserve">METRICA INFRAESTRUCTURA, S.A. DE C.V. </v>
      </c>
      <c r="N607" s="14" t="str">
        <f>'[1]V, inciso o) (OP)'!Q294</f>
        <v>MIN170819GG1</v>
      </c>
      <c r="O607" s="15">
        <f t="shared" si="13"/>
        <v>1557137.55</v>
      </c>
      <c r="P607" s="15">
        <f t="shared" si="16"/>
        <v>1557137.55</v>
      </c>
      <c r="Q607" s="12" t="s">
        <v>1136</v>
      </c>
      <c r="R607" s="15">
        <f>H607/259</f>
        <v>6012.1140926640928</v>
      </c>
      <c r="S607" s="12" t="s">
        <v>42</v>
      </c>
      <c r="T607" s="17">
        <v>352</v>
      </c>
      <c r="U607" s="14" t="s">
        <v>43</v>
      </c>
      <c r="V607" s="12" t="s">
        <v>378</v>
      </c>
      <c r="W607" s="13">
        <f>'[1]V, inciso o) (OP)'!AD294</f>
        <v>43045</v>
      </c>
      <c r="X607" s="13">
        <f>'[1]V, inciso o) (OP)'!AE294</f>
        <v>43100</v>
      </c>
      <c r="Y607" s="12" t="s">
        <v>468</v>
      </c>
      <c r="Z607" s="12" t="s">
        <v>307</v>
      </c>
      <c r="AA607" s="12" t="s">
        <v>308</v>
      </c>
      <c r="AB607" s="14" t="s">
        <v>48</v>
      </c>
      <c r="AC607" s="14" t="s">
        <v>48</v>
      </c>
      <c r="AD607" s="14" t="s">
        <v>1571</v>
      </c>
    </row>
    <row r="608" spans="1:30" ht="80.099999999999994" customHeight="1">
      <c r="A608" s="5">
        <v>343</v>
      </c>
      <c r="B608" s="12">
        <v>2017</v>
      </c>
      <c r="C608" s="12" t="s">
        <v>65</v>
      </c>
      <c r="D608" s="14" t="str">
        <f>'[1]V, inciso o) (OP)'!C295</f>
        <v>DOPI-MUN-R33-IH-AD-343-2017</v>
      </c>
      <c r="E608" s="13">
        <f>'[1]V, inciso o) (OP)'!V295</f>
        <v>43045</v>
      </c>
      <c r="F608" s="14" t="str">
        <f>'[1]V, inciso o) (OP)'!AA295</f>
        <v>Construcción de planta de tratamiento tipo rural, en la localidad de Pedregal de Milpillas, municipio de Zapopan, Jalisco.</v>
      </c>
      <c r="G608" s="14" t="s">
        <v>1137</v>
      </c>
      <c r="H608" s="15">
        <f>'[1]V, inciso o) (OP)'!Y295</f>
        <v>991771.16</v>
      </c>
      <c r="I608" s="14" t="s">
        <v>1133</v>
      </c>
      <c r="J608" s="14" t="str">
        <f>'[1]V, inciso o) (OP)'!M295</f>
        <v>GUSTAVO ALEJANDRO</v>
      </c>
      <c r="K608" s="14" t="str">
        <f>'[1]V, inciso o) (OP)'!N295</f>
        <v>LEDEZMA</v>
      </c>
      <c r="L608" s="14" t="str">
        <f>'[1]V, inciso o) (OP)'!O295</f>
        <v xml:space="preserve"> CERVANTES</v>
      </c>
      <c r="M608" s="14" t="str">
        <f>'[1]V, inciso o) (OP)'!P295</f>
        <v>EDIFICACIONES Y PROYECTOS ROCA, S.A. DE C.V.</v>
      </c>
      <c r="N608" s="14" t="str">
        <f>'[1]V, inciso o) (OP)'!Q295</f>
        <v>EPR131016I71</v>
      </c>
      <c r="O608" s="15">
        <f t="shared" si="13"/>
        <v>991771.16</v>
      </c>
      <c r="P608" s="15">
        <f t="shared" si="16"/>
        <v>991771.16</v>
      </c>
      <c r="Q608" s="12" t="s">
        <v>52</v>
      </c>
      <c r="R608" s="15">
        <f>H608</f>
        <v>991771.16</v>
      </c>
      <c r="S608" s="12" t="s">
        <v>42</v>
      </c>
      <c r="T608" s="17">
        <v>352</v>
      </c>
      <c r="U608" s="14" t="s">
        <v>43</v>
      </c>
      <c r="V608" s="12" t="s">
        <v>378</v>
      </c>
      <c r="W608" s="13">
        <f>'[1]V, inciso o) (OP)'!AD295</f>
        <v>43045</v>
      </c>
      <c r="X608" s="13">
        <f>'[1]V, inciso o) (OP)'!AE295</f>
        <v>43100</v>
      </c>
      <c r="Y608" s="12" t="s">
        <v>468</v>
      </c>
      <c r="Z608" s="12" t="s">
        <v>307</v>
      </c>
      <c r="AA608" s="12" t="s">
        <v>308</v>
      </c>
      <c r="AB608" s="14" t="s">
        <v>48</v>
      </c>
      <c r="AC608" s="14" t="s">
        <v>48</v>
      </c>
      <c r="AD608" s="14" t="s">
        <v>1571</v>
      </c>
    </row>
    <row r="609" spans="1:30" ht="80.099999999999994" customHeight="1">
      <c r="A609" s="5">
        <v>344</v>
      </c>
      <c r="B609" s="12">
        <v>2017</v>
      </c>
      <c r="C609" s="12" t="s">
        <v>65</v>
      </c>
      <c r="D609" s="14" t="str">
        <f>'[1]V, inciso o) (OP)'!C296</f>
        <v>DOPI-MUN-R33-PAV-AD-344-2017</v>
      </c>
      <c r="E609" s="13">
        <f>'[1]V, inciso o) (OP)'!V296</f>
        <v>43045</v>
      </c>
      <c r="F609" s="14" t="str">
        <f>'[1]V, inciso o) (OP)'!AA296</f>
        <v>Pavimentación con concreto hidráulico de vialidades en la colonia El Zapote II, incluye: guarniciones, banquetas, accesibilidad y servicios complementarios, municipio de Zapopan, Jalisco, Frente 1.</v>
      </c>
      <c r="G609" s="14" t="s">
        <v>1138</v>
      </c>
      <c r="H609" s="15">
        <f>'[1]V, inciso o) (OP)'!Y296</f>
        <v>1510992.13</v>
      </c>
      <c r="I609" s="14" t="s">
        <v>1139</v>
      </c>
      <c r="J609" s="14" t="str">
        <f>'[1]V, inciso o) (OP)'!M296</f>
        <v>MARTÍN ALEJANDRO</v>
      </c>
      <c r="K609" s="14" t="str">
        <f>'[1]V, inciso o) (OP)'!N296</f>
        <v>DIEZ MARINA</v>
      </c>
      <c r="L609" s="14" t="str">
        <f>'[1]V, inciso o) (OP)'!O296</f>
        <v>INZUNZA</v>
      </c>
      <c r="M609" s="14" t="str">
        <f>'[1]V, inciso o) (OP)'!P296</f>
        <v>URBANIZACIONES INZUNZA, S.A. DE C.V.</v>
      </c>
      <c r="N609" s="14" t="str">
        <f>'[1]V, inciso o) (OP)'!Q296</f>
        <v>UNI1201115M6</v>
      </c>
      <c r="O609" s="15">
        <f t="shared" si="13"/>
        <v>1510992.13</v>
      </c>
      <c r="P609" s="15">
        <v>1510992.13</v>
      </c>
      <c r="Q609" s="12" t="s">
        <v>1140</v>
      </c>
      <c r="R609" s="15">
        <f>H609/988</f>
        <v>1529.3442611336031</v>
      </c>
      <c r="S609" s="12" t="s">
        <v>42</v>
      </c>
      <c r="T609" s="17">
        <v>698</v>
      </c>
      <c r="U609" s="14" t="s">
        <v>43</v>
      </c>
      <c r="V609" s="12" t="s">
        <v>44</v>
      </c>
      <c r="W609" s="13">
        <f>'[1]V, inciso o) (OP)'!AD296</f>
        <v>43045</v>
      </c>
      <c r="X609" s="13">
        <f>'[1]V, inciso o) (OP)'!AE296</f>
        <v>43100</v>
      </c>
      <c r="Y609" s="12" t="s">
        <v>794</v>
      </c>
      <c r="Z609" s="12" t="s">
        <v>833</v>
      </c>
      <c r="AA609" s="12" t="s">
        <v>191</v>
      </c>
      <c r="AB609" s="14" t="s">
        <v>48</v>
      </c>
      <c r="AC609" s="14" t="s">
        <v>48</v>
      </c>
      <c r="AD609" s="14"/>
    </row>
    <row r="610" spans="1:30" ht="80.099999999999994" customHeight="1">
      <c r="A610" s="5">
        <v>345</v>
      </c>
      <c r="B610" s="12">
        <v>2017</v>
      </c>
      <c r="C610" s="12" t="s">
        <v>65</v>
      </c>
      <c r="D610" s="14" t="str">
        <f>'[1]V, inciso o) (OP)'!C297</f>
        <v>DOPI-MUN-R33-PAV-AD-345-2017</v>
      </c>
      <c r="E610" s="13">
        <f>'[1]V, inciso o) (OP)'!V297</f>
        <v>43045</v>
      </c>
      <c r="F610" s="14" t="str">
        <f>'[1]V, inciso o) (OP)'!AA297</f>
        <v>Pavimentación con concreto hidráulico de vialidades en la colonia El Zapote II, incluye: guarniciones, banquetas, accesibilidad y servicios complementarios, municipio de Zapopan, Jalisco, Frente 2.</v>
      </c>
      <c r="G610" s="14" t="s">
        <v>1141</v>
      </c>
      <c r="H610" s="15">
        <f>'[1]V, inciso o) (OP)'!Y297</f>
        <v>1622165.56</v>
      </c>
      <c r="I610" s="14" t="s">
        <v>1139</v>
      </c>
      <c r="J610" s="14" t="str">
        <f>'[1]V, inciso o) (OP)'!M297</f>
        <v>EMILIO MIGUEL</v>
      </c>
      <c r="K610" s="14" t="str">
        <f>'[1]V, inciso o) (OP)'!N297</f>
        <v>ZULOAGA</v>
      </c>
      <c r="L610" s="14" t="str">
        <f>'[1]V, inciso o) (OP)'!O297</f>
        <v>SAENZ</v>
      </c>
      <c r="M610" s="14" t="str">
        <f>'[1]V, inciso o) (OP)'!P297</f>
        <v>CONSTRUCTORA Y SERVICIOS NOVACREA, S.A. DE C.V.</v>
      </c>
      <c r="N610" s="14" t="str">
        <f>'[1]V, inciso o) (OP)'!Q297</f>
        <v>CSN150923FGA</v>
      </c>
      <c r="O610" s="15">
        <f t="shared" si="13"/>
        <v>1622165.56</v>
      </c>
      <c r="P610" s="15">
        <v>1622165.57</v>
      </c>
      <c r="Q610" s="12" t="s">
        <v>1142</v>
      </c>
      <c r="R610" s="15">
        <f>H610/994</f>
        <v>1631.9573038229378</v>
      </c>
      <c r="S610" s="12" t="s">
        <v>42</v>
      </c>
      <c r="T610" s="17">
        <v>698</v>
      </c>
      <c r="U610" s="14" t="s">
        <v>43</v>
      </c>
      <c r="V610" s="12" t="s">
        <v>378</v>
      </c>
      <c r="W610" s="13">
        <f>'[1]V, inciso o) (OP)'!AD297</f>
        <v>43045</v>
      </c>
      <c r="X610" s="13">
        <f>'[1]V, inciso o) (OP)'!AE297</f>
        <v>43100</v>
      </c>
      <c r="Y610" s="12" t="s">
        <v>794</v>
      </c>
      <c r="Z610" s="12" t="s">
        <v>833</v>
      </c>
      <c r="AA610" s="12" t="s">
        <v>191</v>
      </c>
      <c r="AB610" s="14" t="s">
        <v>48</v>
      </c>
      <c r="AC610" s="14" t="s">
        <v>48</v>
      </c>
      <c r="AD610" s="14"/>
    </row>
    <row r="611" spans="1:30" ht="80.099999999999994" customHeight="1">
      <c r="A611" s="5">
        <v>346</v>
      </c>
      <c r="B611" s="12">
        <v>2017</v>
      </c>
      <c r="C611" s="12" t="s">
        <v>65</v>
      </c>
      <c r="D611" s="14" t="str">
        <f>'[1]V, inciso o) (OP)'!C298</f>
        <v>DOPI-MUN-RM-PAV-AD-346-2017</v>
      </c>
      <c r="E611" s="13">
        <f>'[1]V, inciso o) (OP)'!V298</f>
        <v>43045</v>
      </c>
      <c r="F611" s="14" t="str">
        <f>'[1]V, inciso o) (OP)'!AA298</f>
        <v>Pavimentación con concreto hidráulico, puente vehicular y obra complementaria en la calle Emiliano Zapata y calle Pípila, en la colonia La Martinica, municipio de Zapopan, Jalisco.</v>
      </c>
      <c r="G611" s="14" t="s">
        <v>499</v>
      </c>
      <c r="H611" s="15">
        <f>'[1]V, inciso o) (OP)'!Y298</f>
        <v>1452125.63</v>
      </c>
      <c r="I611" s="14" t="s">
        <v>483</v>
      </c>
      <c r="J611" s="14" t="str">
        <f>'[1]V, inciso o) (OP)'!M298</f>
        <v>SERGIO CESAR</v>
      </c>
      <c r="K611" s="14" t="str">
        <f>'[1]V, inciso o) (OP)'!N298</f>
        <v>DÍAZ</v>
      </c>
      <c r="L611" s="14" t="str">
        <f>'[1]V, inciso o) (OP)'!O298</f>
        <v>QUIROZ</v>
      </c>
      <c r="M611" s="14" t="str">
        <f>'[1]V, inciso o) (OP)'!P298</f>
        <v>TRANSCRETO S.A. DE C.V.</v>
      </c>
      <c r="N611" s="14" t="str">
        <f>'[1]V, inciso o) (OP)'!Q298</f>
        <v>TRA750528286</v>
      </c>
      <c r="O611" s="15">
        <f t="shared" ref="O611:O674" si="17">H611</f>
        <v>1452125.63</v>
      </c>
      <c r="P611" s="15">
        <f>O611</f>
        <v>1452125.63</v>
      </c>
      <c r="Q611" s="12" t="s">
        <v>1143</v>
      </c>
      <c r="R611" s="15">
        <f>H611/1021</f>
        <v>1422.258207639569</v>
      </c>
      <c r="S611" s="12" t="s">
        <v>42</v>
      </c>
      <c r="T611" s="17">
        <v>752</v>
      </c>
      <c r="U611" s="14" t="s">
        <v>43</v>
      </c>
      <c r="V611" s="12" t="s">
        <v>378</v>
      </c>
      <c r="W611" s="13">
        <f>'[1]V, inciso o) (OP)'!AD298</f>
        <v>43045</v>
      </c>
      <c r="X611" s="13">
        <f>'[1]V, inciso o) (OP)'!AE298</f>
        <v>43100</v>
      </c>
      <c r="Y611" s="12" t="s">
        <v>449</v>
      </c>
      <c r="Z611" s="12" t="s">
        <v>450</v>
      </c>
      <c r="AA611" s="12" t="s">
        <v>451</v>
      </c>
      <c r="AB611" s="14" t="s">
        <v>48</v>
      </c>
      <c r="AC611" s="14" t="s">
        <v>48</v>
      </c>
      <c r="AD611" s="14" t="s">
        <v>1571</v>
      </c>
    </row>
    <row r="612" spans="1:30" ht="80.099999999999994" customHeight="1">
      <c r="A612" s="5">
        <v>347</v>
      </c>
      <c r="B612" s="12">
        <v>2017</v>
      </c>
      <c r="C612" s="12" t="s">
        <v>65</v>
      </c>
      <c r="D612" s="14" t="str">
        <f>'[1]V, inciso o) (OP)'!C299</f>
        <v>DOPI-MUN-RM-IM-AD-347-2017</v>
      </c>
      <c r="E612" s="13">
        <f>'[1]V, inciso o) (OP)'!V299</f>
        <v>43045</v>
      </c>
      <c r="F612" s="14" t="str">
        <f>'[1]V, inciso o) (OP)'!AA299</f>
        <v>Trabajos complementarios de cancelería de aluminio, equipamiento, instalación de mamparas y jardinería en el centro de desarrollo infantil La Loma, municipio de Zapopan, Jalisco.</v>
      </c>
      <c r="G612" s="14" t="s">
        <v>499</v>
      </c>
      <c r="H612" s="15">
        <f>'[1]V, inciso o) (OP)'!Y299</f>
        <v>1485030.58</v>
      </c>
      <c r="I612" s="14" t="s">
        <v>1144</v>
      </c>
      <c r="J612" s="14" t="str">
        <f>'[1]V, inciso o) (OP)'!M299</f>
        <v>ELSA GABRIELA</v>
      </c>
      <c r="K612" s="14" t="str">
        <f>'[1]V, inciso o) (OP)'!N299</f>
        <v>ROMERO</v>
      </c>
      <c r="L612" s="14" t="str">
        <f>'[1]V, inciso o) (OP)'!O299</f>
        <v>ORTEGA</v>
      </c>
      <c r="M612" s="14" t="str">
        <f>'[1]V, inciso o) (OP)'!P299</f>
        <v>EDIFICACIONES Y VIVIENDA, S.A. DE C.V.</v>
      </c>
      <c r="N612" s="14" t="str">
        <f>'[1]V, inciso o) (OP)'!Q299</f>
        <v>EVI940414M46</v>
      </c>
      <c r="O612" s="15">
        <f t="shared" si="17"/>
        <v>1485030.58</v>
      </c>
      <c r="P612" s="15">
        <f>O612</f>
        <v>1485030.58</v>
      </c>
      <c r="Q612" s="12" t="s">
        <v>435</v>
      </c>
      <c r="R612" s="15">
        <f>H612/1240</f>
        <v>1197.6053064516129</v>
      </c>
      <c r="S612" s="12" t="s">
        <v>42</v>
      </c>
      <c r="T612" s="17">
        <v>8450</v>
      </c>
      <c r="U612" s="14" t="s">
        <v>43</v>
      </c>
      <c r="V612" s="12" t="s">
        <v>378</v>
      </c>
      <c r="W612" s="13">
        <f>'[1]V, inciso o) (OP)'!AD299</f>
        <v>43045</v>
      </c>
      <c r="X612" s="13">
        <f>'[1]V, inciso o) (OP)'!AE299</f>
        <v>43100</v>
      </c>
      <c r="Y612" s="12" t="s">
        <v>436</v>
      </c>
      <c r="Z612" s="12" t="s">
        <v>295</v>
      </c>
      <c r="AA612" s="12" t="s">
        <v>76</v>
      </c>
      <c r="AB612" s="14" t="s">
        <v>48</v>
      </c>
      <c r="AC612" s="14" t="s">
        <v>48</v>
      </c>
      <c r="AD612" s="14" t="s">
        <v>1571</v>
      </c>
    </row>
    <row r="613" spans="1:30" ht="80.099999999999994" customHeight="1">
      <c r="A613" s="5">
        <v>348</v>
      </c>
      <c r="B613" s="12">
        <v>2017</v>
      </c>
      <c r="C613" s="12" t="s">
        <v>65</v>
      </c>
      <c r="D613" s="14" t="str">
        <f>'[1]V, inciso o) (OP)'!C300</f>
        <v>DOPI-MUN-RM-ELE-AD-348-2017</v>
      </c>
      <c r="E613" s="13">
        <f>'[1]V, inciso o) (OP)'!V300</f>
        <v>43045</v>
      </c>
      <c r="F613" s="14" t="str">
        <f>'[1]V, inciso o) (OP)'!AA300</f>
        <v>Obra eléctrica complementaria en el Centro de Desarrollo Infantil La Loma, municipio de Zapopan, Jalisco.</v>
      </c>
      <c r="G613" s="14" t="s">
        <v>499</v>
      </c>
      <c r="H613" s="15">
        <f>'[1]V, inciso o) (OP)'!Y300</f>
        <v>1134380.3999999999</v>
      </c>
      <c r="I613" s="14" t="s">
        <v>1144</v>
      </c>
      <c r="J613" s="14" t="str">
        <f>'[1]V, inciso o) (OP)'!M300</f>
        <v xml:space="preserve">HÉCTOR MANUEL </v>
      </c>
      <c r="K613" s="14" t="str">
        <f>'[1]V, inciso o) (OP)'!N300</f>
        <v xml:space="preserve"> CRUZ </v>
      </c>
      <c r="L613" s="14" t="str">
        <f>'[1]V, inciso o) (OP)'!O300</f>
        <v xml:space="preserve"> ALCALA</v>
      </c>
      <c r="M613" s="14" t="str">
        <f>'[1]V, inciso o) (OP)'!P300</f>
        <v>ARKAL GRUPO CONSTRUCTOR, S.A. DE C.V.</v>
      </c>
      <c r="N613" s="14" t="str">
        <f>'[1]V, inciso o) (OP)'!Q300</f>
        <v>AGC960215977</v>
      </c>
      <c r="O613" s="15">
        <f t="shared" si="17"/>
        <v>1134380.3999999999</v>
      </c>
      <c r="P613" s="15">
        <f>O613</f>
        <v>1134380.3999999999</v>
      </c>
      <c r="Q613" s="12" t="s">
        <v>435</v>
      </c>
      <c r="R613" s="15">
        <f>H613/1240</f>
        <v>914.82290322580639</v>
      </c>
      <c r="S613" s="12" t="s">
        <v>42</v>
      </c>
      <c r="T613" s="17">
        <v>8450</v>
      </c>
      <c r="U613" s="14" t="s">
        <v>43</v>
      </c>
      <c r="V613" s="12" t="s">
        <v>378</v>
      </c>
      <c r="W613" s="13">
        <f>'[1]V, inciso o) (OP)'!AD300</f>
        <v>43045</v>
      </c>
      <c r="X613" s="13">
        <f>'[1]V, inciso o) (OP)'!AE300</f>
        <v>43100</v>
      </c>
      <c r="Y613" s="12" t="s">
        <v>436</v>
      </c>
      <c r="Z613" s="12" t="s">
        <v>295</v>
      </c>
      <c r="AA613" s="12" t="s">
        <v>76</v>
      </c>
      <c r="AB613" s="14" t="s">
        <v>48</v>
      </c>
      <c r="AC613" s="14" t="s">
        <v>48</v>
      </c>
      <c r="AD613" s="14" t="s">
        <v>1571</v>
      </c>
    </row>
    <row r="614" spans="1:30" ht="80.099999999999994" customHeight="1">
      <c r="A614" s="5">
        <v>350</v>
      </c>
      <c r="B614" s="12">
        <v>2017</v>
      </c>
      <c r="C614" s="12" t="s">
        <v>65</v>
      </c>
      <c r="D614" s="14" t="str">
        <f>'[1]V, inciso o) (OP)'!C301</f>
        <v>DOPI-MUN-RM-IE-AD-350-2017</v>
      </c>
      <c r="E614" s="13">
        <f>'[1]V, inciso o) (OP)'!V301</f>
        <v>43060</v>
      </c>
      <c r="F614" s="14" t="str">
        <f>'[1]V, inciso o) (OP)'!AA301</f>
        <v>Reforzamiento Complementario de estructuras con lonarias en los planteles educativos: Plaza Comunitaria Ineejad matricula 200, colonia Centro; Centro de Atención Especial matricula 181, colonia El Vigia; Escuela Primaria Justo Sierra matricula 1115, localidad de Santa Anta Tepetitlán; Escuela Primaria Sor Juana Inés de la Cruz y José Vasconcelos matricula 1026, colonia Jardines del Valle; Escuela Primaria José Amador Pelayo y Miguel Hidalgo y Costilla matricula 985, colonia Lomas de Tabachines; Escuela Primaria Urbana Juan Escutia 1130 y Agustín Yañez matricula 916, colonia Paraísos del Colli; Escuela Primaria Vicente Guerrero matricula 854, colonia Vicente Guerrero, municipio de Zapopan, Jalisco.</v>
      </c>
      <c r="G614" s="14" t="s">
        <v>499</v>
      </c>
      <c r="H614" s="15">
        <f>'[1]V, inciso o) (OP)'!Y301</f>
        <v>1350236.78</v>
      </c>
      <c r="I614" s="14" t="s">
        <v>1145</v>
      </c>
      <c r="J614" s="14" t="str">
        <f>'[1]V, inciso o) (OP)'!M301</f>
        <v>GUSTAVO</v>
      </c>
      <c r="K614" s="14" t="str">
        <f>'[1]V, inciso o) (OP)'!N301</f>
        <v>DURAN</v>
      </c>
      <c r="L614" s="14" t="str">
        <f>'[1]V, inciso o) (OP)'!O301</f>
        <v>JIMÉNEZ</v>
      </c>
      <c r="M614" s="14" t="str">
        <f>'[1]V, inciso o) (OP)'!P301</f>
        <v>DURAN JIMÉNEZ ARQUITECTOS Y ASOCIADOS, S.A. DE C.V.</v>
      </c>
      <c r="N614" s="14" t="str">
        <f>'[1]V, inciso o) (OP)'!Q301</f>
        <v>DJA9405184G7</v>
      </c>
      <c r="O614" s="15">
        <f t="shared" si="17"/>
        <v>1350236.78</v>
      </c>
      <c r="P614" s="15">
        <v>1209074.79</v>
      </c>
      <c r="Q614" s="12" t="s">
        <v>1146</v>
      </c>
      <c r="R614" s="15">
        <f>H614/1633</f>
        <v>826.84432333129212</v>
      </c>
      <c r="S614" s="12" t="s">
        <v>42</v>
      </c>
      <c r="T614" s="17">
        <v>3469</v>
      </c>
      <c r="U614" s="14" t="s">
        <v>43</v>
      </c>
      <c r="V614" s="12" t="s">
        <v>378</v>
      </c>
      <c r="W614" s="13">
        <f>'[1]V, inciso o) (OP)'!AD301</f>
        <v>43060</v>
      </c>
      <c r="X614" s="13">
        <f>'[1]V, inciso o) (OP)'!AE301</f>
        <v>43153</v>
      </c>
      <c r="Y614" s="12" t="s">
        <v>854</v>
      </c>
      <c r="Z614" s="12" t="s">
        <v>455</v>
      </c>
      <c r="AA614" s="12" t="s">
        <v>456</v>
      </c>
      <c r="AB614" s="14" t="s">
        <v>48</v>
      </c>
      <c r="AC614" s="14" t="s">
        <v>48</v>
      </c>
      <c r="AD614" s="14"/>
    </row>
    <row r="615" spans="1:30" ht="80.099999999999994" customHeight="1">
      <c r="A615" s="5">
        <v>351</v>
      </c>
      <c r="B615" s="12">
        <v>2017</v>
      </c>
      <c r="C615" s="12" t="s">
        <v>65</v>
      </c>
      <c r="D615" s="14" t="str">
        <f>'[1]V, inciso o) (OP)'!C302</f>
        <v>DOPI-MUN-RM-IE-AD-351-2017</v>
      </c>
      <c r="E615" s="13">
        <f>'[1]V, inciso o) (OP)'!V302</f>
        <v>43060</v>
      </c>
      <c r="F615" s="14" t="str">
        <f>'[1]V, inciso o) (OP)'!AA302</f>
        <v>Reforzamiento Complementario de estructuras con lonarias en los planteles educativos: Escuela Primaria Niños Héroes y Salvador López Chávez, matricula 750, colonia Pinar de la Calma; Escuela Primaria Idolina Gaona Cosio de Vidaurri, matricula 703, colonia Los Cajetes; Escuela Primaria Antonio Caso y Patria, matricula 490, colonia El Briseño segunda sección; Escuela Primaria Paulo Freire y 24 de Octubre, matricula 675, colonia Mariano Otero; Escuela Primaria Rafael Ramírez, matricula 240, colonia Paseos del Briseño, municipio de Zapopan, Jalisco.</v>
      </c>
      <c r="G615" s="14" t="s">
        <v>499</v>
      </c>
      <c r="H615" s="15">
        <f>'[1]V, inciso o) (OP)'!Y302</f>
        <v>1385698.44</v>
      </c>
      <c r="I615" s="14" t="s">
        <v>1147</v>
      </c>
      <c r="J615" s="14" t="str">
        <f>'[1]V, inciso o) (OP)'!M302</f>
        <v xml:space="preserve">EDUARDO </v>
      </c>
      <c r="K615" s="14" t="str">
        <f>'[1]V, inciso o) (OP)'!N302</f>
        <v>CRUZ</v>
      </c>
      <c r="L615" s="14" t="str">
        <f>'[1]V, inciso o) (OP)'!O302</f>
        <v>MOGUEL</v>
      </c>
      <c r="M615" s="14" t="str">
        <f>'[1]V, inciso o) (OP)'!P302</f>
        <v>BALKEN, S.A. DE C.V.</v>
      </c>
      <c r="N615" s="14" t="str">
        <f>'[1]V, inciso o) (OP)'!Q302</f>
        <v>BAL990803661</v>
      </c>
      <c r="O615" s="15">
        <f t="shared" si="17"/>
        <v>1385698.44</v>
      </c>
      <c r="P615" s="15">
        <f>O615</f>
        <v>1385698.44</v>
      </c>
      <c r="Q615" s="12" t="s">
        <v>1148</v>
      </c>
      <c r="R615" s="15">
        <f>H615/1648</f>
        <v>840.83643203883491</v>
      </c>
      <c r="S615" s="12" t="s">
        <v>42</v>
      </c>
      <c r="T615" s="17">
        <v>3267</v>
      </c>
      <c r="U615" s="14" t="s">
        <v>43</v>
      </c>
      <c r="V615" s="12" t="s">
        <v>378</v>
      </c>
      <c r="W615" s="13">
        <f>'[1]V, inciso o) (OP)'!AD302</f>
        <v>43060</v>
      </c>
      <c r="X615" s="13">
        <f>'[1]V, inciso o) (OP)'!AE302</f>
        <v>43153</v>
      </c>
      <c r="Y615" s="12" t="s">
        <v>436</v>
      </c>
      <c r="Z615" s="12" t="s">
        <v>295</v>
      </c>
      <c r="AA615" s="12" t="s">
        <v>76</v>
      </c>
      <c r="AB615" s="14" t="s">
        <v>48</v>
      </c>
      <c r="AC615" s="14" t="s">
        <v>48</v>
      </c>
      <c r="AD615" s="14" t="s">
        <v>1571</v>
      </c>
    </row>
    <row r="616" spans="1:30" ht="80.099999999999994" customHeight="1">
      <c r="A616" s="5">
        <v>352</v>
      </c>
      <c r="B616" s="12">
        <v>2017</v>
      </c>
      <c r="C616" s="12" t="s">
        <v>65</v>
      </c>
      <c r="D616" s="14" t="str">
        <f>'[1]V, inciso o) (OP)'!C303</f>
        <v>DOPI-MUN-RM-BAN-AD-352-2017</v>
      </c>
      <c r="E616" s="13">
        <f>'[1]V, inciso o) (OP)'!V303</f>
        <v>43040</v>
      </c>
      <c r="F616" s="14" t="str">
        <f>'[1]V, inciso o) (OP)'!AA303</f>
        <v>Peatonalización (banquetas y obras de accesibilidad) del área de influencia del Centro de Desarrollo Infantil No. 5, ubicado en El Colli, municipio de Zapopan, Jalisco.</v>
      </c>
      <c r="G616" s="14" t="s">
        <v>499</v>
      </c>
      <c r="H616" s="15">
        <f>'[1]V, inciso o) (OP)'!Y303</f>
        <v>253296.41</v>
      </c>
      <c r="I616" s="14" t="s">
        <v>1119</v>
      </c>
      <c r="J616" s="14" t="str">
        <f>'[1]V, inciso o) (OP)'!M303</f>
        <v xml:space="preserve">EDUARDO </v>
      </c>
      <c r="K616" s="14" t="str">
        <f>'[1]V, inciso o) (OP)'!N303</f>
        <v>PLASCENCIA</v>
      </c>
      <c r="L616" s="14" t="str">
        <f>'[1]V, inciso o) (OP)'!O303</f>
        <v>MACIAS</v>
      </c>
      <c r="M616" s="14" t="str">
        <f>'[1]V, inciso o) (OP)'!P303</f>
        <v>CONSTRUCTORA Y EDIFICADORA PLASMA, S.A. DE C.V.</v>
      </c>
      <c r="N616" s="14" t="str">
        <f>'[1]V, inciso o) (OP)'!Q303</f>
        <v>CEP080129EK6</v>
      </c>
      <c r="O616" s="15">
        <f t="shared" si="17"/>
        <v>253296.41</v>
      </c>
      <c r="P616" s="15">
        <v>252987.84</v>
      </c>
      <c r="Q616" s="12" t="s">
        <v>1000</v>
      </c>
      <c r="R616" s="15">
        <f>H616/297</f>
        <v>852.84986531986533</v>
      </c>
      <c r="S616" s="12" t="s">
        <v>42</v>
      </c>
      <c r="T616" s="17">
        <v>866</v>
      </c>
      <c r="U616" s="14" t="s">
        <v>43</v>
      </c>
      <c r="V616" s="12" t="s">
        <v>44</v>
      </c>
      <c r="W616" s="13">
        <f>'[1]V, inciso o) (OP)'!AD303</f>
        <v>43040</v>
      </c>
      <c r="X616" s="13">
        <f>'[1]V, inciso o) (OP)'!AE303</f>
        <v>43100</v>
      </c>
      <c r="Y616" s="12" t="s">
        <v>611</v>
      </c>
      <c r="Z616" s="12" t="s">
        <v>312</v>
      </c>
      <c r="AA616" s="12" t="s">
        <v>64</v>
      </c>
      <c r="AB616" s="14" t="s">
        <v>48</v>
      </c>
      <c r="AC616" s="14" t="s">
        <v>48</v>
      </c>
      <c r="AD616" s="14"/>
    </row>
    <row r="617" spans="1:30" ht="80.099999999999994" customHeight="1">
      <c r="A617" s="5">
        <v>353</v>
      </c>
      <c r="B617" s="12">
        <v>2017</v>
      </c>
      <c r="C617" s="12" t="s">
        <v>65</v>
      </c>
      <c r="D617" s="14" t="str">
        <f>'[1]V, inciso o) (OP)'!C304</f>
        <v>DOPI-MUN-RM-PAV-AD-353-2017</v>
      </c>
      <c r="E617" s="13">
        <f>'[1]V, inciso o) (OP)'!V304</f>
        <v>43080</v>
      </c>
      <c r="F617" s="14" t="str">
        <f>'[1]V, inciso o) (OP)'!AA304</f>
        <v>Pavimentación con concreto hidráulico en la calle La Palma de Rinconada de los Abetos a la Eucalipto, colonia El Fresno, incluye: banquetas, peatonalización, señalamiento y obras complementarias, en el municipio de Zapopan, Jalisco.</v>
      </c>
      <c r="G617" s="14" t="s">
        <v>499</v>
      </c>
      <c r="H617" s="15">
        <f>'[1]V, inciso o) (OP)'!Y304</f>
        <v>1717898.58</v>
      </c>
      <c r="I617" s="14" t="s">
        <v>1149</v>
      </c>
      <c r="J617" s="14" t="str">
        <f>'[1]V, inciso o) (OP)'!M304</f>
        <v>CARLOS CELSO</v>
      </c>
      <c r="K617" s="14" t="str">
        <f>'[1]V, inciso o) (OP)'!N304</f>
        <v>GARCÍA</v>
      </c>
      <c r="L617" s="14" t="str">
        <f>'[1]V, inciso o) (OP)'!O304</f>
        <v>QUINTERO</v>
      </c>
      <c r="M617" s="14" t="str">
        <f>'[1]V, inciso o) (OP)'!P304</f>
        <v>GRUPO CONSTRUCTOR HISACA, S.A. DE C.V.</v>
      </c>
      <c r="N617" s="14" t="str">
        <f>'[1]V, inciso o) (OP)'!Q304</f>
        <v>GCH070702SH8</v>
      </c>
      <c r="O617" s="15">
        <f t="shared" si="17"/>
        <v>1717898.58</v>
      </c>
      <c r="P617" s="15">
        <f>O617</f>
        <v>1717898.58</v>
      </c>
      <c r="Q617" s="12" t="s">
        <v>1150</v>
      </c>
      <c r="R617" s="15">
        <f>H617/624</f>
        <v>2753.0425961538463</v>
      </c>
      <c r="S617" s="12" t="s">
        <v>42</v>
      </c>
      <c r="T617" s="17">
        <v>364</v>
      </c>
      <c r="U617" s="14" t="s">
        <v>43</v>
      </c>
      <c r="V617" s="12" t="s">
        <v>378</v>
      </c>
      <c r="W617" s="13">
        <f>'[1]V, inciso o) (OP)'!AD304</f>
        <v>43080</v>
      </c>
      <c r="X617" s="13">
        <f>'[1]V, inciso o) (OP)'!AE304</f>
        <v>43159</v>
      </c>
      <c r="Y617" s="12" t="s">
        <v>830</v>
      </c>
      <c r="Z617" s="12" t="s">
        <v>831</v>
      </c>
      <c r="AA617" s="12" t="s">
        <v>134</v>
      </c>
      <c r="AB617" s="14" t="s">
        <v>48</v>
      </c>
      <c r="AC617" s="14" t="s">
        <v>48</v>
      </c>
      <c r="AD617" s="14" t="s">
        <v>1571</v>
      </c>
    </row>
    <row r="618" spans="1:30" ht="80.099999999999994" customHeight="1">
      <c r="A618" s="5">
        <v>354</v>
      </c>
      <c r="B618" s="12">
        <v>2017</v>
      </c>
      <c r="C618" s="12" t="s">
        <v>65</v>
      </c>
      <c r="D618" s="14" t="str">
        <f>'[1]V, inciso o) (OP)'!C305</f>
        <v>DOPI-MUN-RM-PAV-AD-354-2017</v>
      </c>
      <c r="E618" s="13">
        <f>'[1]V, inciso o) (OP)'!V305</f>
        <v>43080</v>
      </c>
      <c r="F618" s="14" t="str">
        <f>'[1]V, inciso o) (OP)'!AA305</f>
        <v>Pavimentación con concreto hidráulico,  incluye: banquetas, peatonalización, señalamiento y obras complementarias en la calle Eucalipto de Primavera a Pirul, colonia El Fresno, en el municipio de Zapopan, Jalisco.</v>
      </c>
      <c r="G618" s="14" t="s">
        <v>499</v>
      </c>
      <c r="H618" s="15">
        <f>'[1]V, inciso o) (OP)'!Y305</f>
        <v>1656483.25</v>
      </c>
      <c r="I618" s="14" t="s">
        <v>1149</v>
      </c>
      <c r="J618" s="14" t="str">
        <f>'[1]V, inciso o) (OP)'!M305</f>
        <v>DAVID SERGIO</v>
      </c>
      <c r="K618" s="14" t="str">
        <f>'[1]V, inciso o) (OP)'!N305</f>
        <v>DOMINGUEZ</v>
      </c>
      <c r="L618" s="14" t="str">
        <f>'[1]V, inciso o) (OP)'!O305</f>
        <v>MEZA</v>
      </c>
      <c r="M618" s="14" t="str">
        <f>'[1]V, inciso o) (OP)'!P305</f>
        <v>VALIKA CONSTRUCTORA, S.A. DE C.V.</v>
      </c>
      <c r="N618" s="14" t="str">
        <f>'[1]V, inciso o) (OP)'!Q305</f>
        <v>VCO9412201J0</v>
      </c>
      <c r="O618" s="15">
        <f t="shared" si="17"/>
        <v>1656483.25</v>
      </c>
      <c r="P618" s="15">
        <f>O618</f>
        <v>1656483.25</v>
      </c>
      <c r="Q618" s="12" t="s">
        <v>1151</v>
      </c>
      <c r="R618" s="15">
        <f>H618/615</f>
        <v>2693.4686991869917</v>
      </c>
      <c r="S618" s="12" t="s">
        <v>42</v>
      </c>
      <c r="T618" s="17">
        <v>364</v>
      </c>
      <c r="U618" s="14" t="s">
        <v>43</v>
      </c>
      <c r="V618" s="12" t="s">
        <v>378</v>
      </c>
      <c r="W618" s="13">
        <f>'[1]V, inciso o) (OP)'!AD305</f>
        <v>43080</v>
      </c>
      <c r="X618" s="13">
        <f>'[1]V, inciso o) (OP)'!AE305</f>
        <v>43159</v>
      </c>
      <c r="Y618" s="12" t="s">
        <v>830</v>
      </c>
      <c r="Z618" s="12" t="s">
        <v>831</v>
      </c>
      <c r="AA618" s="12" t="s">
        <v>134</v>
      </c>
      <c r="AB618" s="14" t="s">
        <v>48</v>
      </c>
      <c r="AC618" s="14" t="s">
        <v>48</v>
      </c>
      <c r="AD618" s="14" t="s">
        <v>1571</v>
      </c>
    </row>
    <row r="619" spans="1:30" ht="80.099999999999994" customHeight="1">
      <c r="A619" s="5">
        <v>355</v>
      </c>
      <c r="B619" s="12">
        <v>2017</v>
      </c>
      <c r="C619" s="12" t="s">
        <v>65</v>
      </c>
      <c r="D619" s="14" t="str">
        <f>'[1]V, inciso o) (OP)'!C306</f>
        <v>DOPI-MUN-RM-IM-AD-355-2017</v>
      </c>
      <c r="E619" s="13">
        <f>'[1]V, inciso o) (OP)'!V306</f>
        <v>43052</v>
      </c>
      <c r="F619" s="14" t="str">
        <f>'[1]V, inciso o) (OP)'!AA306</f>
        <v>Tratamiento y aplicación de recubrimientos en pisos de pasillos de circulación del mercado municipal Atemajac, municipio de Zapopan, Jalisco.</v>
      </c>
      <c r="G619" s="14" t="s">
        <v>499</v>
      </c>
      <c r="H619" s="15">
        <f>'[1]V, inciso o) (OP)'!Y306</f>
        <v>1685254.36</v>
      </c>
      <c r="I619" s="14" t="s">
        <v>1123</v>
      </c>
      <c r="J619" s="14" t="str">
        <f>'[1]V, inciso o) (OP)'!M306</f>
        <v>MAXIMILIANO</v>
      </c>
      <c r="K619" s="14" t="str">
        <f>'[1]V, inciso o) (OP)'!N306</f>
        <v>TORRES</v>
      </c>
      <c r="L619" s="14" t="str">
        <f>'[1]V, inciso o) (OP)'!O306</f>
        <v>LÓPEZ</v>
      </c>
      <c r="M619" s="14" t="str">
        <f>'[1]V, inciso o) (OP)'!P306</f>
        <v>GRUPO CONSTRUCTOR STRADE, S.A. DE C.V.</v>
      </c>
      <c r="N619" s="14" t="str">
        <f>'[1]V, inciso o) (OP)'!Q306</f>
        <v>GCS080902S44</v>
      </c>
      <c r="O619" s="15">
        <f t="shared" si="17"/>
        <v>1685254.36</v>
      </c>
      <c r="P619" s="15">
        <v>1685254.3599999999</v>
      </c>
      <c r="Q619" s="12" t="s">
        <v>1152</v>
      </c>
      <c r="R619" s="15">
        <f>H619/1158</f>
        <v>1455.3146459412781</v>
      </c>
      <c r="S619" s="12" t="s">
        <v>42</v>
      </c>
      <c r="T619" s="17">
        <v>12690</v>
      </c>
      <c r="U619" s="14" t="s">
        <v>43</v>
      </c>
      <c r="V619" s="12" t="s">
        <v>44</v>
      </c>
      <c r="W619" s="13">
        <f>'[1]V, inciso o) (OP)'!AD306</f>
        <v>43052</v>
      </c>
      <c r="X619" s="13">
        <f>'[1]V, inciso o) (OP)'!AE306</f>
        <v>43115</v>
      </c>
      <c r="Y619" s="12" t="s">
        <v>399</v>
      </c>
      <c r="Z619" s="12" t="s">
        <v>284</v>
      </c>
      <c r="AA619" s="12" t="s">
        <v>81</v>
      </c>
      <c r="AB619" s="14" t="s">
        <v>48</v>
      </c>
      <c r="AC619" s="14" t="s">
        <v>48</v>
      </c>
      <c r="AD619" s="14"/>
    </row>
    <row r="620" spans="1:30" ht="80.099999999999994" customHeight="1">
      <c r="A620" s="5">
        <v>356</v>
      </c>
      <c r="B620" s="12">
        <v>2017</v>
      </c>
      <c r="C620" s="12" t="s">
        <v>65</v>
      </c>
      <c r="D620" s="14" t="str">
        <f>'[1]V, inciso o) (OP)'!C307</f>
        <v>DOPI-MUN-RM-IM-AD-356-2017</v>
      </c>
      <c r="E620" s="13">
        <f>'[1]V, inciso o) (OP)'!V307</f>
        <v>43052</v>
      </c>
      <c r="F620" s="14" t="str">
        <f>'[1]V, inciso o) (OP)'!AA307</f>
        <v>Rehabilitación de módulo de baños en planta baja, pintura, albañilerías, acabados, banquetas y peatonalización, en el mercado municipal Atemajac, municipio de Zapopan, Jalisco.</v>
      </c>
      <c r="G620" s="14" t="s">
        <v>499</v>
      </c>
      <c r="H620" s="15">
        <f>'[1]V, inciso o) (OP)'!Y307</f>
        <v>1710691.99</v>
      </c>
      <c r="I620" s="14" t="s">
        <v>1123</v>
      </c>
      <c r="J620" s="14" t="str">
        <f>'[1]V, inciso o) (OP)'!M307</f>
        <v>GUSTAVO ALEJANDRO</v>
      </c>
      <c r="K620" s="14" t="str">
        <f>'[1]V, inciso o) (OP)'!N307</f>
        <v>LEDEZMA</v>
      </c>
      <c r="L620" s="14" t="str">
        <f>'[1]V, inciso o) (OP)'!O307</f>
        <v xml:space="preserve"> CERVANTES</v>
      </c>
      <c r="M620" s="14" t="str">
        <f>'[1]V, inciso o) (OP)'!P307</f>
        <v>EDIFICACIONES Y PROYECTOS ROCA, S.A. DE C.V.</v>
      </c>
      <c r="N620" s="14" t="str">
        <f>'[1]V, inciso o) (OP)'!Q307</f>
        <v>EPR131016I71</v>
      </c>
      <c r="O620" s="15">
        <f t="shared" si="17"/>
        <v>1710691.99</v>
      </c>
      <c r="P620" s="15">
        <f>O620</f>
        <v>1710691.99</v>
      </c>
      <c r="Q620" s="12" t="s">
        <v>1153</v>
      </c>
      <c r="R620" s="15">
        <f>H620/432</f>
        <v>3959.9351620370371</v>
      </c>
      <c r="S620" s="12" t="s">
        <v>42</v>
      </c>
      <c r="T620" s="17">
        <v>12690</v>
      </c>
      <c r="U620" s="14" t="s">
        <v>43</v>
      </c>
      <c r="V620" s="12" t="s">
        <v>378</v>
      </c>
      <c r="W620" s="13">
        <f>'[1]V, inciso o) (OP)'!AD307</f>
        <v>43052</v>
      </c>
      <c r="X620" s="13">
        <f>'[1]V, inciso o) (OP)'!AE307</f>
        <v>43115</v>
      </c>
      <c r="Y620" s="12" t="s">
        <v>399</v>
      </c>
      <c r="Z620" s="12" t="s">
        <v>284</v>
      </c>
      <c r="AA620" s="12" t="s">
        <v>81</v>
      </c>
      <c r="AB620" s="14" t="s">
        <v>48</v>
      </c>
      <c r="AC620" s="14" t="s">
        <v>48</v>
      </c>
      <c r="AD620" s="14" t="s">
        <v>1571</v>
      </c>
    </row>
    <row r="621" spans="1:30" ht="80.099999999999994" customHeight="1">
      <c r="A621" s="5">
        <v>357</v>
      </c>
      <c r="B621" s="12">
        <v>2017</v>
      </c>
      <c r="C621" s="12" t="s">
        <v>65</v>
      </c>
      <c r="D621" s="14" t="str">
        <f>'[1]V, inciso o) (OP)'!C308</f>
        <v>DOPI-MUN-RM-DS-AD-357-2017</v>
      </c>
      <c r="E621" s="13">
        <f>'[1]V, inciso o) (OP)'!V308</f>
        <v>43080</v>
      </c>
      <c r="F621" s="14" t="str">
        <f>'[1]V, inciso o) (OP)'!AA308</f>
        <v>Construcción de red de drenaje sanitario en la calle Vista al Mirador de Puesta del Sol a Vista la Campiña, en la colonia Vista Hermosa, municipio de Zapopan, Jalisco.</v>
      </c>
      <c r="G621" s="14" t="s">
        <v>499</v>
      </c>
      <c r="H621" s="15">
        <f>'[1]V, inciso o) (OP)'!Y308</f>
        <v>650235.78</v>
      </c>
      <c r="I621" s="14" t="s">
        <v>88</v>
      </c>
      <c r="J621" s="14" t="str">
        <f>'[1]V, inciso o) (OP)'!M308</f>
        <v>RAFAEL AUGUSTO</v>
      </c>
      <c r="K621" s="14" t="str">
        <f>'[1]V, inciso o) (OP)'!N308</f>
        <v>CABALLERO</v>
      </c>
      <c r="L621" s="14" t="str">
        <f>'[1]V, inciso o) (OP)'!O308</f>
        <v>QUIRARTE</v>
      </c>
      <c r="M621" s="14" t="str">
        <f>'[1]V, inciso o) (OP)'!P308</f>
        <v>PROYECTOS ARQUITECTONICOS TRIANGULO, S.A. DE C.V.</v>
      </c>
      <c r="N621" s="14" t="str">
        <f>'[1]V, inciso o) (OP)'!Q308</f>
        <v>PAT110331HH0</v>
      </c>
      <c r="O621" s="15">
        <f t="shared" si="17"/>
        <v>650235.78</v>
      </c>
      <c r="P621" s="15">
        <v>650235.32000000007</v>
      </c>
      <c r="Q621" s="12" t="s">
        <v>1154</v>
      </c>
      <c r="R621" s="15">
        <f>H621/120</f>
        <v>5418.6315000000004</v>
      </c>
      <c r="S621" s="12" t="s">
        <v>42</v>
      </c>
      <c r="T621" s="17">
        <v>165</v>
      </c>
      <c r="U621" s="14" t="s">
        <v>43</v>
      </c>
      <c r="V621" s="12" t="s">
        <v>378</v>
      </c>
      <c r="W621" s="13">
        <f>'[1]V, inciso o) (OP)'!AD308</f>
        <v>43080</v>
      </c>
      <c r="X621" s="13">
        <f>'[1]V, inciso o) (OP)'!AE308</f>
        <v>43174</v>
      </c>
      <c r="Y621" s="12" t="s">
        <v>794</v>
      </c>
      <c r="Z621" s="12" t="s">
        <v>833</v>
      </c>
      <c r="AA621" s="12" t="s">
        <v>191</v>
      </c>
      <c r="AB621" s="14" t="s">
        <v>48</v>
      </c>
      <c r="AC621" s="14" t="s">
        <v>48</v>
      </c>
      <c r="AD621" s="14"/>
    </row>
    <row r="622" spans="1:30" ht="80.099999999999994" customHeight="1">
      <c r="A622" s="5">
        <v>358</v>
      </c>
      <c r="B622" s="12">
        <v>2017</v>
      </c>
      <c r="C622" s="12" t="s">
        <v>65</v>
      </c>
      <c r="D622" s="14" t="str">
        <f>'[1]V, inciso o) (OP)'!C309</f>
        <v>DOPI-MUN-RM-IM-AD-358-2017</v>
      </c>
      <c r="E622" s="13">
        <f>'[1]V, inciso o) (OP)'!V309</f>
        <v>43073</v>
      </c>
      <c r="F622" s="14" t="str">
        <f>'[1]V, inciso o) (OP)'!AA309</f>
        <v>Trabajos complementarios de carpintería y cancelería de aluminio en el Centro de Salud El Colli, ubicado en El Colli, municipio de Zapopan, Jalisco.</v>
      </c>
      <c r="G622" s="14" t="s">
        <v>499</v>
      </c>
      <c r="H622" s="15">
        <f>'[1]V, inciso o) (OP)'!Y309</f>
        <v>650126.87</v>
      </c>
      <c r="I622" s="14" t="s">
        <v>1155</v>
      </c>
      <c r="J622" s="14" t="str">
        <f>'[1]V, inciso o) (OP)'!M309</f>
        <v>MARCELO FERNANDO</v>
      </c>
      <c r="K622" s="14" t="str">
        <f>'[1]V, inciso o) (OP)'!N309</f>
        <v>DE ANDA</v>
      </c>
      <c r="L622" s="14" t="str">
        <f>'[1]V, inciso o) (OP)'!O309</f>
        <v>AGNESI</v>
      </c>
      <c r="M622" s="14" t="str">
        <f>'[1]V, inciso o) (OP)'!P309</f>
        <v>SJ LAGOS CONSTRUCTORA E INMOBILIARIA, S.A. DE C.V.</v>
      </c>
      <c r="N622" s="14" t="str">
        <f>'[1]V, inciso o) (OP)'!Q309</f>
        <v>SLC090211283</v>
      </c>
      <c r="O622" s="15">
        <f t="shared" si="17"/>
        <v>650126.87</v>
      </c>
      <c r="P622" s="15">
        <f>O622</f>
        <v>650126.87</v>
      </c>
      <c r="Q622" s="12" t="s">
        <v>1156</v>
      </c>
      <c r="R622" s="15">
        <f>H622/403</f>
        <v>1613.2180397022332</v>
      </c>
      <c r="S622" s="12" t="s">
        <v>42</v>
      </c>
      <c r="T622" s="17">
        <v>12588</v>
      </c>
      <c r="U622" s="14" t="s">
        <v>43</v>
      </c>
      <c r="V622" s="12" t="s">
        <v>378</v>
      </c>
      <c r="W622" s="13">
        <f>'[1]V, inciso o) (OP)'!AD309</f>
        <v>43073</v>
      </c>
      <c r="X622" s="13">
        <f>'[1]V, inciso o) (OP)'!AE309</f>
        <v>43115</v>
      </c>
      <c r="Y622" s="12" t="s">
        <v>611</v>
      </c>
      <c r="Z622" s="12" t="s">
        <v>312</v>
      </c>
      <c r="AA622" s="12" t="s">
        <v>64</v>
      </c>
      <c r="AB622" s="14" t="s">
        <v>48</v>
      </c>
      <c r="AC622" s="14" t="s">
        <v>48</v>
      </c>
      <c r="AD622" s="14" t="s">
        <v>1571</v>
      </c>
    </row>
    <row r="623" spans="1:30" ht="80.099999999999994" customHeight="1">
      <c r="A623" s="5">
        <v>359</v>
      </c>
      <c r="B623" s="12">
        <v>2017</v>
      </c>
      <c r="C623" s="12" t="s">
        <v>65</v>
      </c>
      <c r="D623" s="14" t="str">
        <f>'[1]V, inciso o) (OP)'!C310</f>
        <v>DOPI-MUN-RM-PAV-AD-359-2017</v>
      </c>
      <c r="E623" s="13">
        <f>'[1]V, inciso o) (OP)'!V310</f>
        <v>43080</v>
      </c>
      <c r="F623" s="14" t="str">
        <f>'[1]V, inciso o) (OP)'!AA310</f>
        <v>Obra complementaria para la pavimentación con concreto hidráulico en la calle Ing. Alberto Mora López de Elote a Ing. Alfonso Padilla, en la colonia La Mesa Colorada, en el municipio de Zapopan, Jalisco.</v>
      </c>
      <c r="G623" s="14" t="s">
        <v>499</v>
      </c>
      <c r="H623" s="15">
        <f>'[1]V, inciso o) (OP)'!Y310</f>
        <v>1202354.8700000001</v>
      </c>
      <c r="I623" s="14" t="s">
        <v>687</v>
      </c>
      <c r="J623" s="14" t="str">
        <f>'[1]V, inciso o) (OP)'!M310</f>
        <v>JAVIER</v>
      </c>
      <c r="K623" s="14" t="str">
        <f>'[1]V, inciso o) (OP)'!N310</f>
        <v>CAÑEDO</v>
      </c>
      <c r="L623" s="14" t="str">
        <f>'[1]V, inciso o) (OP)'!O310</f>
        <v>ORTEGA</v>
      </c>
      <c r="M623" s="14" t="str">
        <f>'[1]V, inciso o) (OP)'!P310</f>
        <v>CONSTRUCCIONES TECNICAS DE OCCIDENTE, S.A. DE C.V.</v>
      </c>
      <c r="N623" s="14" t="str">
        <f>'[1]V, inciso o) (OP)'!Q310</f>
        <v>CTO061116F61</v>
      </c>
      <c r="O623" s="15">
        <f t="shared" si="17"/>
        <v>1202354.8700000001</v>
      </c>
      <c r="P623" s="15">
        <f>O623</f>
        <v>1202354.8700000001</v>
      </c>
      <c r="Q623" s="12" t="s">
        <v>1157</v>
      </c>
      <c r="R623" s="15">
        <f>H623/896</f>
        <v>1341.9139174107145</v>
      </c>
      <c r="S623" s="12" t="s">
        <v>42</v>
      </c>
      <c r="T623" s="17">
        <v>423</v>
      </c>
      <c r="U623" s="14" t="s">
        <v>43</v>
      </c>
      <c r="V623" s="12" t="s">
        <v>378</v>
      </c>
      <c r="W623" s="13">
        <f>'[1]V, inciso o) (OP)'!AD310</f>
        <v>43080</v>
      </c>
      <c r="X623" s="13">
        <f>'[1]V, inciso o) (OP)'!AE310</f>
        <v>43146</v>
      </c>
      <c r="Y623" s="12" t="s">
        <v>350</v>
      </c>
      <c r="Z623" s="12" t="s">
        <v>351</v>
      </c>
      <c r="AA623" s="12" t="s">
        <v>352</v>
      </c>
      <c r="AB623" s="14" t="s">
        <v>48</v>
      </c>
      <c r="AC623" s="14" t="s">
        <v>48</v>
      </c>
      <c r="AD623" s="14" t="s">
        <v>1571</v>
      </c>
    </row>
    <row r="624" spans="1:30" ht="80.099999999999994" customHeight="1">
      <c r="A624" s="5">
        <v>360</v>
      </c>
      <c r="B624" s="12">
        <v>2017</v>
      </c>
      <c r="C624" s="12" t="s">
        <v>65</v>
      </c>
      <c r="D624" s="14" t="str">
        <f>'[1]V, inciso o) (OP)'!C311</f>
        <v>DOPI-MUN-RM-BAN-AD-360-2017</v>
      </c>
      <c r="E624" s="13">
        <f>'[1]V, inciso o) (OP)'!V311</f>
        <v>43031</v>
      </c>
      <c r="F624" s="14" t="str">
        <f>'[1]V, inciso o) (OP)'!AA311</f>
        <v>Obra complementaria de peatonalización en el frente 1 de la rehabilitación de la Av. Dr. Ángel Leaño, Tramo Zona de Nixticuitl, municipio de Zapopan, Jalisco.</v>
      </c>
      <c r="G624" s="14" t="s">
        <v>499</v>
      </c>
      <c r="H624" s="15">
        <f>'[1]V, inciso o) (OP)'!Y311</f>
        <v>1250847.24</v>
      </c>
      <c r="I624" s="14" t="s">
        <v>709</v>
      </c>
      <c r="J624" s="14" t="str">
        <f>'[1]V, inciso o) (OP)'!M311</f>
        <v>GABRIELA CECILIA</v>
      </c>
      <c r="K624" s="14" t="str">
        <f>'[1]V, inciso o) (OP)'!N311</f>
        <v xml:space="preserve">RUÍZ  </v>
      </c>
      <c r="L624" s="14" t="str">
        <f>'[1]V, inciso o) (OP)'!O311</f>
        <v>HERNÁNDEZ</v>
      </c>
      <c r="M624" s="14" t="str">
        <f>'[1]V, inciso o) (OP)'!P311</f>
        <v>CONSTRUCTORA TGV, S.A. DE C.V.</v>
      </c>
      <c r="N624" s="14" t="str">
        <f>'[1]V, inciso o) (OP)'!Q311</f>
        <v>CTG070803966</v>
      </c>
      <c r="O624" s="15">
        <f t="shared" si="17"/>
        <v>1250847.24</v>
      </c>
      <c r="P624" s="15">
        <v>1118848.23</v>
      </c>
      <c r="Q624" s="12" t="s">
        <v>1158</v>
      </c>
      <c r="R624" s="15">
        <f>H624/625</f>
        <v>2001.3555839999999</v>
      </c>
      <c r="S624" s="12" t="s">
        <v>42</v>
      </c>
      <c r="T624" s="17">
        <v>36842</v>
      </c>
      <c r="U624" s="14" t="s">
        <v>43</v>
      </c>
      <c r="V624" s="12" t="s">
        <v>378</v>
      </c>
      <c r="W624" s="13">
        <f>'[1]V, inciso o) (OP)'!AD311</f>
        <v>43031</v>
      </c>
      <c r="X624" s="13">
        <f>'[1]V, inciso o) (OP)'!AE311</f>
        <v>43084</v>
      </c>
      <c r="Y624" s="12" t="s">
        <v>1159</v>
      </c>
      <c r="Z624" s="12" t="s">
        <v>1160</v>
      </c>
      <c r="AA624" s="12" t="s">
        <v>316</v>
      </c>
      <c r="AB624" s="14" t="s">
        <v>48</v>
      </c>
      <c r="AC624" s="14" t="s">
        <v>48</v>
      </c>
      <c r="AD624" s="14"/>
    </row>
    <row r="625" spans="1:30" ht="80.099999999999994" customHeight="1">
      <c r="A625" s="5">
        <v>361</v>
      </c>
      <c r="B625" s="12">
        <v>2017</v>
      </c>
      <c r="C625" s="12" t="s">
        <v>65</v>
      </c>
      <c r="D625" s="14" t="str">
        <f>'[1]V, inciso o) (OP)'!C312</f>
        <v>DOPI-MUN-RM-PAV-AD-361-2017</v>
      </c>
      <c r="E625" s="13">
        <f>'[1]V, inciso o) (OP)'!V312</f>
        <v>43033</v>
      </c>
      <c r="F625" s="14" t="str">
        <f>'[1]V, inciso o) (OP)'!AA312</f>
        <v>Pavimentación con concreto hidráulico, incluye: drenaje sanitario, banquetas, peatonalización, señalamiento y obras complementarias en la calle Navarro Rosas de la Abel Salgado al Arroyo, colonia Agua Fría, en el municipio de Zapopan, Jalisco.</v>
      </c>
      <c r="G625" s="14" t="s">
        <v>499</v>
      </c>
      <c r="H625" s="15">
        <f>'[1]V, inciso o) (OP)'!Y312</f>
        <v>1002350.44</v>
      </c>
      <c r="I625" s="14" t="s">
        <v>1161</v>
      </c>
      <c r="J625" s="14" t="str">
        <f>'[1]V, inciso o) (OP)'!M312</f>
        <v>SERGIO ALBERTO</v>
      </c>
      <c r="K625" s="14" t="str">
        <f>'[1]V, inciso o) (OP)'!N312</f>
        <v>BAYLON</v>
      </c>
      <c r="L625" s="14" t="str">
        <f>'[1]V, inciso o) (OP)'!O312</f>
        <v>MORENO</v>
      </c>
      <c r="M625" s="14" t="str">
        <f>'[1]V, inciso o) (OP)'!P312</f>
        <v>EDIFICACIONES ESTRUCTURALES COBAY, S.A. DE C.V.</v>
      </c>
      <c r="N625" s="14" t="str">
        <f>'[1]V, inciso o) (OP)'!Q312</f>
        <v>EEC9909173A7</v>
      </c>
      <c r="O625" s="15">
        <f t="shared" si="17"/>
        <v>1002350.44</v>
      </c>
      <c r="P625" s="15">
        <v>993430.03</v>
      </c>
      <c r="Q625" s="12" t="s">
        <v>888</v>
      </c>
      <c r="R625" s="15">
        <f>H625/1620</f>
        <v>618.73483950617276</v>
      </c>
      <c r="S625" s="12" t="s">
        <v>42</v>
      </c>
      <c r="T625" s="17">
        <v>891</v>
      </c>
      <c r="U625" s="14" t="s">
        <v>43</v>
      </c>
      <c r="V625" s="12" t="s">
        <v>378</v>
      </c>
      <c r="W625" s="13">
        <f>'[1]V, inciso o) (OP)'!AD312</f>
        <v>43033</v>
      </c>
      <c r="X625" s="13">
        <f>'[1]V, inciso o) (OP)'!AE312</f>
        <v>43089</v>
      </c>
      <c r="Y625" s="12" t="s">
        <v>767</v>
      </c>
      <c r="Z625" s="12" t="s">
        <v>843</v>
      </c>
      <c r="AA625" s="12" t="s">
        <v>769</v>
      </c>
      <c r="AB625" s="14" t="s">
        <v>48</v>
      </c>
      <c r="AC625" s="14" t="s">
        <v>48</v>
      </c>
      <c r="AD625" s="14"/>
    </row>
    <row r="626" spans="1:30" ht="80.099999999999994" customHeight="1">
      <c r="A626" s="5">
        <v>362</v>
      </c>
      <c r="B626" s="12">
        <v>2017</v>
      </c>
      <c r="C626" s="12" t="s">
        <v>65</v>
      </c>
      <c r="D626" s="14" t="str">
        <f>'[1]V, inciso o) (OP)'!C313</f>
        <v>DOPI-MUN-RM-PAV-AD-362-2017</v>
      </c>
      <c r="E626" s="13">
        <f>'[1]V, inciso o) (OP)'!V313</f>
        <v>43080</v>
      </c>
      <c r="F626" s="14" t="str">
        <f>'[1]V, inciso o) (OP)'!AA313</f>
        <v>Pavimentación con concreto hidráulico, incluye: drenaje sanitario, banquetas, peatonalización, señalamiento y obras complementarias en la calle Canal, colonia Agua Fría, en el municipio de Zapopan, Jalisco, primera etapa.</v>
      </c>
      <c r="G626" s="14" t="s">
        <v>499</v>
      </c>
      <c r="H626" s="15">
        <f>'[1]V, inciso o) (OP)'!Y313</f>
        <v>1603555.44</v>
      </c>
      <c r="I626" s="14" t="s">
        <v>1161</v>
      </c>
      <c r="J626" s="14" t="str">
        <f>'[1]V, inciso o) (OP)'!M313</f>
        <v>CLARISSA GABRIELA</v>
      </c>
      <c r="K626" s="14" t="str">
        <f>'[1]V, inciso o) (OP)'!N313</f>
        <v>VALDEZ</v>
      </c>
      <c r="L626" s="14" t="str">
        <f>'[1]V, inciso o) (OP)'!O313</f>
        <v>MANJARREZ</v>
      </c>
      <c r="M626" s="14" t="str">
        <f>'[1]V, inciso o) (OP)'!P313</f>
        <v>TEKTON GRUPO EMPRESARIAL, S.A. DE C.V.</v>
      </c>
      <c r="N626" s="14" t="str">
        <f>'[1]V, inciso o) (OP)'!Q313</f>
        <v>TGE101215JI6</v>
      </c>
      <c r="O626" s="15">
        <f t="shared" si="17"/>
        <v>1603555.44</v>
      </c>
      <c r="P626" s="15">
        <v>1590586.2100000002</v>
      </c>
      <c r="Q626" s="12" t="s">
        <v>1162</v>
      </c>
      <c r="R626" s="15">
        <f>H626/1890</f>
        <v>848.44203174603172</v>
      </c>
      <c r="S626" s="12" t="s">
        <v>42</v>
      </c>
      <c r="T626" s="17">
        <v>891</v>
      </c>
      <c r="U626" s="14" t="s">
        <v>43</v>
      </c>
      <c r="V626" s="12" t="s">
        <v>378</v>
      </c>
      <c r="W626" s="13">
        <f>'[1]V, inciso o) (OP)'!AD313</f>
        <v>43080</v>
      </c>
      <c r="X626" s="13">
        <f>'[1]V, inciso o) (OP)'!AE313</f>
        <v>43146</v>
      </c>
      <c r="Y626" s="12" t="s">
        <v>767</v>
      </c>
      <c r="Z626" s="12" t="s">
        <v>843</v>
      </c>
      <c r="AA626" s="12" t="s">
        <v>769</v>
      </c>
      <c r="AB626" s="14" t="s">
        <v>48</v>
      </c>
      <c r="AC626" s="14" t="s">
        <v>48</v>
      </c>
      <c r="AD626" s="14"/>
    </row>
    <row r="627" spans="1:30" ht="80.099999999999994" customHeight="1">
      <c r="A627" s="5">
        <v>363</v>
      </c>
      <c r="B627" s="12">
        <v>2017</v>
      </c>
      <c r="C627" s="12" t="s">
        <v>65</v>
      </c>
      <c r="D627" s="14" t="str">
        <f>'[1]V, inciso o) (OP)'!C314</f>
        <v>DOPI-MUN-RM-SERV-AD-363-2017</v>
      </c>
      <c r="E627" s="13">
        <f>'[1]V, inciso o) (OP)'!V314</f>
        <v>43021</v>
      </c>
      <c r="F627" s="14" t="str">
        <f>'[1]V, inciso o) (OP)'!AA314</f>
        <v>Control de calidad de diferentes obras 2017 del municipio de Zapopan, Jalisco, etapa 4.</v>
      </c>
      <c r="G627" s="14" t="s">
        <v>499</v>
      </c>
      <c r="H627" s="15">
        <f>'[1]V, inciso o) (OP)'!Y314</f>
        <v>355235.68</v>
      </c>
      <c r="I627" s="14" t="s">
        <v>1349</v>
      </c>
      <c r="J627" s="14" t="str">
        <f>'[1]V, inciso o) (OP)'!M314</f>
        <v>RICARDO</v>
      </c>
      <c r="K627" s="14" t="str">
        <f>'[1]V, inciso o) (OP)'!N314</f>
        <v>MEZA</v>
      </c>
      <c r="L627" s="14" t="str">
        <f>'[1]V, inciso o) (OP)'!O314</f>
        <v>PONCE</v>
      </c>
      <c r="M627" s="14" t="str">
        <f>'[1]V, inciso o) (OP)'!P314</f>
        <v>CME CALIDAD MODELO DE EFICANCIA, S.A. DE C.V.</v>
      </c>
      <c r="N627" s="14" t="str">
        <f>'[1]V, inciso o) (OP)'!Q314</f>
        <v>CCM1405243C4</v>
      </c>
      <c r="O627" s="15">
        <f t="shared" si="17"/>
        <v>355235.68</v>
      </c>
      <c r="P627" s="15">
        <f>O627</f>
        <v>355235.68</v>
      </c>
      <c r="Q627" s="12" t="s">
        <v>124</v>
      </c>
      <c r="R627" s="15" t="s">
        <v>124</v>
      </c>
      <c r="S627" s="12" t="s">
        <v>125</v>
      </c>
      <c r="T627" s="17" t="s">
        <v>125</v>
      </c>
      <c r="U627" s="14" t="s">
        <v>43</v>
      </c>
      <c r="V627" s="12" t="s">
        <v>378</v>
      </c>
      <c r="W627" s="13">
        <f>'[1]V, inciso o) (OP)'!AD314</f>
        <v>43024</v>
      </c>
      <c r="X627" s="13">
        <f>'[1]V, inciso o) (OP)'!AE314</f>
        <v>43100</v>
      </c>
      <c r="Y627" s="12" t="s">
        <v>531</v>
      </c>
      <c r="Z627" s="12" t="s">
        <v>532</v>
      </c>
      <c r="AA627" s="12" t="s">
        <v>533</v>
      </c>
      <c r="AB627" s="14" t="s">
        <v>48</v>
      </c>
      <c r="AC627" s="14" t="s">
        <v>48</v>
      </c>
      <c r="AD627" s="14" t="s">
        <v>1571</v>
      </c>
    </row>
    <row r="628" spans="1:30" ht="80.099999999999994" customHeight="1">
      <c r="A628" s="5">
        <v>364</v>
      </c>
      <c r="B628" s="12">
        <v>2017</v>
      </c>
      <c r="C628" s="12" t="s">
        <v>65</v>
      </c>
      <c r="D628" s="14" t="str">
        <f>'[1]V, inciso o) (OP)'!C315</f>
        <v>DOPI-MUN-RM-PAV-AD-364-2017</v>
      </c>
      <c r="E628" s="13">
        <f>'[1]V, inciso o) (OP)'!V315</f>
        <v>43084</v>
      </c>
      <c r="F628" s="14" t="str">
        <f>'[1]V, inciso o) (OP)'!AA315</f>
        <v>Pavimentación con concreto hidráulico, incluye: banquetas, peatonalización, señalamiento y obras complementarias en la calle Santa Mercedez de la Av. Jesús a San Felipe, colonia Tuzania Ejidal, , en el municipio de Zapopan, Jalisco, frente 1.</v>
      </c>
      <c r="G628" s="14" t="s">
        <v>499</v>
      </c>
      <c r="H628" s="15">
        <f>'[1]V, inciso o) (OP)'!Y315</f>
        <v>1698556.36</v>
      </c>
      <c r="I628" s="14" t="s">
        <v>1163</v>
      </c>
      <c r="J628" s="14" t="str">
        <f>'[1]V, inciso o) (OP)'!M315</f>
        <v>J. JESÚS</v>
      </c>
      <c r="K628" s="14" t="str">
        <f>'[1]V, inciso o) (OP)'!N315</f>
        <v>NUÑEZ</v>
      </c>
      <c r="L628" s="14" t="str">
        <f>'[1]V, inciso o) (OP)'!O315</f>
        <v>GUTIÉRREZ</v>
      </c>
      <c r="M628" s="14" t="str">
        <f>'[1]V, inciso o) (OP)'!P315</f>
        <v>CERRO VIEJO CONSTRUCCIÓNES, S.A. DE C.V.</v>
      </c>
      <c r="N628" s="14" t="str">
        <f>'[1]V, inciso o) (OP)'!Q315</f>
        <v>CVC110114429</v>
      </c>
      <c r="O628" s="15">
        <f t="shared" si="17"/>
        <v>1698556.36</v>
      </c>
      <c r="P628" s="15">
        <v>1698556.2400000002</v>
      </c>
      <c r="Q628" s="12" t="s">
        <v>1164</v>
      </c>
      <c r="R628" s="15">
        <f>H628/2005</f>
        <v>847.16027930174573</v>
      </c>
      <c r="S628" s="12" t="s">
        <v>42</v>
      </c>
      <c r="T628" s="17">
        <v>1256</v>
      </c>
      <c r="U628" s="14" t="s">
        <v>43</v>
      </c>
      <c r="V628" s="12" t="s">
        <v>378</v>
      </c>
      <c r="W628" s="13">
        <f>'[1]V, inciso o) (OP)'!AD315</f>
        <v>43084</v>
      </c>
      <c r="X628" s="13">
        <f>'[1]V, inciso o) (OP)'!AE315</f>
        <v>43203</v>
      </c>
      <c r="Y628" s="12" t="s">
        <v>365</v>
      </c>
      <c r="Z628" s="12" t="s">
        <v>366</v>
      </c>
      <c r="AA628" s="12" t="s">
        <v>367</v>
      </c>
      <c r="AB628" s="14" t="s">
        <v>48</v>
      </c>
      <c r="AC628" s="14" t="s">
        <v>48</v>
      </c>
      <c r="AD628" s="14"/>
    </row>
    <row r="629" spans="1:30" ht="80.099999999999994" customHeight="1">
      <c r="A629" s="5">
        <v>366</v>
      </c>
      <c r="B629" s="12">
        <v>2017</v>
      </c>
      <c r="C629" s="12" t="s">
        <v>65</v>
      </c>
      <c r="D629" s="14" t="str">
        <f>'[1]V, inciso o) (OP)'!C316</f>
        <v>DOPI-MUN-RM-DS-AD-366-2017</v>
      </c>
      <c r="E629" s="13">
        <f>'[1]V, inciso o) (OP)'!V316</f>
        <v>43084</v>
      </c>
      <c r="F629" s="14" t="str">
        <f>'[1]V, inciso o) (OP)'!AA316</f>
        <v>Colector de aguas residuales, descargas sanitarias y línea de agua potable en la colonia Tuzania Ejidal, municipio de Zapopan, Jalisco, primera etapa Frente 1.</v>
      </c>
      <c r="G629" s="14" t="s">
        <v>499</v>
      </c>
      <c r="H629" s="15">
        <f>'[1]V, inciso o) (OP)'!Y316</f>
        <v>1650236.98</v>
      </c>
      <c r="I629" s="14" t="s">
        <v>1163</v>
      </c>
      <c r="J629" s="14" t="str">
        <f>'[1]V, inciso o) (OP)'!M316</f>
        <v xml:space="preserve">RODOLFO </v>
      </c>
      <c r="K629" s="14" t="str">
        <f>'[1]V, inciso o) (OP)'!N316</f>
        <v xml:space="preserve">VELAZQUEZ </v>
      </c>
      <c r="L629" s="14" t="str">
        <f>'[1]V, inciso o) (OP)'!O316</f>
        <v>ORDOÑEZ</v>
      </c>
      <c r="M629" s="14" t="str">
        <f>'[1]V, inciso o) (OP)'!P316</f>
        <v>VELAZQUEZ INGENIERIA ECOLOGICA, S.A. DE C.V.</v>
      </c>
      <c r="N629" s="14" t="str">
        <f>'[1]V, inciso o) (OP)'!Q316</f>
        <v>VIE110125RL4</v>
      </c>
      <c r="O629" s="15">
        <f t="shared" si="17"/>
        <v>1650236.98</v>
      </c>
      <c r="P629" s="15">
        <f>O629</f>
        <v>1650236.98</v>
      </c>
      <c r="Q629" s="12" t="s">
        <v>1165</v>
      </c>
      <c r="R629" s="15">
        <f>H629/290</f>
        <v>5690.4723448275863</v>
      </c>
      <c r="S629" s="12" t="s">
        <v>42</v>
      </c>
      <c r="T629" s="17">
        <v>224</v>
      </c>
      <c r="U629" s="14" t="s">
        <v>43</v>
      </c>
      <c r="V629" s="12" t="s">
        <v>378</v>
      </c>
      <c r="W629" s="13">
        <f>'[1]V, inciso o) (OP)'!AD316</f>
        <v>43084</v>
      </c>
      <c r="X629" s="13">
        <f>'[1]V, inciso o) (OP)'!AE316</f>
        <v>43203</v>
      </c>
      <c r="Y629" s="12" t="s">
        <v>365</v>
      </c>
      <c r="Z629" s="12" t="s">
        <v>366</v>
      </c>
      <c r="AA629" s="12" t="s">
        <v>367</v>
      </c>
      <c r="AB629" s="14" t="s">
        <v>48</v>
      </c>
      <c r="AC629" s="14" t="s">
        <v>48</v>
      </c>
      <c r="AD629" s="14" t="s">
        <v>1571</v>
      </c>
    </row>
    <row r="630" spans="1:30" ht="80.099999999999994" customHeight="1">
      <c r="A630" s="5">
        <v>369</v>
      </c>
      <c r="B630" s="12">
        <v>2017</v>
      </c>
      <c r="C630" s="12" t="s">
        <v>65</v>
      </c>
      <c r="D630" s="14" t="str">
        <f>'[1]V, inciso o) (OP)'!C317</f>
        <v>DOPI-MUN-RM-MOV-AD-369-2017</v>
      </c>
      <c r="E630" s="13">
        <f>'[1]V, inciso o) (OP)'!V317</f>
        <v>43084</v>
      </c>
      <c r="F630" s="14" t="str">
        <f>'[1]V, inciso o) (OP)'!AA317</f>
        <v>Señalización vertical y horizontal en diferentes zonas del municipio de Zapopan, Jalisco, frente 1.</v>
      </c>
      <c r="G630" s="14" t="s">
        <v>499</v>
      </c>
      <c r="H630" s="15">
        <f>'[1]V, inciso o) (OP)'!Y317</f>
        <v>310538.7</v>
      </c>
      <c r="I630" s="14" t="s">
        <v>1349</v>
      </c>
      <c r="J630" s="14" t="str">
        <f>'[1]V, inciso o) (OP)'!M317</f>
        <v>JORGE ALBERTO</v>
      </c>
      <c r="K630" s="14" t="str">
        <f>'[1]V, inciso o) (OP)'!N317</f>
        <v>MENA</v>
      </c>
      <c r="L630" s="14" t="str">
        <f>'[1]V, inciso o) (OP)'!O317</f>
        <v>ADAMES</v>
      </c>
      <c r="M630" s="14" t="str">
        <f>'[1]V, inciso o) (OP)'!P317</f>
        <v>DIVICON, S.A. DE C.V.</v>
      </c>
      <c r="N630" s="14" t="str">
        <f>'[1]V, inciso o) (OP)'!Q317</f>
        <v>DIV010905510</v>
      </c>
      <c r="O630" s="15">
        <f t="shared" si="17"/>
        <v>310538.7</v>
      </c>
      <c r="P630" s="15">
        <f>O630</f>
        <v>310538.7</v>
      </c>
      <c r="Q630" s="12" t="s">
        <v>124</v>
      </c>
      <c r="R630" s="15" t="s">
        <v>124</v>
      </c>
      <c r="S630" s="12" t="s">
        <v>125</v>
      </c>
      <c r="T630" s="17" t="s">
        <v>125</v>
      </c>
      <c r="U630" s="14" t="s">
        <v>43</v>
      </c>
      <c r="V630" s="12" t="s">
        <v>378</v>
      </c>
      <c r="W630" s="13">
        <f>'[1]V, inciso o) (OP)'!AD317</f>
        <v>43084</v>
      </c>
      <c r="X630" s="13">
        <f>'[1]V, inciso o) (OP)'!AE317</f>
        <v>43203</v>
      </c>
      <c r="Y630" s="12" t="s">
        <v>531</v>
      </c>
      <c r="Z630" s="12" t="s">
        <v>532</v>
      </c>
      <c r="AA630" s="12" t="s">
        <v>533</v>
      </c>
      <c r="AB630" s="14" t="s">
        <v>48</v>
      </c>
      <c r="AC630" s="14" t="s">
        <v>48</v>
      </c>
      <c r="AD630" s="14" t="s">
        <v>1571</v>
      </c>
    </row>
    <row r="631" spans="1:30" ht="80.099999999999994" customHeight="1">
      <c r="A631" s="5">
        <v>370</v>
      </c>
      <c r="B631" s="12">
        <v>2017</v>
      </c>
      <c r="C631" s="12" t="s">
        <v>65</v>
      </c>
      <c r="D631" s="14" t="str">
        <f>'[1]V, inciso o) (OP)'!C318</f>
        <v>DOPI-MUN-RM-IM-AD-370-2017</v>
      </c>
      <c r="E631" s="13">
        <f>'[1]V, inciso o) (OP)'!V318</f>
        <v>43042</v>
      </c>
      <c r="F631" s="14" t="str">
        <f>'[1]V, inciso o) (OP)'!AA318</f>
        <v>Cimentación y estructura para la rampa de accesibilidad al CRI Centro de Autismo, ubicado en Av. Juan Pablo II, colonia Fovisste, municipio de Zapopan, Jalisco.</v>
      </c>
      <c r="G631" s="14" t="s">
        <v>499</v>
      </c>
      <c r="H631" s="15">
        <f>'[1]V, inciso o) (OP)'!Y318</f>
        <v>1495654.87</v>
      </c>
      <c r="I631" s="14" t="s">
        <v>679</v>
      </c>
      <c r="J631" s="14" t="str">
        <f>'[1]V, inciso o) (OP)'!M318</f>
        <v>JOSÉ MANUEL</v>
      </c>
      <c r="K631" s="14" t="str">
        <f>'[1]V, inciso o) (OP)'!N318</f>
        <v>GÓMEZ</v>
      </c>
      <c r="L631" s="14" t="str">
        <f>'[1]V, inciso o) (OP)'!O318</f>
        <v>CASTELLANOS</v>
      </c>
      <c r="M631" s="14" t="str">
        <f>'[1]V, inciso o) (OP)'!P318</f>
        <v>GGV INVERSIONES, S.A. DE C.V.</v>
      </c>
      <c r="N631" s="14" t="str">
        <f>'[1]V, inciso o) (OP)'!Q318</f>
        <v>GDI020122D2A</v>
      </c>
      <c r="O631" s="15">
        <f t="shared" si="17"/>
        <v>1495654.87</v>
      </c>
      <c r="P631" s="15">
        <f>O631</f>
        <v>1495654.87</v>
      </c>
      <c r="Q631" s="12" t="s">
        <v>1166</v>
      </c>
      <c r="R631" s="15">
        <f>H631/180</f>
        <v>8309.1937222222223</v>
      </c>
      <c r="S631" s="12" t="s">
        <v>42</v>
      </c>
      <c r="T631" s="17">
        <v>3566</v>
      </c>
      <c r="U631" s="14" t="s">
        <v>43</v>
      </c>
      <c r="V631" s="12" t="s">
        <v>378</v>
      </c>
      <c r="W631" s="13">
        <f>'[1]V, inciso o) (OP)'!AD318</f>
        <v>43045</v>
      </c>
      <c r="X631" s="13">
        <f>'[1]V, inciso o) (OP)'!AE318</f>
        <v>43159</v>
      </c>
      <c r="Y631" s="12" t="s">
        <v>436</v>
      </c>
      <c r="Z631" s="12" t="s">
        <v>75</v>
      </c>
      <c r="AA631" s="12" t="s">
        <v>567</v>
      </c>
      <c r="AB631" s="14" t="s">
        <v>48</v>
      </c>
      <c r="AC631" s="14" t="s">
        <v>48</v>
      </c>
      <c r="AD631" s="14" t="s">
        <v>1571</v>
      </c>
    </row>
    <row r="632" spans="1:30" ht="80.099999999999994" customHeight="1">
      <c r="A632" s="5">
        <v>371</v>
      </c>
      <c r="B632" s="12">
        <v>2017</v>
      </c>
      <c r="C632" s="12" t="s">
        <v>65</v>
      </c>
      <c r="D632" s="14" t="str">
        <f>'[1]V, inciso o) (OP)'!C319</f>
        <v>DOPI-MUN-RM-IM-AD-371-2017</v>
      </c>
      <c r="E632" s="13">
        <f>'[1]V, inciso o) (OP)'!V319</f>
        <v>43070</v>
      </c>
      <c r="F632" s="14" t="str">
        <f>'[1]V, inciso o) (OP)'!AA319</f>
        <v>Delimitación con malla ciclónica en terrenos afectados por la ampliación de la carretera La Venta - Santa Lucia, municipio de Zapopan, Jalisco.</v>
      </c>
      <c r="G632" s="14" t="s">
        <v>499</v>
      </c>
      <c r="H632" s="15">
        <f>'[1]V, inciso o) (OP)'!Y319</f>
        <v>309258.36</v>
      </c>
      <c r="I632" s="14" t="s">
        <v>1167</v>
      </c>
      <c r="J632" s="14" t="str">
        <f>'[1]V, inciso o) (OP)'!M319</f>
        <v>ARTURO RAFAEL</v>
      </c>
      <c r="K632" s="14" t="str">
        <f>'[1]V, inciso o) (OP)'!N319</f>
        <v>SALAZAR</v>
      </c>
      <c r="L632" s="14" t="str">
        <f>'[1]V, inciso o) (OP)'!O319</f>
        <v>MARTÍN DEL CAMPO</v>
      </c>
      <c r="M632" s="14" t="str">
        <f>'[1]V, inciso o) (OP)'!P319</f>
        <v>KALMANI CONSTRUCTORA, S.A. DE C.V.</v>
      </c>
      <c r="N632" s="14" t="str">
        <f>'[1]V, inciso o) (OP)'!Q319</f>
        <v>KCO030922UM6</v>
      </c>
      <c r="O632" s="15">
        <f t="shared" si="17"/>
        <v>309258.36</v>
      </c>
      <c r="P632" s="15">
        <v>308389.89</v>
      </c>
      <c r="Q632" s="12" t="s">
        <v>1168</v>
      </c>
      <c r="R632" s="15">
        <f>H632/412</f>
        <v>750.62708737864079</v>
      </c>
      <c r="S632" s="12" t="s">
        <v>125</v>
      </c>
      <c r="T632" s="17" t="s">
        <v>125</v>
      </c>
      <c r="U632" s="14" t="s">
        <v>43</v>
      </c>
      <c r="V632" s="12" t="s">
        <v>44</v>
      </c>
      <c r="W632" s="13">
        <f>'[1]V, inciso o) (OP)'!AD319</f>
        <v>43070</v>
      </c>
      <c r="X632" s="13">
        <f>'[1]V, inciso o) (OP)'!AE319</f>
        <v>43100</v>
      </c>
      <c r="Y632" s="12" t="s">
        <v>399</v>
      </c>
      <c r="Z632" s="12" t="s">
        <v>284</v>
      </c>
      <c r="AA632" s="12" t="s">
        <v>81</v>
      </c>
      <c r="AB632" s="14" t="s">
        <v>48</v>
      </c>
      <c r="AC632" s="14" t="s">
        <v>48</v>
      </c>
      <c r="AD632" s="14"/>
    </row>
    <row r="633" spans="1:30" ht="80.099999999999994" customHeight="1">
      <c r="A633" s="5">
        <v>372</v>
      </c>
      <c r="B633" s="12">
        <v>2017</v>
      </c>
      <c r="C633" s="12" t="s">
        <v>65</v>
      </c>
      <c r="D633" s="14" t="str">
        <f>'[1]V, inciso o) (OP)'!C320</f>
        <v>DOPI-MUN-RM-ID-AD-372-2017</v>
      </c>
      <c r="E633" s="13">
        <f>'[1]V, inciso o) (OP)'!V320</f>
        <v>43056</v>
      </c>
      <c r="F633" s="14" t="str">
        <f>'[1]V, inciso o) (OP)'!AA320</f>
        <v>Acometida eléctrica y obra complementaria para la terminación de la Unidad Deportiva Paseos del Briseño municipio de Zapopan, Jalisco.</v>
      </c>
      <c r="G633" s="14" t="s">
        <v>499</v>
      </c>
      <c r="H633" s="15">
        <f>'[1]V, inciso o) (OP)'!Y320</f>
        <v>905532.5</v>
      </c>
      <c r="I633" s="14" t="s">
        <v>1169</v>
      </c>
      <c r="J633" s="14" t="str">
        <f>'[1]V, inciso o) (OP)'!M320</f>
        <v>PAOLA ALEJANDRA</v>
      </c>
      <c r="K633" s="14" t="str">
        <f>'[1]V, inciso o) (OP)'!N320</f>
        <v>DIAZ</v>
      </c>
      <c r="L633" s="14" t="str">
        <f>'[1]V, inciso o) (OP)'!O320</f>
        <v>RUIZ</v>
      </c>
      <c r="M633" s="14" t="str">
        <f>'[1]V, inciso o) (OP)'!P320</f>
        <v>OBRAS CIVILES ACUARIO, S.A. DE C.V.</v>
      </c>
      <c r="N633" s="14" t="str">
        <f>'[1]V, inciso o) (OP)'!Q320</f>
        <v>OCA080707FG8</v>
      </c>
      <c r="O633" s="15">
        <f t="shared" si="17"/>
        <v>905532.5</v>
      </c>
      <c r="P633" s="15">
        <f>O633</f>
        <v>905532.5</v>
      </c>
      <c r="Q633" s="12" t="s">
        <v>793</v>
      </c>
      <c r="R633" s="15">
        <f>H633/2492</f>
        <v>363.37580256821832</v>
      </c>
      <c r="S633" s="12" t="s">
        <v>42</v>
      </c>
      <c r="T633" s="17">
        <v>4159</v>
      </c>
      <c r="U633" s="14" t="s">
        <v>43</v>
      </c>
      <c r="V633" s="12" t="s">
        <v>378</v>
      </c>
      <c r="W633" s="13">
        <f>'[1]V, inciso o) (OP)'!AD320</f>
        <v>43060</v>
      </c>
      <c r="X633" s="13">
        <f>'[1]V, inciso o) (OP)'!AE320</f>
        <v>43115</v>
      </c>
      <c r="Y633" s="12" t="s">
        <v>1170</v>
      </c>
      <c r="Z633" s="12" t="s">
        <v>743</v>
      </c>
      <c r="AA633" s="12" t="s">
        <v>744</v>
      </c>
      <c r="AB633" s="14" t="s">
        <v>48</v>
      </c>
      <c r="AC633" s="14" t="s">
        <v>48</v>
      </c>
      <c r="AD633" s="14" t="s">
        <v>1571</v>
      </c>
    </row>
    <row r="634" spans="1:30" ht="80.099999999999994" customHeight="1">
      <c r="A634" s="5">
        <v>373</v>
      </c>
      <c r="B634" s="12">
        <v>2017</v>
      </c>
      <c r="C634" s="12" t="s">
        <v>65</v>
      </c>
      <c r="D634" s="14" t="str">
        <f>'[1]V, inciso o) (OP)'!C321</f>
        <v>DOPI-MUN-RM-PROY-AD-373-2017</v>
      </c>
      <c r="E634" s="13">
        <f>'[1]V, inciso o) (OP)'!V321</f>
        <v>43042</v>
      </c>
      <c r="F634" s="14" t="str">
        <f>'[1]V, inciso o) (OP)'!AA321</f>
        <v>Elaboración de proyecto ejecutivo de la Unidad Deportiva Valle de los Molinos, municipio de Zapopan, Jalisco.</v>
      </c>
      <c r="G634" s="14" t="s">
        <v>499</v>
      </c>
      <c r="H634" s="15">
        <f>'[1]V, inciso o) (OP)'!Y321</f>
        <v>350254.74</v>
      </c>
      <c r="I634" s="14" t="s">
        <v>1171</v>
      </c>
      <c r="J634" s="14" t="str">
        <f>'[1]V, inciso o) (OP)'!M321</f>
        <v>RICARDO</v>
      </c>
      <c r="K634" s="14" t="str">
        <f>'[1]V, inciso o) (OP)'!N321</f>
        <v>GONZÁLEZ</v>
      </c>
      <c r="L634" s="14" t="str">
        <f>'[1]V, inciso o) (OP)'!O321</f>
        <v>CARRANZA</v>
      </c>
      <c r="M634" s="14" t="str">
        <f>'[1]V, inciso o) (OP)'!P321</f>
        <v>RICARDO GONZÁLEZ CARRANZA</v>
      </c>
      <c r="N634" s="14" t="str">
        <f>'[1]V, inciso o) (OP)'!Q321</f>
        <v>GOCR801106234</v>
      </c>
      <c r="O634" s="15">
        <f t="shared" si="17"/>
        <v>350254.74</v>
      </c>
      <c r="P634" s="15">
        <f>O634</f>
        <v>350254.74</v>
      </c>
      <c r="Q634" s="12" t="s">
        <v>714</v>
      </c>
      <c r="R634" s="15">
        <f>H634</f>
        <v>350254.74</v>
      </c>
      <c r="S634" s="12" t="s">
        <v>125</v>
      </c>
      <c r="T634" s="17" t="s">
        <v>125</v>
      </c>
      <c r="U634" s="14" t="s">
        <v>43</v>
      </c>
      <c r="V634" s="12" t="s">
        <v>378</v>
      </c>
      <c r="W634" s="13">
        <f>'[1]V, inciso o) (OP)'!AD321</f>
        <v>43045</v>
      </c>
      <c r="X634" s="13">
        <f>'[1]V, inciso o) (OP)'!AE321</f>
        <v>43100</v>
      </c>
      <c r="Y634" s="12" t="s">
        <v>692</v>
      </c>
      <c r="Z634" s="12" t="s">
        <v>693</v>
      </c>
      <c r="AA634" s="12" t="s">
        <v>136</v>
      </c>
      <c r="AB634" s="14" t="s">
        <v>48</v>
      </c>
      <c r="AC634" s="14" t="s">
        <v>48</v>
      </c>
      <c r="AD634" s="14" t="s">
        <v>1571</v>
      </c>
    </row>
    <row r="635" spans="1:30" ht="80.099999999999994" customHeight="1">
      <c r="A635" s="5">
        <v>374</v>
      </c>
      <c r="B635" s="12">
        <v>2017</v>
      </c>
      <c r="C635" s="12" t="s">
        <v>65</v>
      </c>
      <c r="D635" s="14" t="str">
        <f>'[1]V, inciso o) (OP)'!C322</f>
        <v>DOPI-MUN-RM-SERV-AD-374-2017</v>
      </c>
      <c r="E635" s="13">
        <f>'[1]V, inciso o) (OP)'!V322</f>
        <v>43021</v>
      </c>
      <c r="F635" s="14" t="str">
        <f>'[1]V, inciso o) (OP)'!AA322</f>
        <v>Estudios de mecánica de suelos y diseño de pavimentos de diferentes obras 2017 del municipio de Zapopan, Jalisco, etapa 2.</v>
      </c>
      <c r="G635" s="14" t="s">
        <v>499</v>
      </c>
      <c r="H635" s="15">
        <f>'[1]V, inciso o) (OP)'!Y322</f>
        <v>910147.98</v>
      </c>
      <c r="I635" s="14" t="s">
        <v>1349</v>
      </c>
      <c r="J635" s="14" t="str">
        <f>'[1]V, inciso o) (OP)'!M322</f>
        <v>JOEL</v>
      </c>
      <c r="K635" s="14" t="str">
        <f>'[1]V, inciso o) (OP)'!N322</f>
        <v>ZULOAGA</v>
      </c>
      <c r="L635" s="14" t="str">
        <f>'[1]V, inciso o) (OP)'!O322</f>
        <v>ACEVES</v>
      </c>
      <c r="M635" s="14" t="str">
        <f>'[1]V, inciso o) (OP)'!P322</f>
        <v>TASUM SOLUCIONES EN CONSTRUCCIÓN, S.A. DE C.V.</v>
      </c>
      <c r="N635" s="14" t="str">
        <f>'[1]V, inciso o) (OP)'!Q322</f>
        <v>TSC100210E48</v>
      </c>
      <c r="O635" s="15">
        <f t="shared" si="17"/>
        <v>910147.98</v>
      </c>
      <c r="P635" s="15">
        <f>O635</f>
        <v>910147.98</v>
      </c>
      <c r="Q635" s="12" t="s">
        <v>1172</v>
      </c>
      <c r="R635" s="15">
        <f>H635/38</f>
        <v>23951.262631578946</v>
      </c>
      <c r="S635" s="12" t="s">
        <v>125</v>
      </c>
      <c r="T635" s="17" t="s">
        <v>125</v>
      </c>
      <c r="U635" s="14" t="s">
        <v>43</v>
      </c>
      <c r="V635" s="12" t="s">
        <v>378</v>
      </c>
      <c r="W635" s="13">
        <f>'[1]V, inciso o) (OP)'!AD322</f>
        <v>43024</v>
      </c>
      <c r="X635" s="13">
        <f>'[1]V, inciso o) (OP)'!AE322</f>
        <v>43100</v>
      </c>
      <c r="Y635" s="12" t="s">
        <v>692</v>
      </c>
      <c r="Z635" s="12" t="s">
        <v>693</v>
      </c>
      <c r="AA635" s="12" t="s">
        <v>136</v>
      </c>
      <c r="AB635" s="14" t="s">
        <v>48</v>
      </c>
      <c r="AC635" s="14" t="s">
        <v>48</v>
      </c>
      <c r="AD635" s="14" t="s">
        <v>1571</v>
      </c>
    </row>
    <row r="636" spans="1:30" ht="80.099999999999994" customHeight="1">
      <c r="A636" s="5">
        <v>375</v>
      </c>
      <c r="B636" s="12">
        <v>2017</v>
      </c>
      <c r="C636" s="12" t="s">
        <v>65</v>
      </c>
      <c r="D636" s="14" t="str">
        <f>'[1]V, inciso o) (OP)'!C323</f>
        <v>DOPI-MUN-RM-PROY-AD-375-2017</v>
      </c>
      <c r="E636" s="13">
        <f>'[1]V, inciso o) (OP)'!V323</f>
        <v>43050</v>
      </c>
      <c r="F636" s="14" t="str">
        <f>'[1]V, inciso o) (OP)'!AA323</f>
        <v>Diagnóstico, diseño y proyectos de infraestructura eléctrica 2017, segunda etapa, municipio de Zapopan, Jalisco.</v>
      </c>
      <c r="G636" s="14" t="s">
        <v>499</v>
      </c>
      <c r="H636" s="15">
        <f>'[1]V, inciso o) (OP)'!Y323</f>
        <v>925364.12</v>
      </c>
      <c r="I636" s="14" t="s">
        <v>1349</v>
      </c>
      <c r="J636" s="14" t="str">
        <f>'[1]V, inciso o) (OP)'!M323</f>
        <v xml:space="preserve">HÉCTOR ALEJANDRO </v>
      </c>
      <c r="K636" s="14" t="str">
        <f>'[1]V, inciso o) (OP)'!N323</f>
        <v xml:space="preserve">ORTEGA </v>
      </c>
      <c r="L636" s="14" t="str">
        <f>'[1]V, inciso o) (OP)'!O323</f>
        <v>ROSALES</v>
      </c>
      <c r="M636" s="14" t="str">
        <f>'[1]V, inciso o) (OP)'!P323</f>
        <v>IME SERVICIOS Y SUMINISTROS, S.A. DE C.V.</v>
      </c>
      <c r="N636" s="14" t="str">
        <f>'[1]V, inciso o) (OP)'!Q323</f>
        <v>ISS920330811</v>
      </c>
      <c r="O636" s="15">
        <f t="shared" si="17"/>
        <v>925364.12</v>
      </c>
      <c r="P636" s="15">
        <f>O636</f>
        <v>925364.12</v>
      </c>
      <c r="Q636" s="12" t="s">
        <v>1173</v>
      </c>
      <c r="R636" s="15">
        <f>H636/46</f>
        <v>20116.611304347825</v>
      </c>
      <c r="S636" s="12" t="s">
        <v>125</v>
      </c>
      <c r="T636" s="17" t="s">
        <v>125</v>
      </c>
      <c r="U636" s="14" t="s">
        <v>43</v>
      </c>
      <c r="V636" s="12" t="s">
        <v>378</v>
      </c>
      <c r="W636" s="13">
        <f>'[1]V, inciso o) (OP)'!AD323</f>
        <v>43050</v>
      </c>
      <c r="X636" s="13">
        <f>'[1]V, inciso o) (OP)'!AE323</f>
        <v>43100</v>
      </c>
      <c r="Y636" s="12" t="s">
        <v>692</v>
      </c>
      <c r="Z636" s="12" t="s">
        <v>693</v>
      </c>
      <c r="AA636" s="12" t="s">
        <v>136</v>
      </c>
      <c r="AB636" s="14" t="s">
        <v>48</v>
      </c>
      <c r="AC636" s="14" t="s">
        <v>48</v>
      </c>
      <c r="AD636" s="14" t="s">
        <v>1571</v>
      </c>
    </row>
    <row r="637" spans="1:30" ht="80.099999999999994" customHeight="1">
      <c r="A637" s="5">
        <v>376</v>
      </c>
      <c r="B637" s="12">
        <v>2017</v>
      </c>
      <c r="C637" s="12" t="s">
        <v>65</v>
      </c>
      <c r="D637" s="14" t="str">
        <f>'[1]V, inciso o) (OP)'!C324</f>
        <v>DOPI-MUN-RM-ELE-AD-376-2017</v>
      </c>
      <c r="E637" s="13">
        <f>'[1]V, inciso o) (OP)'!V324</f>
        <v>43050</v>
      </c>
      <c r="F637" s="14" t="str">
        <f>'[1]V, inciso o) (OP)'!AA324</f>
        <v>Trabajos complementarios de infraestructura eléctrica y de alumbrado público, frente 1, municipio de Zapopan, Jalisco</v>
      </c>
      <c r="G637" s="14" t="s">
        <v>499</v>
      </c>
      <c r="H637" s="15">
        <f>'[1]V, inciso o) (OP)'!Y324</f>
        <v>1203455.22</v>
      </c>
      <c r="I637" s="14" t="s">
        <v>1349</v>
      </c>
      <c r="J637" s="14" t="str">
        <f>'[1]V, inciso o) (OP)'!M324</f>
        <v>FAUSTO</v>
      </c>
      <c r="K637" s="14" t="str">
        <f>'[1]V, inciso o) (OP)'!N324</f>
        <v>GARNICA</v>
      </c>
      <c r="L637" s="14" t="str">
        <f>'[1]V, inciso o) (OP)'!O324</f>
        <v>PADILLA</v>
      </c>
      <c r="M637" s="14" t="str">
        <f>'[1]V, inciso o) (OP)'!P324</f>
        <v>FAUSTO GARNICA PADILLA</v>
      </c>
      <c r="N637" s="14" t="str">
        <f>'[1]V, inciso o) (OP)'!Q324</f>
        <v>GAPF5912193V9</v>
      </c>
      <c r="O637" s="15">
        <f t="shared" si="17"/>
        <v>1203455.22</v>
      </c>
      <c r="P637" s="15">
        <f>O637</f>
        <v>1203455.22</v>
      </c>
      <c r="Q637" s="12" t="s">
        <v>1174</v>
      </c>
      <c r="R637" s="15">
        <f>H637/692</f>
        <v>1739.0971387283237</v>
      </c>
      <c r="S637" s="12" t="s">
        <v>42</v>
      </c>
      <c r="T637" s="17">
        <v>3560</v>
      </c>
      <c r="U637" s="14" t="s">
        <v>43</v>
      </c>
      <c r="V637" s="12" t="s">
        <v>378</v>
      </c>
      <c r="W637" s="13">
        <f>'[1]V, inciso o) (OP)'!AD324</f>
        <v>43050</v>
      </c>
      <c r="X637" s="13">
        <f>'[1]V, inciso o) (OP)'!AE324</f>
        <v>43131</v>
      </c>
      <c r="Y637" s="12" t="s">
        <v>408</v>
      </c>
      <c r="Z637" s="12" t="s">
        <v>301</v>
      </c>
      <c r="AA637" s="12" t="s">
        <v>518</v>
      </c>
      <c r="AB637" s="14" t="s">
        <v>48</v>
      </c>
      <c r="AC637" s="14" t="s">
        <v>48</v>
      </c>
      <c r="AD637" s="14" t="s">
        <v>1571</v>
      </c>
    </row>
    <row r="638" spans="1:30" ht="80.099999999999994" customHeight="1">
      <c r="A638" s="5">
        <v>377</v>
      </c>
      <c r="B638" s="12">
        <v>2017</v>
      </c>
      <c r="C638" s="12" t="s">
        <v>65</v>
      </c>
      <c r="D638" s="14" t="str">
        <f>'[1]V, inciso o) (OP)'!C325</f>
        <v>DOPI-MUN-RM-ID-AD-377-2017</v>
      </c>
      <c r="E638" s="13">
        <f>'[1]V, inciso o) (OP)'!V325</f>
        <v>43042</v>
      </c>
      <c r="F638" s="14" t="str">
        <f>'[1]V, inciso o) (OP)'!AA325</f>
        <v>Construcción de fuente interactiva y estructura con lonaria para protección de rayos ultravioleta para gradería en cancha de fut bol de la Unidad Deportiva Miguel de la Madrid, municipio de Zapopan, Jalisco.</v>
      </c>
      <c r="G638" s="14" t="s">
        <v>499</v>
      </c>
      <c r="H638" s="15">
        <f>'[1]V, inciso o) (OP)'!Y325</f>
        <v>1191632.6599999999</v>
      </c>
      <c r="I638" s="14" t="s">
        <v>1175</v>
      </c>
      <c r="J638" s="14" t="str">
        <f>'[1]V, inciso o) (OP)'!M325</f>
        <v>MARÍA ARCELIA</v>
      </c>
      <c r="K638" s="14" t="str">
        <f>'[1]V, inciso o) (OP)'!N325</f>
        <v>IÑIGUEZ</v>
      </c>
      <c r="L638" s="14" t="str">
        <f>'[1]V, inciso o) (OP)'!O325</f>
        <v>HERNÁNDEZ</v>
      </c>
      <c r="M638" s="14" t="str">
        <f>'[1]V, inciso o) (OP)'!P325</f>
        <v>INFRAESTRUCTURA RHINO77, S.A. DE C.V.</v>
      </c>
      <c r="N638" s="14" t="str">
        <f>'[1]V, inciso o) (OP)'!Q325</f>
        <v>IRH140924LX3</v>
      </c>
      <c r="O638" s="15">
        <f t="shared" si="17"/>
        <v>1191632.6599999999</v>
      </c>
      <c r="P638" s="15">
        <v>917457.57</v>
      </c>
      <c r="Q638" s="12" t="s">
        <v>1176</v>
      </c>
      <c r="R638" s="15">
        <f>H638/482</f>
        <v>2472.2669294605807</v>
      </c>
      <c r="S638" s="12" t="s">
        <v>42</v>
      </c>
      <c r="T638" s="17">
        <v>2399</v>
      </c>
      <c r="U638" s="14" t="s">
        <v>43</v>
      </c>
      <c r="V638" s="12" t="s">
        <v>378</v>
      </c>
      <c r="W638" s="13">
        <f>'[1]V, inciso o) (OP)'!AD325</f>
        <v>43045</v>
      </c>
      <c r="X638" s="13">
        <f>'[1]V, inciso o) (OP)'!AE325</f>
        <v>43100</v>
      </c>
      <c r="Y638" s="12" t="s">
        <v>735</v>
      </c>
      <c r="Z638" s="12" t="s">
        <v>236</v>
      </c>
      <c r="AA638" s="12" t="s">
        <v>147</v>
      </c>
      <c r="AB638" s="8" t="s">
        <v>1985</v>
      </c>
      <c r="AC638" s="14" t="s">
        <v>48</v>
      </c>
      <c r="AD638" s="14"/>
    </row>
    <row r="639" spans="1:30" ht="80.099999999999994" customHeight="1">
      <c r="A639" s="5">
        <v>378</v>
      </c>
      <c r="B639" s="12">
        <v>2017</v>
      </c>
      <c r="C639" s="12" t="s">
        <v>65</v>
      </c>
      <c r="D639" s="14" t="str">
        <f>'[1]V, inciso o) (OP)'!C326</f>
        <v>DOPI-MUN-RM-ELE-AD-378-2017</v>
      </c>
      <c r="E639" s="13">
        <f>'[1]V, inciso o) (OP)'!V326</f>
        <v>43042</v>
      </c>
      <c r="F639" s="14" t="str">
        <f>'[1]V, inciso o) (OP)'!AA326</f>
        <v>Red de electrificación en media tensión en la calle Capulín, en la localidad de Tesistán, municipio de Zapopan, Jalisco.</v>
      </c>
      <c r="G639" s="14" t="s">
        <v>499</v>
      </c>
      <c r="H639" s="15">
        <f>'[1]V, inciso o) (OP)'!Y326</f>
        <v>476609.73</v>
      </c>
      <c r="I639" s="14" t="s">
        <v>563</v>
      </c>
      <c r="J639" s="14" t="str">
        <f>'[1]V, inciso o) (OP)'!M326</f>
        <v xml:space="preserve">MARCO ANTONIO </v>
      </c>
      <c r="K639" s="14" t="str">
        <f>'[1]V, inciso o) (OP)'!N326</f>
        <v>LOZANO</v>
      </c>
      <c r="L639" s="14" t="str">
        <f>'[1]V, inciso o) (OP)'!O326</f>
        <v>ESTRADA</v>
      </c>
      <c r="M639" s="14" t="str">
        <f>'[1]V, inciso o) (OP)'!P326</f>
        <v>DESARROLLADORA FULHAM S. DE R.L. DE C.V.</v>
      </c>
      <c r="N639" s="14" t="str">
        <f>'[1]V, inciso o) (OP)'!Q326</f>
        <v>DFU090928JB5</v>
      </c>
      <c r="O639" s="15">
        <f t="shared" si="17"/>
        <v>476609.73</v>
      </c>
      <c r="P639" s="15">
        <f>O639</f>
        <v>476609.73</v>
      </c>
      <c r="Q639" s="12" t="s">
        <v>1177</v>
      </c>
      <c r="R639" s="15">
        <f>H639/125</f>
        <v>3812.8778399999997</v>
      </c>
      <c r="S639" s="12" t="s">
        <v>42</v>
      </c>
      <c r="T639" s="17">
        <v>232</v>
      </c>
      <c r="U639" s="14" t="s">
        <v>43</v>
      </c>
      <c r="V639" s="12" t="s">
        <v>378</v>
      </c>
      <c r="W639" s="13">
        <f>'[1]V, inciso o) (OP)'!AD326</f>
        <v>43045</v>
      </c>
      <c r="X639" s="13">
        <f>'[1]V, inciso o) (OP)'!AE326</f>
        <v>43100</v>
      </c>
      <c r="Y639" s="12" t="s">
        <v>408</v>
      </c>
      <c r="Z639" s="12" t="s">
        <v>301</v>
      </c>
      <c r="AA639" s="12" t="s">
        <v>518</v>
      </c>
      <c r="AB639" s="14" t="s">
        <v>48</v>
      </c>
      <c r="AC639" s="14" t="s">
        <v>48</v>
      </c>
      <c r="AD639" s="14" t="s">
        <v>1571</v>
      </c>
    </row>
    <row r="640" spans="1:30" ht="80.099999999999994" customHeight="1">
      <c r="A640" s="5">
        <v>379</v>
      </c>
      <c r="B640" s="12">
        <v>2017</v>
      </c>
      <c r="C640" s="12" t="s">
        <v>65</v>
      </c>
      <c r="D640" s="14" t="str">
        <f>'[1]V, inciso o) (OP)'!C327</f>
        <v>DOPI-MUN-RM-DS-AD-379-2017</v>
      </c>
      <c r="E640" s="13">
        <f>'[1]V, inciso o) (OP)'!V327</f>
        <v>43042</v>
      </c>
      <c r="F640" s="14" t="str">
        <f>'[1]V, inciso o) (OP)'!AA327</f>
        <v>Construcción de colector pluvial en la calle Plata en el tramo de Juan Pablo II a calle Insurgentes, colonia San José del Bajio, municipio de Zapopan, Jalisco.</v>
      </c>
      <c r="G640" s="14" t="s">
        <v>499</v>
      </c>
      <c r="H640" s="15">
        <f>'[1]V, inciso o) (OP)'!Y327</f>
        <v>750368.42</v>
      </c>
      <c r="I640" s="14" t="s">
        <v>108</v>
      </c>
      <c r="J640" s="14" t="str">
        <f>'[1]V, inciso o) (OP)'!M327</f>
        <v>J. GERARDO</v>
      </c>
      <c r="K640" s="14" t="str">
        <f>'[1]V, inciso o) (OP)'!N327</f>
        <v>NICANOR</v>
      </c>
      <c r="L640" s="14" t="str">
        <f>'[1]V, inciso o) (OP)'!O327</f>
        <v>MEJIA MARISCAL</v>
      </c>
      <c r="M640" s="14" t="str">
        <f>'[1]V, inciso o) (OP)'!P327</f>
        <v>INECO CONSTRUYE, S.A. DE C.V.</v>
      </c>
      <c r="N640" s="14" t="str">
        <f>'[1]V, inciso o) (OP)'!Q327</f>
        <v>ICO980722MQ4</v>
      </c>
      <c r="O640" s="15">
        <f t="shared" si="17"/>
        <v>750368.42</v>
      </c>
      <c r="P640" s="15">
        <v>747485.52</v>
      </c>
      <c r="Q640" s="12" t="s">
        <v>1178</v>
      </c>
      <c r="R640" s="15">
        <f>H640/115</f>
        <v>6524.9427826086958</v>
      </c>
      <c r="S640" s="12" t="s">
        <v>42</v>
      </c>
      <c r="T640" s="17">
        <v>102</v>
      </c>
      <c r="U640" s="14" t="s">
        <v>43</v>
      </c>
      <c r="V640" s="12" t="s">
        <v>378</v>
      </c>
      <c r="W640" s="13">
        <f>'[1]V, inciso o) (OP)'!AD327</f>
        <v>43045</v>
      </c>
      <c r="X640" s="13">
        <f>'[1]V, inciso o) (OP)'!AE327</f>
        <v>43146</v>
      </c>
      <c r="Y640" s="12" t="s">
        <v>731</v>
      </c>
      <c r="Z640" s="12" t="s">
        <v>965</v>
      </c>
      <c r="AA640" s="12" t="s">
        <v>120</v>
      </c>
      <c r="AB640" s="14" t="s">
        <v>48</v>
      </c>
      <c r="AC640" s="14" t="s">
        <v>48</v>
      </c>
      <c r="AD640" s="14"/>
    </row>
    <row r="641" spans="1:30" ht="80.099999999999994" customHeight="1">
      <c r="A641" s="5">
        <v>380</v>
      </c>
      <c r="B641" s="12">
        <v>2017</v>
      </c>
      <c r="C641" s="12" t="s">
        <v>65</v>
      </c>
      <c r="D641" s="14" t="str">
        <f>'[1]V, inciso o) (OP)'!C328</f>
        <v>DOPI-MUN-RM-IH-AD-380-2017</v>
      </c>
      <c r="E641" s="13">
        <f>'[1]V, inciso o) (OP)'!V328</f>
        <v>43053</v>
      </c>
      <c r="F641" s="14" t="str">
        <f>'[1]V, inciso o) (OP)'!AA328</f>
        <v>Trabajos de interconexión de la red de distribución a la red del SIAPA en la localidad de Santa Anta Tepetitlán, municipio de Zapopan, Jalisco, primera etapa.</v>
      </c>
      <c r="G641" s="14" t="s">
        <v>499</v>
      </c>
      <c r="H641" s="15">
        <f>'[1]V, inciso o) (OP)'!Y328</f>
        <v>1655244.55</v>
      </c>
      <c r="I641" s="14" t="s">
        <v>281</v>
      </c>
      <c r="J641" s="14" t="str">
        <f>'[1]V, inciso o) (OP)'!M328</f>
        <v>AMALIA</v>
      </c>
      <c r="K641" s="14" t="str">
        <f>'[1]V, inciso o) (OP)'!N328</f>
        <v>MORENO</v>
      </c>
      <c r="L641" s="14" t="str">
        <f>'[1]V, inciso o) (OP)'!O328</f>
        <v>MALDONADO</v>
      </c>
      <c r="M641" s="14" t="str">
        <f>'[1]V, inciso o) (OP)'!P328</f>
        <v>GRUPO CONSTRUCTOR LOS MUROS, S.A. DE C.V.</v>
      </c>
      <c r="N641" s="14" t="str">
        <f>'[1]V, inciso o) (OP)'!Q328</f>
        <v>GCM020226F28</v>
      </c>
      <c r="O641" s="15">
        <f t="shared" si="17"/>
        <v>1655244.55</v>
      </c>
      <c r="P641" s="15">
        <f t="shared" ref="P641:P647" si="18">O641</f>
        <v>1655244.55</v>
      </c>
      <c r="Q641" s="12" t="s">
        <v>1091</v>
      </c>
      <c r="R641" s="15">
        <f>H641/436</f>
        <v>3796.4324541284404</v>
      </c>
      <c r="S641" s="12" t="s">
        <v>42</v>
      </c>
      <c r="T641" s="17">
        <v>15890</v>
      </c>
      <c r="U641" s="14" t="s">
        <v>43</v>
      </c>
      <c r="V641" s="12" t="s">
        <v>378</v>
      </c>
      <c r="W641" s="13">
        <f>'[1]V, inciso o) (OP)'!AD328</f>
        <v>43054</v>
      </c>
      <c r="X641" s="13">
        <f>'[1]V, inciso o) (OP)'!AE328</f>
        <v>43100</v>
      </c>
      <c r="Y641" s="12" t="s">
        <v>735</v>
      </c>
      <c r="Z641" s="12" t="s">
        <v>236</v>
      </c>
      <c r="AA641" s="12" t="s">
        <v>147</v>
      </c>
      <c r="AB641" s="14" t="s">
        <v>48</v>
      </c>
      <c r="AC641" s="14" t="s">
        <v>48</v>
      </c>
      <c r="AD641" s="14" t="s">
        <v>1571</v>
      </c>
    </row>
    <row r="642" spans="1:30" ht="80.099999999999994" customHeight="1">
      <c r="A642" s="5">
        <v>381</v>
      </c>
      <c r="B642" s="12">
        <v>2017</v>
      </c>
      <c r="C642" s="12" t="s">
        <v>65</v>
      </c>
      <c r="D642" s="14" t="str">
        <f>'[1]V, inciso o) (OP)'!C329</f>
        <v>DOPI-MUN-CUSMAX-ID-AD-381-2017</v>
      </c>
      <c r="E642" s="13">
        <f>'[1]V, inciso o) (OP)'!V329</f>
        <v>43080</v>
      </c>
      <c r="F642" s="14" t="str">
        <f>'[1]V, inciso o) (OP)'!AA329</f>
        <v>Rehabilitación de la Unidad Deportiva Santa Ana Tepetitlán, (Alcances: cancha de usos múltiples, motivo de ingreso, juegos infantiles, gimnasio al aire libre, andadores, accesibilidad, pintura y alumbrado público), primera etapa, municipio de Zapopan, Jalisco.</v>
      </c>
      <c r="G642" s="14" t="s">
        <v>987</v>
      </c>
      <c r="H642" s="15">
        <f>'[1]V, inciso o) (OP)'!Y329</f>
        <v>1498589.36</v>
      </c>
      <c r="I642" s="14" t="s">
        <v>281</v>
      </c>
      <c r="J642" s="14" t="str">
        <f>'[1]V, inciso o) (OP)'!M329</f>
        <v xml:space="preserve">BEATRIZ </v>
      </c>
      <c r="K642" s="14" t="str">
        <f>'[1]V, inciso o) (OP)'!N329</f>
        <v xml:space="preserve">MORA  </v>
      </c>
      <c r="L642" s="14" t="str">
        <f>'[1]V, inciso o) (OP)'!O329</f>
        <v xml:space="preserve"> MEDINA </v>
      </c>
      <c r="M642" s="14" t="str">
        <f>'[1]V, inciso o) (OP)'!P329</f>
        <v xml:space="preserve">PARÁBOLA ESTUDIOS, S.A. DE C.V. </v>
      </c>
      <c r="N642" s="14" t="str">
        <f>'[1]V, inciso o) (OP)'!Q329</f>
        <v>PES121109MN7</v>
      </c>
      <c r="O642" s="15">
        <f t="shared" si="17"/>
        <v>1498589.36</v>
      </c>
      <c r="P642" s="15">
        <f t="shared" si="18"/>
        <v>1498589.36</v>
      </c>
      <c r="Q642" s="21" t="s">
        <v>1179</v>
      </c>
      <c r="R642" s="22">
        <f>O642/1206</f>
        <v>1242.6114096185738</v>
      </c>
      <c r="S642" s="12" t="s">
        <v>42</v>
      </c>
      <c r="T642" s="17">
        <v>2481</v>
      </c>
      <c r="U642" s="14" t="s">
        <v>43</v>
      </c>
      <c r="V642" s="12" t="s">
        <v>378</v>
      </c>
      <c r="W642" s="13">
        <f>'[1]V, inciso o) (OP)'!AD329</f>
        <v>43080</v>
      </c>
      <c r="X642" s="13">
        <f>'[1]V, inciso o) (OP)'!AE329</f>
        <v>43177</v>
      </c>
      <c r="Y642" s="12" t="s">
        <v>735</v>
      </c>
      <c r="Z642" s="12" t="s">
        <v>236</v>
      </c>
      <c r="AA642" s="12" t="s">
        <v>147</v>
      </c>
      <c r="AB642" s="8" t="s">
        <v>1986</v>
      </c>
      <c r="AC642" s="14" t="s">
        <v>48</v>
      </c>
      <c r="AD642" s="14" t="s">
        <v>1571</v>
      </c>
    </row>
    <row r="643" spans="1:30" ht="80.099999999999994" customHeight="1">
      <c r="A643" s="5">
        <v>1</v>
      </c>
      <c r="B643" s="12">
        <v>2018</v>
      </c>
      <c r="C643" s="12" t="s">
        <v>65</v>
      </c>
      <c r="D643" s="14" t="str">
        <f>'[1]V, inciso o) (OP)'!C330</f>
        <v>DOPI-MUN-RM-APDS-AD-001-2018</v>
      </c>
      <c r="E643" s="13">
        <f>'[1]V, inciso o) (OP)'!V330</f>
        <v>43115</v>
      </c>
      <c r="F643" s="14" t="str">
        <f>'[1]V, inciso o) (OP)'!AA330</f>
        <v>Construcción de red de agua potable y drenaje sanitario en la Av. Camino Antiguo a Tesistán de la calle De Las Palmeras a Arcos de Alejandro, en la colonia Parques de Zapopan, municipio de Zapopan, Jalisco.</v>
      </c>
      <c r="G643" s="14" t="s">
        <v>499</v>
      </c>
      <c r="H643" s="15">
        <f>'[1]V, inciso o) (OP)'!Y330</f>
        <v>1698155.15</v>
      </c>
      <c r="I643" s="14" t="s">
        <v>1180</v>
      </c>
      <c r="J643" s="14" t="str">
        <f>'[1]V, inciso o) (OP)'!M330</f>
        <v xml:space="preserve">NÉSTOR </v>
      </c>
      <c r="K643" s="14" t="str">
        <f>'[1]V, inciso o) (OP)'!N330</f>
        <v>DE LA TORRE</v>
      </c>
      <c r="L643" s="14" t="str">
        <f>'[1]V, inciso o) (OP)'!O330</f>
        <v>MENCHACA</v>
      </c>
      <c r="M643" s="14" t="str">
        <f>'[1]V, inciso o) (OP)'!P330</f>
        <v>INGENIEROS DE LA TORRE, S.A. DE C.V.</v>
      </c>
      <c r="N643" s="14" t="str">
        <f>'[1]V, inciso o) (OP)'!Q330</f>
        <v>ITO951005HY5</v>
      </c>
      <c r="O643" s="15">
        <f t="shared" si="17"/>
        <v>1698155.15</v>
      </c>
      <c r="P643" s="15">
        <f t="shared" si="18"/>
        <v>1698155.15</v>
      </c>
      <c r="Q643" s="21" t="s">
        <v>1181</v>
      </c>
      <c r="R643" s="22">
        <f>O643/229</f>
        <v>7415.5246724890821</v>
      </c>
      <c r="S643" s="12" t="s">
        <v>42</v>
      </c>
      <c r="T643" s="17">
        <v>298</v>
      </c>
      <c r="U643" s="14" t="s">
        <v>43</v>
      </c>
      <c r="V643" s="12" t="s">
        <v>378</v>
      </c>
      <c r="W643" s="13">
        <f>'[1]V, inciso o) (OP)'!AD330</f>
        <v>43115</v>
      </c>
      <c r="X643" s="13">
        <f>'[1]V, inciso o) (OP)'!AE330</f>
        <v>43177</v>
      </c>
      <c r="Y643" s="12" t="s">
        <v>336</v>
      </c>
      <c r="Z643" s="12" t="s">
        <v>337</v>
      </c>
      <c r="AA643" s="12" t="s">
        <v>120</v>
      </c>
      <c r="AB643" s="8" t="s">
        <v>1843</v>
      </c>
      <c r="AC643" s="14" t="s">
        <v>48</v>
      </c>
      <c r="AD643" s="14" t="s">
        <v>1571</v>
      </c>
    </row>
    <row r="644" spans="1:30" ht="80.099999999999994" customHeight="1">
      <c r="A644" s="5">
        <v>2</v>
      </c>
      <c r="B644" s="12">
        <v>2018</v>
      </c>
      <c r="C644" s="12" t="s">
        <v>65</v>
      </c>
      <c r="D644" s="14" t="str">
        <f>'[1]V, inciso o) (OP)'!C331</f>
        <v>DOPI-MUN-RM-PROY-AD-002-2018</v>
      </c>
      <c r="E644" s="13">
        <f>'[1]V, inciso o) (OP)'!V331</f>
        <v>43115</v>
      </c>
      <c r="F644" s="14" t="str">
        <f>'[1]V, inciso o) (OP)'!AA331</f>
        <v>Análisis de alternativas y anteproyecto del Parque Central, ubicado en la colonia Tepeyac, municipio de Zapopan, Jalisco.</v>
      </c>
      <c r="G644" s="14" t="s">
        <v>499</v>
      </c>
      <c r="H644" s="15">
        <f>'[1]V, inciso o) (OP)'!Y331</f>
        <v>765602.44</v>
      </c>
      <c r="I644" s="14" t="s">
        <v>1001</v>
      </c>
      <c r="J644" s="14" t="str">
        <f>'[1]V, inciso o) (OP)'!M331</f>
        <v>JOSÉ MANUEL</v>
      </c>
      <c r="K644" s="14" t="str">
        <f>'[1]V, inciso o) (OP)'!N331</f>
        <v>GÓMEZ</v>
      </c>
      <c r="L644" s="14" t="str">
        <f>'[1]V, inciso o) (OP)'!O331</f>
        <v>CASTELLANOS</v>
      </c>
      <c r="M644" s="14" t="str">
        <f>'[1]V, inciso o) (OP)'!P331</f>
        <v>GGV INVERSIONES, S.A. DE C.V.</v>
      </c>
      <c r="N644" s="14" t="str">
        <f>'[1]V, inciso o) (OP)'!Q331</f>
        <v>GDI020122D2A</v>
      </c>
      <c r="O644" s="15">
        <f t="shared" si="17"/>
        <v>765602.44</v>
      </c>
      <c r="P644" s="15">
        <f t="shared" si="18"/>
        <v>765602.44</v>
      </c>
      <c r="Q644" s="21" t="s">
        <v>623</v>
      </c>
      <c r="R644" s="22">
        <f>O644</f>
        <v>765602.44</v>
      </c>
      <c r="S644" s="12" t="s">
        <v>125</v>
      </c>
      <c r="T644" s="17" t="s">
        <v>125</v>
      </c>
      <c r="U644" s="14" t="s">
        <v>43</v>
      </c>
      <c r="V644" s="12" t="s">
        <v>378</v>
      </c>
      <c r="W644" s="13">
        <f>'[1]V, inciso o) (OP)'!AD331</f>
        <v>43115</v>
      </c>
      <c r="X644" s="13">
        <f>'[1]V, inciso o) (OP)'!AE331</f>
        <v>43159</v>
      </c>
      <c r="Y644" s="12" t="s">
        <v>692</v>
      </c>
      <c r="Z644" s="12" t="s">
        <v>693</v>
      </c>
      <c r="AA644" s="12" t="s">
        <v>136</v>
      </c>
      <c r="AB644" s="8" t="s">
        <v>1844</v>
      </c>
      <c r="AC644" s="14" t="s">
        <v>48</v>
      </c>
      <c r="AD644" s="14" t="s">
        <v>1571</v>
      </c>
    </row>
    <row r="645" spans="1:30" ht="80.099999999999994" customHeight="1">
      <c r="A645" s="5">
        <v>3</v>
      </c>
      <c r="B645" s="12">
        <v>2018</v>
      </c>
      <c r="C645" s="12" t="s">
        <v>65</v>
      </c>
      <c r="D645" s="14" t="str">
        <f>'[1]V, inciso o) (OP)'!C332</f>
        <v>DOPI-MUN-RM-BAN-AD-003-2018</v>
      </c>
      <c r="E645" s="13">
        <f>'[1]V, inciso o) (OP)'!V332</f>
        <v>43115</v>
      </c>
      <c r="F645" s="14" t="str">
        <f>'[1]V, inciso o) (OP)'!AA332</f>
        <v>Peatonalización, construcción de banquetas, guarniciones, bolardos, accesibilidad, en la colonia Parques de Zapopan, municipio de Zapopan, Jalisco, primera etapa.</v>
      </c>
      <c r="G645" s="14" t="s">
        <v>499</v>
      </c>
      <c r="H645" s="15">
        <f>'[1]V, inciso o) (OP)'!Y332</f>
        <v>1301844.8500000001</v>
      </c>
      <c r="I645" s="14" t="s">
        <v>1180</v>
      </c>
      <c r="J645" s="14" t="str">
        <f>'[1]V, inciso o) (OP)'!M332</f>
        <v>TOMÁS</v>
      </c>
      <c r="K645" s="14" t="str">
        <f>'[1]V, inciso o) (OP)'!N332</f>
        <v>SANDOVAL</v>
      </c>
      <c r="L645" s="14" t="str">
        <f>'[1]V, inciso o) (OP)'!O332</f>
        <v>ÁLVAREZ</v>
      </c>
      <c r="M645" s="14" t="str">
        <f>'[1]V, inciso o) (OP)'!P332</f>
        <v>CONSTRUCCIÓNES Y RENTAS DE MAQUINARIA DE OCCIDENTE, S.A. DE C.V.</v>
      </c>
      <c r="N645" s="14" t="str">
        <f>'[1]V, inciso o) (OP)'!Q332</f>
        <v>CRM910909K48</v>
      </c>
      <c r="O645" s="15">
        <f t="shared" si="17"/>
        <v>1301844.8500000001</v>
      </c>
      <c r="P645" s="15">
        <f t="shared" si="18"/>
        <v>1301844.8500000001</v>
      </c>
      <c r="Q645" s="21" t="s">
        <v>1182</v>
      </c>
      <c r="R645" s="22">
        <f>O645/7059</f>
        <v>184.42340983142088</v>
      </c>
      <c r="S645" s="12" t="s">
        <v>42</v>
      </c>
      <c r="T645" s="17">
        <v>5697</v>
      </c>
      <c r="U645" s="14" t="s">
        <v>43</v>
      </c>
      <c r="V645" s="12" t="s">
        <v>378</v>
      </c>
      <c r="W645" s="13">
        <f>'[1]V, inciso o) (OP)'!AD332</f>
        <v>43115</v>
      </c>
      <c r="X645" s="13">
        <f>'[1]V, inciso o) (OP)'!AE332</f>
        <v>43192</v>
      </c>
      <c r="Y645" s="12" t="s">
        <v>436</v>
      </c>
      <c r="Z645" s="12" t="s">
        <v>295</v>
      </c>
      <c r="AA645" s="12" t="s">
        <v>76</v>
      </c>
      <c r="AB645" s="8" t="s">
        <v>1845</v>
      </c>
      <c r="AC645" s="14" t="s">
        <v>48</v>
      </c>
      <c r="AD645" s="14" t="s">
        <v>1571</v>
      </c>
    </row>
    <row r="646" spans="1:30" ht="80.099999999999994" customHeight="1">
      <c r="A646" s="5">
        <v>4</v>
      </c>
      <c r="B646" s="12">
        <v>2018</v>
      </c>
      <c r="C646" s="12" t="s">
        <v>65</v>
      </c>
      <c r="D646" s="14" t="str">
        <f>'[1]V, inciso o) (OP)'!C333</f>
        <v>DOPI-MUN-RM-IS-AD-004-2018</v>
      </c>
      <c r="E646" s="13">
        <f>'[1]V, inciso o) (OP)'!V333</f>
        <v>43150</v>
      </c>
      <c r="F646" s="14" t="str">
        <f>'[1]V, inciso o) (OP)'!AA333</f>
        <v>Albañilería, acabados, cancelería e instalación eléctrica en el área de administración y rayos X, y obra complementaria en el estacionamiento, en la Cruz Verde Federalismo, municipio de Zapopan, Jalisco.</v>
      </c>
      <c r="G646" s="14" t="s">
        <v>499</v>
      </c>
      <c r="H646" s="15">
        <f>'[1]V, inciso o) (OP)'!Y333</f>
        <v>972692.46</v>
      </c>
      <c r="I646" s="14" t="s">
        <v>988</v>
      </c>
      <c r="J646" s="14" t="str">
        <f>'[1]V, inciso o) (OP)'!M333</f>
        <v>LUIS ARMANDO</v>
      </c>
      <c r="K646" s="14" t="str">
        <f>'[1]V, inciso o) (OP)'!N333</f>
        <v>LINARES</v>
      </c>
      <c r="L646" s="14" t="str">
        <f>'[1]V, inciso o) (OP)'!O333</f>
        <v>CACHO</v>
      </c>
      <c r="M646" s="14" t="str">
        <f>'[1]V, inciso o) (OP)'!P333</f>
        <v>URCOMA 1970, S.A. DE C.V.</v>
      </c>
      <c r="N646" s="14" t="str">
        <f>'[1]V, inciso o) (OP)'!Q333</f>
        <v>UMN160125869</v>
      </c>
      <c r="O646" s="15">
        <f t="shared" si="17"/>
        <v>972692.46</v>
      </c>
      <c r="P646" s="15">
        <f t="shared" si="18"/>
        <v>972692.46</v>
      </c>
      <c r="Q646" s="21" t="s">
        <v>1183</v>
      </c>
      <c r="R646" s="22">
        <f>O646/116</f>
        <v>8385.279827586206</v>
      </c>
      <c r="S646" s="12" t="s">
        <v>42</v>
      </c>
      <c r="T646" s="17">
        <v>1332272</v>
      </c>
      <c r="U646" s="14" t="s">
        <v>43</v>
      </c>
      <c r="V646" s="12" t="s">
        <v>378</v>
      </c>
      <c r="W646" s="13">
        <f>'[1]V, inciso o) (OP)'!AD333</f>
        <v>43150</v>
      </c>
      <c r="X646" s="13">
        <f>'[1]V, inciso o) (OP)'!AE333</f>
        <v>43174</v>
      </c>
      <c r="Y646" s="12" t="s">
        <v>875</v>
      </c>
      <c r="Z646" s="12" t="s">
        <v>876</v>
      </c>
      <c r="AA646" s="12" t="s">
        <v>877</v>
      </c>
      <c r="AB646" s="8" t="s">
        <v>1846</v>
      </c>
      <c r="AC646" s="14" t="s">
        <v>48</v>
      </c>
      <c r="AD646" s="14" t="s">
        <v>1571</v>
      </c>
    </row>
    <row r="647" spans="1:30" ht="80.099999999999994" customHeight="1">
      <c r="A647" s="5">
        <v>5</v>
      </c>
      <c r="B647" s="12">
        <v>2018</v>
      </c>
      <c r="C647" s="12" t="s">
        <v>65</v>
      </c>
      <c r="D647" s="14" t="str">
        <f>'[1]V, inciso o) (OP)'!C334</f>
        <v>DOPI-MUN-RM-BAN-AD-005-2018</v>
      </c>
      <c r="E647" s="13">
        <f>'[1]V, inciso o) (OP)'!V334</f>
        <v>43150</v>
      </c>
      <c r="F647" s="14" t="str">
        <f>'[1]V, inciso o) (OP)'!AA334</f>
        <v>Construcción de banquetas y peatonalización en la Zona de Nixticuitl, municipio de Zapopan, Jalisco.</v>
      </c>
      <c r="G647" s="14" t="s">
        <v>499</v>
      </c>
      <c r="H647" s="15">
        <f>'[1]V, inciso o) (OP)'!Y334</f>
        <v>1158131.04</v>
      </c>
      <c r="I647" s="14" t="s">
        <v>1184</v>
      </c>
      <c r="J647" s="14" t="str">
        <f>'[1]V, inciso o) (OP)'!M334</f>
        <v>JOSÉ ANTONIO</v>
      </c>
      <c r="K647" s="14" t="str">
        <f>'[1]V, inciso o) (OP)'!N334</f>
        <v>ÁLVAREZ</v>
      </c>
      <c r="L647" s="14" t="str">
        <f>'[1]V, inciso o) (OP)'!O334</f>
        <v>ZULOAGA</v>
      </c>
      <c r="M647" s="14" t="str">
        <f>'[1]V, inciso o) (OP)'!P334</f>
        <v>GRUPO DESARROLLADOR ALZU, S.A. DE C.V.</v>
      </c>
      <c r="N647" s="14" t="str">
        <f>'[1]V, inciso o) (OP)'!Q334</f>
        <v>GDA150928286</v>
      </c>
      <c r="O647" s="15">
        <f t="shared" si="17"/>
        <v>1158131.04</v>
      </c>
      <c r="P647" s="15">
        <f t="shared" si="18"/>
        <v>1158131.04</v>
      </c>
      <c r="Q647" s="21" t="s">
        <v>1185</v>
      </c>
      <c r="R647" s="22">
        <f>O647/88</f>
        <v>13160.58</v>
      </c>
      <c r="S647" s="12" t="s">
        <v>42</v>
      </c>
      <c r="T647" s="17">
        <v>1258</v>
      </c>
      <c r="U647" s="14" t="s">
        <v>43</v>
      </c>
      <c r="V647" s="12" t="s">
        <v>378</v>
      </c>
      <c r="W647" s="13">
        <f>'[1]V, inciso o) (OP)'!AD334</f>
        <v>43150</v>
      </c>
      <c r="X647" s="13">
        <f>'[1]V, inciso o) (OP)'!AE334</f>
        <v>43189</v>
      </c>
      <c r="Y647" s="12" t="s">
        <v>408</v>
      </c>
      <c r="Z647" s="12" t="s">
        <v>1186</v>
      </c>
      <c r="AA647" s="12" t="s">
        <v>1187</v>
      </c>
      <c r="AB647" s="8" t="s">
        <v>1847</v>
      </c>
      <c r="AC647" s="14" t="s">
        <v>48</v>
      </c>
      <c r="AD647" s="14" t="s">
        <v>1571</v>
      </c>
    </row>
    <row r="648" spans="1:30" ht="80.099999999999994" customHeight="1">
      <c r="A648" s="5">
        <v>6</v>
      </c>
      <c r="B648" s="12">
        <v>2018</v>
      </c>
      <c r="C648" s="12" t="s">
        <v>65</v>
      </c>
      <c r="D648" s="14" t="str">
        <f>'[1]V, inciso o) (OP)'!C335</f>
        <v>DOPI-MUN-RM-BAN-AD-006-2018</v>
      </c>
      <c r="E648" s="13">
        <f>'[1]V, inciso o) (OP)'!V335</f>
        <v>43150</v>
      </c>
      <c r="F648" s="14" t="str">
        <f>'[1]V, inciso o) (OP)'!AA335</f>
        <v>Peatonalización, construcción de banquetas, sustitución de guarniciones, bolardos, señalética vertical y horizontal en la Av. Romanos de Del Dolmen a Av. Patria, en la colonia Altamira, municipio de Zapopan, Jalisco.</v>
      </c>
      <c r="G648" s="14" t="s">
        <v>499</v>
      </c>
      <c r="H648" s="15">
        <f>'[1]V, inciso o) (OP)'!Y335</f>
        <v>1467824.62</v>
      </c>
      <c r="I648" s="14" t="s">
        <v>1188</v>
      </c>
      <c r="J648" s="14" t="str">
        <f>'[1]V, inciso o) (OP)'!M335</f>
        <v xml:space="preserve">FRANCISCO GUSTAVO </v>
      </c>
      <c r="K648" s="14" t="str">
        <f>'[1]V, inciso o) (OP)'!N335</f>
        <v>ACEVES</v>
      </c>
      <c r="L648" s="14" t="str">
        <f>'[1]V, inciso o) (OP)'!O335</f>
        <v xml:space="preserve">GARZA </v>
      </c>
      <c r="M648" s="14" t="str">
        <f>'[1]V, inciso o) (OP)'!P335</f>
        <v>TAG SOLUCIONES INTEGRALES, S.A. DE C.V.</v>
      </c>
      <c r="N648" s="14" t="str">
        <f>'[1]V, inciso o) (OP)'!Q335</f>
        <v>TSI0906015A9</v>
      </c>
      <c r="O648" s="15">
        <f t="shared" si="17"/>
        <v>1467824.62</v>
      </c>
      <c r="P648" s="15">
        <v>1467824.6</v>
      </c>
      <c r="Q648" s="21" t="s">
        <v>1189</v>
      </c>
      <c r="R648" s="22">
        <f>O648/7960</f>
        <v>184.40007788944726</v>
      </c>
      <c r="S648" s="12" t="s">
        <v>42</v>
      </c>
      <c r="T648" s="17">
        <v>1054</v>
      </c>
      <c r="U648" s="14" t="s">
        <v>43</v>
      </c>
      <c r="V648" s="12" t="s">
        <v>378</v>
      </c>
      <c r="W648" s="13">
        <f>'[1]V, inciso o) (OP)'!AD335</f>
        <v>43150</v>
      </c>
      <c r="X648" s="13">
        <f>'[1]V, inciso o) (OP)'!AE335</f>
        <v>43174</v>
      </c>
      <c r="Y648" s="12" t="s">
        <v>830</v>
      </c>
      <c r="Z648" s="12" t="s">
        <v>831</v>
      </c>
      <c r="AA648" s="12" t="s">
        <v>134</v>
      </c>
      <c r="AB648" s="8" t="s">
        <v>1848</v>
      </c>
      <c r="AC648" s="14" t="s">
        <v>48</v>
      </c>
      <c r="AD648" s="14"/>
    </row>
    <row r="649" spans="1:30" ht="80.099999999999994" customHeight="1">
      <c r="A649" s="5">
        <v>7</v>
      </c>
      <c r="B649" s="12">
        <v>2018</v>
      </c>
      <c r="C649" s="12" t="s">
        <v>65</v>
      </c>
      <c r="D649" s="14" t="str">
        <f>'[1]V, inciso o) (OP)'!C336</f>
        <v>DOPI-MUN-RM-IE-AD-007-2018</v>
      </c>
      <c r="E649" s="13">
        <f>'[1]V, inciso o) (OP)'!V336</f>
        <v>43140</v>
      </c>
      <c r="F649" s="14" t="str">
        <f>'[1]V, inciso o) (OP)'!AA336</f>
        <v>Reforzamiento Complementario de estructuras con lonarias los planteles educativos: Primaria Diego Rivera (14DPR3789G) y Escuela Alfredo V. Bonfil (14EPR1115G), municipio de Zapopan, Jalisco.</v>
      </c>
      <c r="G649" s="14" t="s">
        <v>499</v>
      </c>
      <c r="H649" s="15">
        <f>'[1]V, inciso o) (OP)'!Y336</f>
        <v>290115.26</v>
      </c>
      <c r="I649" s="14" t="s">
        <v>1349</v>
      </c>
      <c r="J649" s="14" t="str">
        <f>'[1]V, inciso o) (OP)'!M336</f>
        <v xml:space="preserve">ALEJANDRO LUIS </v>
      </c>
      <c r="K649" s="14" t="str">
        <f>'[1]V, inciso o) (OP)'!N336</f>
        <v xml:space="preserve">VAIDOVITS </v>
      </c>
      <c r="L649" s="14" t="str">
        <f>'[1]V, inciso o) (OP)'!O336</f>
        <v xml:space="preserve"> SCHNURER</v>
      </c>
      <c r="M649" s="14" t="str">
        <f>'[1]V, inciso o) (OP)'!P336</f>
        <v>PROMACO DE MÉXICO, S.A. DE C.V.</v>
      </c>
      <c r="N649" s="14" t="str">
        <f>'[1]V, inciso o) (OP)'!Q336</f>
        <v>PME930817EV7</v>
      </c>
      <c r="O649" s="15">
        <f t="shared" si="17"/>
        <v>290115.26</v>
      </c>
      <c r="P649" s="15">
        <v>290115.26</v>
      </c>
      <c r="Q649" s="21" t="s">
        <v>1190</v>
      </c>
      <c r="R649" s="22">
        <f>O649/622</f>
        <v>466.42324758842443</v>
      </c>
      <c r="S649" s="12" t="s">
        <v>42</v>
      </c>
      <c r="T649" s="17">
        <v>2687</v>
      </c>
      <c r="U649" s="14" t="s">
        <v>43</v>
      </c>
      <c r="V649" s="12" t="s">
        <v>378</v>
      </c>
      <c r="W649" s="13">
        <f>'[1]V, inciso o) (OP)'!AD336</f>
        <v>43143</v>
      </c>
      <c r="X649" s="13">
        <f>'[1]V, inciso o) (OP)'!AE336</f>
        <v>43190</v>
      </c>
      <c r="Y649" s="12" t="s">
        <v>436</v>
      </c>
      <c r="Z649" s="12" t="s">
        <v>295</v>
      </c>
      <c r="AA649" s="12" t="s">
        <v>76</v>
      </c>
      <c r="AB649" s="8" t="s">
        <v>1849</v>
      </c>
      <c r="AC649" s="14" t="s">
        <v>48</v>
      </c>
      <c r="AD649" s="14"/>
    </row>
    <row r="650" spans="1:30" ht="80.099999999999994" customHeight="1">
      <c r="A650" s="5">
        <v>8</v>
      </c>
      <c r="B650" s="12">
        <v>2018</v>
      </c>
      <c r="C650" s="12" t="s">
        <v>65</v>
      </c>
      <c r="D650" s="14" t="str">
        <f>'[1]V, inciso o) (OP)'!C337</f>
        <v>DOPI-MUN-RM-ID-AD-008-2018</v>
      </c>
      <c r="E650" s="13">
        <f>'[1]V, inciso o) (OP)'!V337</f>
        <v>43145</v>
      </c>
      <c r="F650" s="14" t="str">
        <f>'[1]V, inciso o) (OP)'!AA337</f>
        <v>Construcción de cancha de usos múltiples, iluminación, ingreso, infraestructura pluvial, pista de trote y andadores en la Unidad Deportiva Miguel de la Madrid, municipio de Zapopan, Jalisco.</v>
      </c>
      <c r="G650" s="14" t="s">
        <v>499</v>
      </c>
      <c r="H650" s="15">
        <f>'[1]V, inciso o) (OP)'!Y337</f>
        <v>1712546.87</v>
      </c>
      <c r="I650" s="14" t="s">
        <v>1175</v>
      </c>
      <c r="J650" s="14" t="str">
        <f>'[1]V, inciso o) (OP)'!M337</f>
        <v>MARÍA ARCELIA</v>
      </c>
      <c r="K650" s="14" t="str">
        <f>'[1]V, inciso o) (OP)'!N337</f>
        <v>IÑIGUEZ</v>
      </c>
      <c r="L650" s="14" t="str">
        <f>'[1]V, inciso o) (OP)'!O337</f>
        <v>HERNÁNDEZ</v>
      </c>
      <c r="M650" s="14" t="str">
        <f>'[1]V, inciso o) (OP)'!P337</f>
        <v>COMERCIALIZADORA POLIGONO, S..A DE C.V.</v>
      </c>
      <c r="N650" s="14" t="str">
        <f>'[1]V, inciso o) (OP)'!Q337</f>
        <v>COP1209104M8</v>
      </c>
      <c r="O650" s="15">
        <f t="shared" si="17"/>
        <v>1712546.87</v>
      </c>
      <c r="P650" s="15">
        <f>O650</f>
        <v>1712546.87</v>
      </c>
      <c r="Q650" s="21" t="s">
        <v>1191</v>
      </c>
      <c r="R650" s="22">
        <f>O650/9186</f>
        <v>186.43009688656653</v>
      </c>
      <c r="S650" s="12" t="s">
        <v>42</v>
      </c>
      <c r="T650" s="17">
        <v>2399</v>
      </c>
      <c r="U650" s="14" t="s">
        <v>43</v>
      </c>
      <c r="V650" s="12" t="s">
        <v>378</v>
      </c>
      <c r="W650" s="13">
        <f>'[1]V, inciso o) (OP)'!AD337</f>
        <v>43146</v>
      </c>
      <c r="X650" s="13">
        <f>'[1]V, inciso o) (OP)'!AE337</f>
        <v>43190</v>
      </c>
      <c r="Y650" s="12" t="s">
        <v>761</v>
      </c>
      <c r="Z650" s="12" t="s">
        <v>1192</v>
      </c>
      <c r="AA650" s="12" t="s">
        <v>147</v>
      </c>
      <c r="AB650" s="8" t="s">
        <v>1850</v>
      </c>
      <c r="AC650" s="14" t="s">
        <v>48</v>
      </c>
      <c r="AD650" s="14" t="s">
        <v>1571</v>
      </c>
    </row>
    <row r="651" spans="1:30" ht="80.099999999999994" customHeight="1">
      <c r="A651" s="5">
        <v>9</v>
      </c>
      <c r="B651" s="12">
        <v>2018</v>
      </c>
      <c r="C651" s="12" t="s">
        <v>65</v>
      </c>
      <c r="D651" s="14" t="str">
        <f>'[1]V, inciso o) (OP)'!C338</f>
        <v>DOPI-MUN-RM-ID-AD-009-2018</v>
      </c>
      <c r="E651" s="13">
        <f>'[1]V, inciso o) (OP)'!V338</f>
        <v>43145</v>
      </c>
      <c r="F651" s="14" t="str">
        <f>'[1]V, inciso o) (OP)'!AA338</f>
        <v>Obra civil, Juegos infantiles, mobiliario urbano en la Unidad Deportiva Miguel de la Madrid, municipio de Zapopan, Jalisco.</v>
      </c>
      <c r="G651" s="14" t="s">
        <v>499</v>
      </c>
      <c r="H651" s="15">
        <f>'[1]V, inciso o) (OP)'!Y338</f>
        <v>1706549.23</v>
      </c>
      <c r="I651" s="14" t="s">
        <v>1175</v>
      </c>
      <c r="J651" s="14" t="str">
        <f>'[1]V, inciso o) (OP)'!M338</f>
        <v>HUGO ARMANDO</v>
      </c>
      <c r="K651" s="14" t="str">
        <f>'[1]V, inciso o) (OP)'!N338</f>
        <v>PRIETO</v>
      </c>
      <c r="L651" s="14" t="str">
        <f>'[1]V, inciso o) (OP)'!O338</f>
        <v>JIMÉNEZ</v>
      </c>
      <c r="M651" s="14" t="str">
        <f>'[1]V, inciso o) (OP)'!P338</f>
        <v>CONSTRUCTORA RURAL DEL PAIS, S.A. DE C.V.</v>
      </c>
      <c r="N651" s="14" t="str">
        <f>'[1]V, inciso o) (OP)'!Q338</f>
        <v>CRP870708I62</v>
      </c>
      <c r="O651" s="15">
        <f t="shared" si="17"/>
        <v>1706549.23</v>
      </c>
      <c r="P651" s="15">
        <f>O651</f>
        <v>1706549.23</v>
      </c>
      <c r="Q651" s="21" t="str">
        <f>Q650</f>
        <v>9,186 M2</v>
      </c>
      <c r="R651" s="22">
        <f>O651/9186</f>
        <v>185.77718593511867</v>
      </c>
      <c r="S651" s="12" t="s">
        <v>42</v>
      </c>
      <c r="T651" s="17">
        <v>2399</v>
      </c>
      <c r="U651" s="14" t="s">
        <v>43</v>
      </c>
      <c r="V651" s="12" t="s">
        <v>378</v>
      </c>
      <c r="W651" s="13">
        <f>'[1]V, inciso o) (OP)'!AD338</f>
        <v>43146</v>
      </c>
      <c r="X651" s="13">
        <f>'[1]V, inciso o) (OP)'!AE338</f>
        <v>43200</v>
      </c>
      <c r="Y651" s="12" t="s">
        <v>761</v>
      </c>
      <c r="Z651" s="12" t="s">
        <v>1192</v>
      </c>
      <c r="AA651" s="12" t="s">
        <v>147</v>
      </c>
      <c r="AB651" s="8" t="s">
        <v>1851</v>
      </c>
      <c r="AC651" s="14" t="s">
        <v>48</v>
      </c>
      <c r="AD651" s="14" t="s">
        <v>1571</v>
      </c>
    </row>
    <row r="652" spans="1:30" ht="80.099999999999994" customHeight="1">
      <c r="A652" s="5">
        <v>10</v>
      </c>
      <c r="B652" s="12">
        <v>2018</v>
      </c>
      <c r="C652" s="12" t="s">
        <v>65</v>
      </c>
      <c r="D652" s="14" t="str">
        <f>'[1]V, inciso o) (OP)'!C339</f>
        <v>DOPI-MUN-RM-PAV-AD-010-2018</v>
      </c>
      <c r="E652" s="13">
        <f>'[1]V, inciso o) (OP)'!V339</f>
        <v>43145</v>
      </c>
      <c r="F652" s="14" t="str">
        <f>'[1]V, inciso o) (OP)'!AA339</f>
        <v>Pavimentación con concreto hidráulico en la calle Juan García de la calle Casiano Torres a la calle Ignacio Espinoza, colonia Villa de Guadalupe, incluye: drenaje sanitario, agua potable, banquetas, peatonalización, señalamiento y obras complementarias, en el municipio de Zapopan, Jalisco, frente 1.</v>
      </c>
      <c r="G652" s="14" t="s">
        <v>499</v>
      </c>
      <c r="H652" s="15">
        <f>'[1]V, inciso o) (OP)'!Y339</f>
        <v>1418299.12</v>
      </c>
      <c r="I652" s="14" t="s">
        <v>313</v>
      </c>
      <c r="J652" s="14" t="str">
        <f>'[1]V, inciso o) (OP)'!M339</f>
        <v xml:space="preserve">ELIZABETH </v>
      </c>
      <c r="K652" s="14" t="str">
        <f>'[1]V, inciso o) (OP)'!N339</f>
        <v xml:space="preserve">DELGADO </v>
      </c>
      <c r="L652" s="14" t="str">
        <f>'[1]V, inciso o) (OP)'!O339</f>
        <v>NAVARRO</v>
      </c>
      <c r="M652" s="14" t="str">
        <f>'[1]V, inciso o) (OP)'!P339</f>
        <v>METROPOLIZADORA DE SERVICIOS PARA LA CONSTRUCCION, S.A. DE C.V.</v>
      </c>
      <c r="N652" s="14" t="str">
        <f>'[1]V, inciso o) (OP)'!Q339</f>
        <v>MSC090401AZ0</v>
      </c>
      <c r="O652" s="15">
        <f t="shared" si="17"/>
        <v>1418299.12</v>
      </c>
      <c r="P652" s="15">
        <f>O652</f>
        <v>1418299.12</v>
      </c>
      <c r="Q652" s="21" t="s">
        <v>1193</v>
      </c>
      <c r="R652" s="22">
        <f>O652/1284</f>
        <v>1104.5943302180685</v>
      </c>
      <c r="S652" s="12" t="s">
        <v>42</v>
      </c>
      <c r="T652" s="17">
        <v>2012</v>
      </c>
      <c r="U652" s="14" t="s">
        <v>43</v>
      </c>
      <c r="V652" s="12" t="s">
        <v>378</v>
      </c>
      <c r="W652" s="13">
        <f>'[1]V, inciso o) (OP)'!AD339</f>
        <v>43146</v>
      </c>
      <c r="X652" s="13">
        <f>'[1]V, inciso o) (OP)'!AE339</f>
        <v>43190</v>
      </c>
      <c r="Y652" s="12" t="s">
        <v>875</v>
      </c>
      <c r="Z652" s="12" t="s">
        <v>876</v>
      </c>
      <c r="AA652" s="12" t="s">
        <v>877</v>
      </c>
      <c r="AB652" s="8" t="s">
        <v>1852</v>
      </c>
      <c r="AC652" s="14" t="s">
        <v>48</v>
      </c>
      <c r="AD652" s="14" t="s">
        <v>1571</v>
      </c>
    </row>
    <row r="653" spans="1:30" ht="80.099999999999994" customHeight="1">
      <c r="A653" s="5">
        <v>11</v>
      </c>
      <c r="B653" s="12">
        <v>2018</v>
      </c>
      <c r="C653" s="12" t="s">
        <v>65</v>
      </c>
      <c r="D653" s="14" t="str">
        <f>'[1]V, inciso o) (OP)'!C340</f>
        <v>DOPI-MUN-RM-OC-AD-011-2018</v>
      </c>
      <c r="E653" s="13">
        <f>'[1]V, inciso o) (OP)'!V340</f>
        <v>43145</v>
      </c>
      <c r="F653" s="14" t="str">
        <f>'[1]V, inciso o) (OP)'!AA340</f>
        <v>Obras emergentes de rehabilitación de muros, plantillas y elementos estructurales en al arroyo Garabato, zona El Briseño, municipio de Zapopan, Jalisco.</v>
      </c>
      <c r="G653" s="14" t="s">
        <v>499</v>
      </c>
      <c r="H653" s="15">
        <f>'[1]V, inciso o) (OP)'!Y340</f>
        <v>916528.42</v>
      </c>
      <c r="I653" s="14" t="s">
        <v>733</v>
      </c>
      <c r="J653" s="14" t="str">
        <f>'[1]V, inciso o) (OP)'!M340</f>
        <v>ELBA</v>
      </c>
      <c r="K653" s="14" t="str">
        <f>'[1]V, inciso o) (OP)'!N340</f>
        <v xml:space="preserve">GONZÁLEZ </v>
      </c>
      <c r="L653" s="14" t="str">
        <f>'[1]V, inciso o) (OP)'!O340</f>
        <v>AGUIRRE</v>
      </c>
      <c r="M653" s="14" t="str">
        <f>'[1]V, inciso o) (OP)'!P340</f>
        <v>GA URBANIZACIÓN, S.A. DE C.V.</v>
      </c>
      <c r="N653" s="14" t="str">
        <f>'[1]V, inciso o) (OP)'!Q340</f>
        <v>GUR120612P22</v>
      </c>
      <c r="O653" s="15">
        <f t="shared" si="17"/>
        <v>916528.42</v>
      </c>
      <c r="P653" s="15">
        <f>O653</f>
        <v>916528.42</v>
      </c>
      <c r="Q653" s="21" t="s">
        <v>1194</v>
      </c>
      <c r="R653" s="22">
        <f>O653/3165</f>
        <v>289.58243917851502</v>
      </c>
      <c r="S653" s="12" t="s">
        <v>42</v>
      </c>
      <c r="T653" s="17">
        <v>3863</v>
      </c>
      <c r="U653" s="14" t="s">
        <v>43</v>
      </c>
      <c r="V653" s="12" t="s">
        <v>378</v>
      </c>
      <c r="W653" s="13">
        <f>'[1]V, inciso o) (OP)'!AD340</f>
        <v>43146</v>
      </c>
      <c r="X653" s="13">
        <f>'[1]V, inciso o) (OP)'!AE340</f>
        <v>43195</v>
      </c>
      <c r="Y653" s="12" t="s">
        <v>822</v>
      </c>
      <c r="Z653" s="12" t="s">
        <v>962</v>
      </c>
      <c r="AA653" s="12" t="s">
        <v>963</v>
      </c>
      <c r="AB653" s="8" t="s">
        <v>1853</v>
      </c>
      <c r="AC653" s="14" t="s">
        <v>48</v>
      </c>
      <c r="AD653" s="14" t="s">
        <v>1571</v>
      </c>
    </row>
    <row r="654" spans="1:30" ht="80.099999999999994" customHeight="1">
      <c r="A654" s="5">
        <v>12</v>
      </c>
      <c r="B654" s="12">
        <v>2018</v>
      </c>
      <c r="C654" s="12" t="s">
        <v>65</v>
      </c>
      <c r="D654" s="14" t="str">
        <f>'[1]V, inciso o) (OP)'!C341</f>
        <v>DOPI-MUN-RM-IH-AD-012-2018</v>
      </c>
      <c r="E654" s="13">
        <f>'[1]V, inciso o) (OP)'!V341</f>
        <v>43145</v>
      </c>
      <c r="F654" s="14" t="str">
        <f>'[1]V, inciso o) (OP)'!AA341</f>
        <v>Construcción de colector pluvial en Boulevard del Rodeo, de la calle Juan Pablo II a calle Escorial, municipio de Zapopan, Jalisco, frente 1.</v>
      </c>
      <c r="G654" s="14" t="s">
        <v>499</v>
      </c>
      <c r="H654" s="15">
        <f>'[1]V, inciso o) (OP)'!Y341</f>
        <v>1159873.06</v>
      </c>
      <c r="I654" s="14" t="s">
        <v>1195</v>
      </c>
      <c r="J654" s="14" t="str">
        <f>'[1]V, inciso o) (OP)'!M341</f>
        <v>ALFREDO</v>
      </c>
      <c r="K654" s="14" t="str">
        <f>'[1]V, inciso o) (OP)'!N341</f>
        <v>AGUIRRE</v>
      </c>
      <c r="L654" s="14" t="str">
        <f>'[1]V, inciso o) (OP)'!O341</f>
        <v>MONTOYA</v>
      </c>
      <c r="M654" s="14" t="str">
        <f>'[1]V, inciso o) (OP)'!P341</f>
        <v>TORRES AGUIRRE INGENIEROS, S.A. DE C.V.</v>
      </c>
      <c r="N654" s="14" t="str">
        <f>'[1]V, inciso o) (OP)'!Q341</f>
        <v>TAI920312952</v>
      </c>
      <c r="O654" s="15">
        <f t="shared" si="17"/>
        <v>1159873.06</v>
      </c>
      <c r="P654" s="15">
        <f>O654</f>
        <v>1159873.06</v>
      </c>
      <c r="Q654" s="21" t="s">
        <v>1196</v>
      </c>
      <c r="R654" s="22">
        <f>O654/524</f>
        <v>2213.4982061068704</v>
      </c>
      <c r="S654" s="12" t="s">
        <v>42</v>
      </c>
      <c r="T654" s="17">
        <v>1256</v>
      </c>
      <c r="U654" s="14" t="s">
        <v>43</v>
      </c>
      <c r="V654" s="12" t="s">
        <v>378</v>
      </c>
      <c r="W654" s="13">
        <f>'[1]V, inciso o) (OP)'!AD341</f>
        <v>43146</v>
      </c>
      <c r="X654" s="13">
        <f>'[1]V, inciso o) (OP)'!AE341</f>
        <v>43190</v>
      </c>
      <c r="Y654" s="12" t="s">
        <v>408</v>
      </c>
      <c r="Z654" s="12" t="s">
        <v>1186</v>
      </c>
      <c r="AA654" s="12" t="s">
        <v>1187</v>
      </c>
      <c r="AB654" s="14" t="s">
        <v>48</v>
      </c>
      <c r="AC654" s="14" t="s">
        <v>48</v>
      </c>
      <c r="AD654" s="14" t="s">
        <v>1571</v>
      </c>
    </row>
    <row r="655" spans="1:30" ht="80.099999999999994" customHeight="1">
      <c r="A655" s="5">
        <v>13</v>
      </c>
      <c r="B655" s="12">
        <v>2018</v>
      </c>
      <c r="C655" s="12" t="s">
        <v>65</v>
      </c>
      <c r="D655" s="14" t="str">
        <f>'[1]V, inciso o) (OP)'!C342</f>
        <v>DOPI-MUN-RM-ID-AD-013-2018</v>
      </c>
      <c r="E655" s="13">
        <f>'[1]V, inciso o) (OP)'!V342</f>
        <v>43145</v>
      </c>
      <c r="F655" s="14" t="str">
        <f>'[1]V, inciso o) (OP)'!AA342</f>
        <v>Instalación de pasto sintético en cancha de futbol y en área de juegos en la unidad santa margarita.</v>
      </c>
      <c r="G655" s="14" t="s">
        <v>499</v>
      </c>
      <c r="H655" s="15">
        <f>'[1]V, inciso o) (OP)'!Y342</f>
        <v>1710451.6</v>
      </c>
      <c r="I655" s="14" t="s">
        <v>621</v>
      </c>
      <c r="J655" s="14" t="str">
        <f>'[1]V, inciso o) (OP)'!M342</f>
        <v xml:space="preserve">EDUARDO </v>
      </c>
      <c r="K655" s="14" t="str">
        <f>'[1]V, inciso o) (OP)'!N342</f>
        <v>CRUZ</v>
      </c>
      <c r="L655" s="14" t="str">
        <f>'[1]V, inciso o) (OP)'!O342</f>
        <v>MOGUEL</v>
      </c>
      <c r="M655" s="14" t="str">
        <f>'[1]V, inciso o) (OP)'!P342</f>
        <v>BALKEN, S.A. DE C.V.</v>
      </c>
      <c r="N655" s="14" t="str">
        <f>'[1]V, inciso o) (OP)'!Q342</f>
        <v>BAL990803661</v>
      </c>
      <c r="O655" s="15">
        <f t="shared" si="17"/>
        <v>1710451.6</v>
      </c>
      <c r="P655" s="15">
        <v>1694359.49</v>
      </c>
      <c r="Q655" s="21" t="s">
        <v>1197</v>
      </c>
      <c r="R655" s="22">
        <f>O655/4758</f>
        <v>359.48961748633883</v>
      </c>
      <c r="S655" s="12" t="s">
        <v>42</v>
      </c>
      <c r="T655" s="17">
        <v>3699</v>
      </c>
      <c r="U655" s="14" t="s">
        <v>43</v>
      </c>
      <c r="V655" s="12" t="s">
        <v>378</v>
      </c>
      <c r="W655" s="13">
        <f>'[1]V, inciso o) (OP)'!AD342</f>
        <v>43146</v>
      </c>
      <c r="X655" s="13">
        <f>'[1]V, inciso o) (OP)'!AE342</f>
        <v>43190</v>
      </c>
      <c r="Y655" s="12" t="s">
        <v>716</v>
      </c>
      <c r="Z655" s="12" t="s">
        <v>1198</v>
      </c>
      <c r="AA655" s="12" t="s">
        <v>617</v>
      </c>
      <c r="AB655" s="8" t="s">
        <v>1854</v>
      </c>
      <c r="AC655" s="14" t="s">
        <v>48</v>
      </c>
      <c r="AD655" s="14"/>
    </row>
    <row r="656" spans="1:30" ht="80.099999999999994" customHeight="1">
      <c r="A656" s="5">
        <v>14</v>
      </c>
      <c r="B656" s="12">
        <v>2018</v>
      </c>
      <c r="C656" s="12" t="s">
        <v>65</v>
      </c>
      <c r="D656" s="14" t="str">
        <f>'[1]V, inciso o) (OP)'!C343</f>
        <v>DOPI-MUN-RM-ID-AD-014-2018</v>
      </c>
      <c r="E656" s="13">
        <f>'[1]V, inciso o) (OP)'!V343</f>
        <v>43145</v>
      </c>
      <c r="F656" s="14" t="str">
        <f>'[1]V, inciso o) (OP)'!AA343</f>
        <v>Construcción de losa de cimentación y graderías en la zona de canchas en la unidad deportiva santa margarita.</v>
      </c>
      <c r="G656" s="14" t="s">
        <v>499</v>
      </c>
      <c r="H656" s="15">
        <f>'[1]V, inciso o) (OP)'!Y343</f>
        <v>1117278.06</v>
      </c>
      <c r="I656" s="14" t="s">
        <v>621</v>
      </c>
      <c r="J656" s="14" t="str">
        <f>'[1]V, inciso o) (OP)'!M343</f>
        <v xml:space="preserve"> MARTHA </v>
      </c>
      <c r="K656" s="14" t="str">
        <f>'[1]V, inciso o) (OP)'!N343</f>
        <v>JIMÉNEZ</v>
      </c>
      <c r="L656" s="14" t="str">
        <f>'[1]V, inciso o) (OP)'!O343</f>
        <v>LÓPEZ</v>
      </c>
      <c r="M656" s="14" t="str">
        <f>'[1]V, inciso o) (OP)'!P343</f>
        <v>INMOBILIARIA BOCHUM S. DE R.L. DE C.V.</v>
      </c>
      <c r="N656" s="14" t="str">
        <f>'[1]V, inciso o) (OP)'!Q343</f>
        <v>IBO090918ET9</v>
      </c>
      <c r="O656" s="15">
        <f t="shared" si="17"/>
        <v>1117278.06</v>
      </c>
      <c r="P656" s="15">
        <f>O656</f>
        <v>1117278.06</v>
      </c>
      <c r="Q656" s="21" t="s">
        <v>1199</v>
      </c>
      <c r="R656" s="22">
        <f>O656/303</f>
        <v>3687.3863366336636</v>
      </c>
      <c r="S656" s="12" t="s">
        <v>42</v>
      </c>
      <c r="T656" s="17">
        <v>3699</v>
      </c>
      <c r="U656" s="14" t="s">
        <v>43</v>
      </c>
      <c r="V656" s="12" t="s">
        <v>378</v>
      </c>
      <c r="W656" s="13">
        <f>'[1]V, inciso o) (OP)'!AD343</f>
        <v>43146</v>
      </c>
      <c r="X656" s="13">
        <f>'[1]V, inciso o) (OP)'!AE343</f>
        <v>43190</v>
      </c>
      <c r="Y656" s="12" t="s">
        <v>716</v>
      </c>
      <c r="Z656" s="12" t="s">
        <v>1198</v>
      </c>
      <c r="AA656" s="12" t="s">
        <v>617</v>
      </c>
      <c r="AB656" s="8" t="s">
        <v>1855</v>
      </c>
      <c r="AC656" s="14" t="s">
        <v>48</v>
      </c>
      <c r="AD656" s="14" t="s">
        <v>1571</v>
      </c>
    </row>
    <row r="657" spans="1:30" ht="80.099999999999994" customHeight="1">
      <c r="A657" s="5">
        <v>15</v>
      </c>
      <c r="B657" s="12">
        <v>2018</v>
      </c>
      <c r="C657" s="12" t="s">
        <v>65</v>
      </c>
      <c r="D657" s="14" t="str">
        <f>'[1]V, inciso o) (OP)'!C344</f>
        <v>DOPI-MUN-RM-IH-AD-015-2018</v>
      </c>
      <c r="E657" s="13">
        <f>'[1]V, inciso o) (OP)'!V344</f>
        <v>43145</v>
      </c>
      <c r="F657" s="14" t="str">
        <f>'[1]V, inciso o) (OP)'!AA344</f>
        <v>Construcción de red de drenaje sanitario, red de agua potable e infraestructura pluvial en calle 16 de Septiembre de calle Angulo a la Av. 5 de Mayo, en San Juan de Ocotán, municipio de Zapopan, Jalisco.</v>
      </c>
      <c r="G657" s="14" t="s">
        <v>499</v>
      </c>
      <c r="H657" s="15">
        <f>'[1]V, inciso o) (OP)'!Y344</f>
        <v>1246722.68</v>
      </c>
      <c r="I657" s="14" t="s">
        <v>1200</v>
      </c>
      <c r="J657" s="14" t="str">
        <f>'[1]V, inciso o) (OP)'!M344</f>
        <v>DAVID SERGIO</v>
      </c>
      <c r="K657" s="14" t="str">
        <f>'[1]V, inciso o) (OP)'!N344</f>
        <v>DOMINGUEZ</v>
      </c>
      <c r="L657" s="14" t="str">
        <f>'[1]V, inciso o) (OP)'!O344</f>
        <v>MEZA</v>
      </c>
      <c r="M657" s="14" t="str">
        <f>'[1]V, inciso o) (OP)'!P344</f>
        <v>VALIKA CONSTRUCTORA, S.A. DE C.V.</v>
      </c>
      <c r="N657" s="14" t="str">
        <f>'[1]V, inciso o) (OP)'!Q344</f>
        <v>VCO9412201J0</v>
      </c>
      <c r="O657" s="15">
        <f t="shared" si="17"/>
        <v>1246722.68</v>
      </c>
      <c r="P657" s="15">
        <f>O657</f>
        <v>1246722.68</v>
      </c>
      <c r="Q657" s="21" t="s">
        <v>1201</v>
      </c>
      <c r="R657" s="22">
        <f>O657/97</f>
        <v>12852.811134020618</v>
      </c>
      <c r="S657" s="12" t="s">
        <v>42</v>
      </c>
      <c r="T657" s="17">
        <v>864</v>
      </c>
      <c r="U657" s="14" t="s">
        <v>43</v>
      </c>
      <c r="V657" s="12" t="s">
        <v>378</v>
      </c>
      <c r="W657" s="13">
        <f>'[1]V, inciso o) (OP)'!AD344</f>
        <v>43146</v>
      </c>
      <c r="X657" s="13">
        <f>'[1]V, inciso o) (OP)'!AE344</f>
        <v>43200</v>
      </c>
      <c r="Y657" s="12" t="s">
        <v>322</v>
      </c>
      <c r="Z657" s="12" t="s">
        <v>196</v>
      </c>
      <c r="AA657" s="12" t="s">
        <v>197</v>
      </c>
      <c r="AB657" s="8" t="s">
        <v>1856</v>
      </c>
      <c r="AC657" s="14" t="s">
        <v>48</v>
      </c>
      <c r="AD657" s="14" t="s">
        <v>1571</v>
      </c>
    </row>
    <row r="658" spans="1:30" ht="80.099999999999994" customHeight="1">
      <c r="A658" s="5">
        <v>16</v>
      </c>
      <c r="B658" s="12">
        <v>2018</v>
      </c>
      <c r="C658" s="12" t="s">
        <v>65</v>
      </c>
      <c r="D658" s="14" t="str">
        <f>'[1]V, inciso o) (OP)'!C345</f>
        <v>DOPI-MUN-RM-PAV-AD-016-2018</v>
      </c>
      <c r="E658" s="13">
        <f>'[1]V, inciso o) (OP)'!V345</f>
        <v>43153</v>
      </c>
      <c r="F658" s="14" t="str">
        <f>'[1]V, inciso o) (OP)'!AA345</f>
        <v>Pavimentación de vialidad Prolongación Guadalupe, de calle Prolongación Galindo a calle Puerto Chamela, en la colonia Miramar, incluye: red de agua potable, red de drenaje sanitario, banquetas, peatonalización, señalamiento y obras complementarias, municipio de Zapopan, Jalisco.</v>
      </c>
      <c r="G658" s="14" t="s">
        <v>499</v>
      </c>
      <c r="H658" s="15">
        <f>'[1]V, inciso o) (OP)'!Y345</f>
        <v>1721356.6</v>
      </c>
      <c r="I658" s="14" t="s">
        <v>1202</v>
      </c>
      <c r="J658" s="14" t="str">
        <f>'[1]V, inciso o) (OP)'!M345</f>
        <v>JOSÉ OMAR</v>
      </c>
      <c r="K658" s="14" t="str">
        <f>'[1]V, inciso o) (OP)'!N345</f>
        <v>FERNÁNDEZ</v>
      </c>
      <c r="L658" s="14" t="str">
        <f>'[1]V, inciso o) (OP)'!O345</f>
        <v>VÁZQUEZ</v>
      </c>
      <c r="M658" s="14" t="str">
        <f>'[1]V, inciso o) (OP)'!P345</f>
        <v>EXTRA CONSTRUCCIÓNES, S.A. DE C.V.</v>
      </c>
      <c r="N658" s="14" t="str">
        <f>'[1]V, inciso o) (OP)'!Q345</f>
        <v>ECO0908115Z7</v>
      </c>
      <c r="O658" s="15">
        <f t="shared" si="17"/>
        <v>1721356.6</v>
      </c>
      <c r="P658" s="15">
        <v>1701777.7000000002</v>
      </c>
      <c r="Q658" s="21" t="s">
        <v>115</v>
      </c>
      <c r="R658" s="22">
        <f>O658/850</f>
        <v>2025.1254117647061</v>
      </c>
      <c r="S658" s="12" t="s">
        <v>42</v>
      </c>
      <c r="T658" s="17">
        <v>635</v>
      </c>
      <c r="U658" s="14" t="s">
        <v>43</v>
      </c>
      <c r="V658" s="12" t="s">
        <v>378</v>
      </c>
      <c r="W658" s="13">
        <f>'[1]V, inciso o) (OP)'!AD345</f>
        <v>43154</v>
      </c>
      <c r="X658" s="13">
        <f>'[1]V, inciso o) (OP)'!AE345</f>
        <v>43190</v>
      </c>
      <c r="Y658" s="12" t="s">
        <v>735</v>
      </c>
      <c r="Z658" s="12" t="s">
        <v>236</v>
      </c>
      <c r="AA658" s="12" t="s">
        <v>147</v>
      </c>
      <c r="AB658" s="8" t="s">
        <v>1987</v>
      </c>
      <c r="AC658" s="14" t="s">
        <v>48</v>
      </c>
      <c r="AD658" s="14"/>
    </row>
    <row r="659" spans="1:30" ht="80.099999999999994" customHeight="1">
      <c r="A659" s="5">
        <v>17</v>
      </c>
      <c r="B659" s="12">
        <v>2018</v>
      </c>
      <c r="C659" s="12" t="s">
        <v>65</v>
      </c>
      <c r="D659" s="14" t="str">
        <f>'[1]V, inciso o) (OP)'!C346</f>
        <v>DOPI-MUN-RM-ID-AD-017-2018</v>
      </c>
      <c r="E659" s="13">
        <f>'[1]V, inciso o) (OP)'!V346</f>
        <v>43159</v>
      </c>
      <c r="F659" s="14" t="str">
        <f>'[1]V, inciso o) (OP)'!AA346</f>
        <v>Construcción de gimnasio al aire libre, incluye peatonalización, equipos, mobiliario urbano e iluminación en el camellón de la Prolongación Acueducto, entre Calzada Federalistas y Av. del Valle, en la colonia Jardines del Valle, municipio de Zapopan, Jalisco.</v>
      </c>
      <c r="G659" s="14" t="s">
        <v>499</v>
      </c>
      <c r="H659" s="15">
        <f>'[1]V, inciso o) (OP)'!Y346</f>
        <v>608405.23</v>
      </c>
      <c r="I659" s="14" t="s">
        <v>1203</v>
      </c>
      <c r="J659" s="14" t="str">
        <f>'[1]V, inciso o) (OP)'!M346</f>
        <v>JOSÉ DE JESÚS</v>
      </c>
      <c r="K659" s="14" t="str">
        <f>'[1]V, inciso o) (OP)'!N346</f>
        <v>ROMERO</v>
      </c>
      <c r="L659" s="14" t="str">
        <f>'[1]V, inciso o) (OP)'!O346</f>
        <v>GARCÍA</v>
      </c>
      <c r="M659" s="14" t="str">
        <f>'[1]V, inciso o) (OP)'!P346</f>
        <v>URBANIZADORA Y CONSTRUCTORA ROAL, S.A. DE C.V.</v>
      </c>
      <c r="N659" s="14" t="str">
        <f>'[1]V, inciso o) (OP)'!Q346</f>
        <v>URC160310857</v>
      </c>
      <c r="O659" s="15">
        <f t="shared" si="17"/>
        <v>608405.23</v>
      </c>
      <c r="P659" s="15">
        <v>313714.33</v>
      </c>
      <c r="Q659" s="21" t="s">
        <v>1204</v>
      </c>
      <c r="R659" s="22">
        <f>O659/779</f>
        <v>781.00799743260586</v>
      </c>
      <c r="S659" s="12" t="s">
        <v>42</v>
      </c>
      <c r="T659" s="17">
        <v>12630</v>
      </c>
      <c r="U659" s="14" t="s">
        <v>43</v>
      </c>
      <c r="V659" s="12" t="s">
        <v>378</v>
      </c>
      <c r="W659" s="13">
        <f>'[1]V, inciso o) (OP)'!AD346</f>
        <v>43160</v>
      </c>
      <c r="X659" s="13">
        <f>'[1]V, inciso o) (OP)'!AE346</f>
        <v>43205</v>
      </c>
      <c r="Y659" s="12" t="s">
        <v>365</v>
      </c>
      <c r="Z659" s="12" t="s">
        <v>366</v>
      </c>
      <c r="AA659" s="12" t="s">
        <v>367</v>
      </c>
      <c r="AB659" s="8" t="s">
        <v>1857</v>
      </c>
      <c r="AC659" s="14" t="s">
        <v>48</v>
      </c>
      <c r="AD659" s="14"/>
    </row>
    <row r="660" spans="1:30" ht="80.099999999999994" customHeight="1">
      <c r="A660" s="5">
        <v>18</v>
      </c>
      <c r="B660" s="12">
        <v>2018</v>
      </c>
      <c r="C660" s="12" t="s">
        <v>65</v>
      </c>
      <c r="D660" s="14" t="str">
        <f>'[1]V, inciso o) (OP)'!C347</f>
        <v>DOPI-MUN-RM-ID-AD-018-2018</v>
      </c>
      <c r="E660" s="13">
        <f>'[1]V, inciso o) (OP)'!V347</f>
        <v>43164</v>
      </c>
      <c r="F660" s="14" t="str">
        <f>'[1]V, inciso o) (OP)'!AA347</f>
        <v>Obra complementaria para la terminación de módulo de baños en el Centro Acuático y rehabilitación de baños públicos en Unidad Deportiva Francisco Villa, municipio de Zapopan, Jalisco.</v>
      </c>
      <c r="G660" s="14" t="s">
        <v>499</v>
      </c>
      <c r="H660" s="15">
        <f>'[1]V, inciso o) (OP)'!Y347</f>
        <v>1250031.24</v>
      </c>
      <c r="I660" s="14" t="s">
        <v>1205</v>
      </c>
      <c r="J660" s="14" t="str">
        <f>'[1]V, inciso o) (OP)'!M347</f>
        <v xml:space="preserve">ARTURO </v>
      </c>
      <c r="K660" s="14" t="str">
        <f>'[1]V, inciso o) (OP)'!N347</f>
        <v>DISTANCIA</v>
      </c>
      <c r="L660" s="14" t="str">
        <f>'[1]V, inciso o) (OP)'!O347</f>
        <v>SÁNCHEZ</v>
      </c>
      <c r="M660" s="14" t="str">
        <f>'[1]V, inciso o) (OP)'!P347</f>
        <v>JAVAX CONSULTORES, S.A. DE C.V.</v>
      </c>
      <c r="N660" s="14" t="str">
        <f>'[1]V, inciso o) (OP)'!Q347</f>
        <v>JCO160413SK4</v>
      </c>
      <c r="O660" s="15">
        <f t="shared" si="17"/>
        <v>1250031.24</v>
      </c>
      <c r="P660" s="15">
        <f>O660</f>
        <v>1250031.24</v>
      </c>
      <c r="Q660" s="21" t="s">
        <v>1206</v>
      </c>
      <c r="R660" s="22">
        <f>O660/175</f>
        <v>7143.0356571428574</v>
      </c>
      <c r="S660" s="12" t="s">
        <v>42</v>
      </c>
      <c r="T660" s="17">
        <v>6984</v>
      </c>
      <c r="U660" s="14" t="s">
        <v>43</v>
      </c>
      <c r="V660" s="12" t="s">
        <v>378</v>
      </c>
      <c r="W660" s="13">
        <f>'[1]V, inciso o) (OP)'!AD347</f>
        <v>43164</v>
      </c>
      <c r="X660" s="13">
        <f>'[1]V, inciso o) (OP)'!AE347</f>
        <v>43220</v>
      </c>
      <c r="Y660" s="12" t="s">
        <v>854</v>
      </c>
      <c r="Z660" s="12" t="s">
        <v>455</v>
      </c>
      <c r="AA660" s="12" t="s">
        <v>456</v>
      </c>
      <c r="AB660" s="8" t="s">
        <v>1858</v>
      </c>
      <c r="AC660" s="14" t="s">
        <v>48</v>
      </c>
      <c r="AD660" s="14" t="s">
        <v>1571</v>
      </c>
    </row>
    <row r="661" spans="1:30" ht="80.099999999999994" customHeight="1">
      <c r="A661" s="5">
        <v>19</v>
      </c>
      <c r="B661" s="12">
        <v>2018</v>
      </c>
      <c r="C661" s="12" t="s">
        <v>65</v>
      </c>
      <c r="D661" s="14" t="str">
        <f>'[1]V, inciso o) (OP)'!C348</f>
        <v>DOPI-MUN-RM-IM-AD-019-2018</v>
      </c>
      <c r="E661" s="13">
        <f>'[1]V, inciso o) (OP)'!V348</f>
        <v>43164</v>
      </c>
      <c r="F661" s="14" t="str">
        <f>'[1]V, inciso o) (OP)'!AA348</f>
        <v>Obra complementaria del centro comunitario, Centro de Emprendimiento, en la colonia Miramar, municipio de Zapopan, Jalisco.</v>
      </c>
      <c r="G661" s="14" t="s">
        <v>499</v>
      </c>
      <c r="H661" s="15">
        <f>'[1]V, inciso o) (OP)'!Y348</f>
        <v>715434.62</v>
      </c>
      <c r="I661" s="14" t="s">
        <v>1202</v>
      </c>
      <c r="J661" s="14" t="str">
        <f>'[1]V, inciso o) (OP)'!M348</f>
        <v>GUSTAVO ALEJANDRO</v>
      </c>
      <c r="K661" s="14" t="str">
        <f>'[1]V, inciso o) (OP)'!N348</f>
        <v>LEDEZMA</v>
      </c>
      <c r="L661" s="14" t="str">
        <f>'[1]V, inciso o) (OP)'!O348</f>
        <v xml:space="preserve"> CERVANTES</v>
      </c>
      <c r="M661" s="14" t="str">
        <f>'[1]V, inciso o) (OP)'!P348</f>
        <v>EDIFICACIONES Y PROYECTOS ROCA, S.A. DE C.V.</v>
      </c>
      <c r="N661" s="14" t="str">
        <f>'[1]V, inciso o) (OP)'!Q348</f>
        <v>EPR131016I71</v>
      </c>
      <c r="O661" s="15">
        <f t="shared" si="17"/>
        <v>715434.62</v>
      </c>
      <c r="P661" s="15">
        <f>O661</f>
        <v>715434.62</v>
      </c>
      <c r="Q661" s="21" t="s">
        <v>1207</v>
      </c>
      <c r="R661" s="22">
        <f>O661/700</f>
        <v>1022.0494571428571</v>
      </c>
      <c r="S661" s="12" t="s">
        <v>42</v>
      </c>
      <c r="T661" s="17">
        <v>15236</v>
      </c>
      <c r="U661" s="14" t="s">
        <v>43</v>
      </c>
      <c r="V661" s="12" t="s">
        <v>378</v>
      </c>
      <c r="W661" s="13">
        <f>'[1]V, inciso o) (OP)'!AD348</f>
        <v>43164</v>
      </c>
      <c r="X661" s="13">
        <f>'[1]V, inciso o) (OP)'!AE348</f>
        <v>43205</v>
      </c>
      <c r="Y661" s="12" t="s">
        <v>854</v>
      </c>
      <c r="Z661" s="12" t="s">
        <v>455</v>
      </c>
      <c r="AA661" s="12" t="s">
        <v>456</v>
      </c>
      <c r="AB661" s="8" t="s">
        <v>1859</v>
      </c>
      <c r="AC661" s="14" t="s">
        <v>48</v>
      </c>
      <c r="AD661" s="14" t="s">
        <v>1571</v>
      </c>
    </row>
    <row r="662" spans="1:30" ht="80.099999999999994" customHeight="1">
      <c r="A662" s="5">
        <v>20</v>
      </c>
      <c r="B662" s="12">
        <v>2018</v>
      </c>
      <c r="C662" s="12" t="s">
        <v>65</v>
      </c>
      <c r="D662" s="14" t="str">
        <f>'[1]V, inciso o) (OP)'!C349</f>
        <v>DOPI-MUN-RM-IM-AD-020-2018</v>
      </c>
      <c r="E662" s="13">
        <f>'[1]V, inciso o) (OP)'!V349</f>
        <v>43171</v>
      </c>
      <c r="F662" s="14" t="str">
        <f>'[1]V, inciso o) (OP)'!AA349</f>
        <v>Construcción de Parkour y estacionamiento en la Unidad Santa Margarita, municipio de Zapopan, Jalisco.</v>
      </c>
      <c r="G662" s="14" t="s">
        <v>499</v>
      </c>
      <c r="H662" s="15">
        <f>'[1]V, inciso o) (OP)'!Y349</f>
        <v>1236680.3400000001</v>
      </c>
      <c r="I662" s="14" t="s">
        <v>621</v>
      </c>
      <c r="J662" s="14" t="str">
        <f>'[1]V, inciso o) (OP)'!M349</f>
        <v xml:space="preserve">MARCO ANTONIO </v>
      </c>
      <c r="K662" s="14" t="str">
        <f>'[1]V, inciso o) (OP)'!N349</f>
        <v>LOZANO</v>
      </c>
      <c r="L662" s="14" t="str">
        <f>'[1]V, inciso o) (OP)'!O349</f>
        <v>ESTRADA</v>
      </c>
      <c r="M662" s="14" t="str">
        <f>'[1]V, inciso o) (OP)'!P349</f>
        <v>DESARROLLADORA FULHAM S. DE R.L. DE C.V.</v>
      </c>
      <c r="N662" s="14" t="str">
        <f>'[1]V, inciso o) (OP)'!Q349</f>
        <v>DFU090928JB5</v>
      </c>
      <c r="O662" s="15">
        <f t="shared" si="17"/>
        <v>1236680.3400000001</v>
      </c>
      <c r="P662" s="15">
        <f>O662</f>
        <v>1236680.3400000001</v>
      </c>
      <c r="Q662" s="21" t="s">
        <v>1208</v>
      </c>
      <c r="R662" s="22">
        <f>O662/550</f>
        <v>2248.5097090909094</v>
      </c>
      <c r="S662" s="12" t="s">
        <v>42</v>
      </c>
      <c r="T662" s="17">
        <v>3204</v>
      </c>
      <c r="U662" s="14" t="s">
        <v>43</v>
      </c>
      <c r="V662" s="12" t="s">
        <v>378</v>
      </c>
      <c r="W662" s="13">
        <f>'[1]V, inciso o) (OP)'!AD349</f>
        <v>43171</v>
      </c>
      <c r="X662" s="13">
        <f>'[1]V, inciso o) (OP)'!AE349</f>
        <v>43220</v>
      </c>
      <c r="Y662" s="12" t="s">
        <v>615</v>
      </c>
      <c r="Z662" s="12" t="s">
        <v>616</v>
      </c>
      <c r="AA662" s="12" t="s">
        <v>617</v>
      </c>
      <c r="AB662" s="8" t="s">
        <v>1988</v>
      </c>
      <c r="AC662" s="14" t="s">
        <v>48</v>
      </c>
      <c r="AD662" s="14" t="s">
        <v>1571</v>
      </c>
    </row>
    <row r="663" spans="1:30" ht="80.099999999999994" customHeight="1">
      <c r="A663" s="5">
        <v>21</v>
      </c>
      <c r="B663" s="12">
        <v>2018</v>
      </c>
      <c r="C663" s="12" t="s">
        <v>65</v>
      </c>
      <c r="D663" s="14" t="str">
        <f>'[1]V, inciso o) (OP)'!C350</f>
        <v>DOPI-MUN-RM-IE-AD-021-2018</v>
      </c>
      <c r="E663" s="13">
        <f>'[1]V, inciso o) (OP)'!V350</f>
        <v>43164</v>
      </c>
      <c r="F663" s="14" t="str">
        <f>'[1]V, inciso o) (OP)'!AA350</f>
        <v>Reforzamiento complementario de estructuras de protección de rayos ultravioleta en los planteles educativos: Secundaria José Antonio Torres (14DE50017T) y Carlos González Peña (14EPR1341C), municipio de Zapopan, Jalisco.</v>
      </c>
      <c r="G663" s="14" t="s">
        <v>499</v>
      </c>
      <c r="H663" s="15">
        <f>'[1]V, inciso o) (OP)'!Y350</f>
        <v>1091791.78</v>
      </c>
      <c r="I663" s="14" t="s">
        <v>1209</v>
      </c>
      <c r="J663" s="14" t="str">
        <f>'[1]V, inciso o) (OP)'!M350</f>
        <v>ARTURO RAFAEL</v>
      </c>
      <c r="K663" s="14" t="str">
        <f>'[1]V, inciso o) (OP)'!N350</f>
        <v>SALAZAR</v>
      </c>
      <c r="L663" s="14" t="str">
        <f>'[1]V, inciso o) (OP)'!O350</f>
        <v>MARTÍN DEL CAMPO</v>
      </c>
      <c r="M663" s="14" t="str">
        <f>'[1]V, inciso o) (OP)'!P350</f>
        <v>KALMANI CONSTRUCTORA, S.A. DE C.V.</v>
      </c>
      <c r="N663" s="14" t="str">
        <f>'[1]V, inciso o) (OP)'!Q350</f>
        <v>KCO030922UM6</v>
      </c>
      <c r="O663" s="15">
        <f t="shared" si="17"/>
        <v>1091791.78</v>
      </c>
      <c r="P663" s="15">
        <v>695800.49</v>
      </c>
      <c r="Q663" s="21" t="s">
        <v>610</v>
      </c>
      <c r="R663" s="22">
        <f>O663/1035</f>
        <v>1054.8712850241545</v>
      </c>
      <c r="S663" s="12" t="s">
        <v>42</v>
      </c>
      <c r="T663" s="17">
        <v>1052</v>
      </c>
      <c r="U663" s="14" t="s">
        <v>43</v>
      </c>
      <c r="V663" s="12" t="s">
        <v>378</v>
      </c>
      <c r="W663" s="13">
        <f>'[1]V, inciso o) (OP)'!AD350</f>
        <v>43164</v>
      </c>
      <c r="X663" s="13">
        <f>'[1]V, inciso o) (OP)'!AE350</f>
        <v>43220</v>
      </c>
      <c r="Y663" s="12" t="s">
        <v>436</v>
      </c>
      <c r="Z663" s="12" t="s">
        <v>295</v>
      </c>
      <c r="AA663" s="12" t="s">
        <v>76</v>
      </c>
      <c r="AB663" s="8" t="s">
        <v>1860</v>
      </c>
      <c r="AC663" s="14" t="s">
        <v>48</v>
      </c>
      <c r="AD663" s="14"/>
    </row>
    <row r="664" spans="1:30" ht="80.099999999999994" customHeight="1">
      <c r="A664" s="5">
        <v>22</v>
      </c>
      <c r="B664" s="12">
        <v>2018</v>
      </c>
      <c r="C664" s="14" t="str">
        <f>'[1]V, inciso p) (OP)'!B320</f>
        <v>Licitación Pública</v>
      </c>
      <c r="D664" s="14" t="str">
        <f>'[1]V, inciso p) (OP)'!D320</f>
        <v>DOPI-MUN-RM-ID-LP-022-2018</v>
      </c>
      <c r="E664" s="13">
        <f>'[1]V, inciso p) (OP)'!AD320</f>
        <v>43245</v>
      </c>
      <c r="F664" s="14" t="str">
        <f>'[1]V, inciso p) (OP)'!AL320</f>
        <v>Rehabilitación de la Unidad Deportiva Pádel, primera etapa (rehabilitación de 4 canchas de pádel, rehabilitación de salón de usos múltiples, rehabilitación de cancha de usos múltiples, aparatos de gimnasio al aire libre, ingreso principal, rehabilitación de baños, juegos Infantiles), municipio de Zapopan, Jalisco.</v>
      </c>
      <c r="G664" s="14" t="str">
        <f>'[1]V, inciso p) (OP)'!AR320</f>
        <v>Recurso Propio</v>
      </c>
      <c r="H664" s="15">
        <f>'[1]V, inciso p) (OP)'!AJ320</f>
        <v>4955639.1399999997</v>
      </c>
      <c r="I664" s="14" t="str">
        <f>'[1]V, inciso p) (OP)'!AS320</f>
        <v>Colonia Arcos de Guadalupe</v>
      </c>
      <c r="J664" s="14" t="str">
        <f>'[1]V, inciso p) (OP)'!T320</f>
        <v>JOSÉ ANTONIO</v>
      </c>
      <c r="K664" s="14" t="str">
        <f>'[1]V, inciso p) (OP)'!U320</f>
        <v>CISNEROS</v>
      </c>
      <c r="L664" s="14" t="str">
        <f>'[1]V, inciso p) (OP)'!V320</f>
        <v>CASTILLO</v>
      </c>
      <c r="M664" s="14" t="str">
        <f>'[1]V, inciso p) (OP)'!W320</f>
        <v>AXIOMA PROYECTOS E INGENIERIA, S.A. DE C.V.</v>
      </c>
      <c r="N664" s="14" t="str">
        <f>'[1]V, inciso p) (OP)'!X320</f>
        <v>APE111122MI0</v>
      </c>
      <c r="O664" s="15">
        <f t="shared" si="17"/>
        <v>4955639.1399999997</v>
      </c>
      <c r="P664" s="15">
        <f t="shared" ref="P664:P695" si="19">O664</f>
        <v>4955639.1399999997</v>
      </c>
      <c r="Q664" s="23" t="s">
        <v>1210</v>
      </c>
      <c r="R664" s="22">
        <f>O664/1605</f>
        <v>3087.6256323987536</v>
      </c>
      <c r="S664" s="12" t="s">
        <v>42</v>
      </c>
      <c r="T664" s="17">
        <v>6304</v>
      </c>
      <c r="U664" s="14" t="s">
        <v>43</v>
      </c>
      <c r="V664" s="12" t="s">
        <v>378</v>
      </c>
      <c r="W664" s="13">
        <f>'[1]V, inciso p) (OP)'!AM320</f>
        <v>43245</v>
      </c>
      <c r="X664" s="13">
        <f>'[1]V, inciso p) (OP)'!AN320</f>
        <v>43334</v>
      </c>
      <c r="Y664" s="12" t="s">
        <v>794</v>
      </c>
      <c r="Z664" s="12" t="s">
        <v>992</v>
      </c>
      <c r="AA664" s="12" t="s">
        <v>164</v>
      </c>
      <c r="AB664" s="8" t="s">
        <v>1775</v>
      </c>
      <c r="AC664" s="14" t="s">
        <v>48</v>
      </c>
      <c r="AD664" s="14" t="s">
        <v>1571</v>
      </c>
    </row>
    <row r="665" spans="1:30" ht="80.099999999999994" customHeight="1">
      <c r="A665" s="5">
        <v>23</v>
      </c>
      <c r="B665" s="12">
        <v>2018</v>
      </c>
      <c r="C665" s="14" t="str">
        <f>'[1]V, inciso p) (OP)'!B321</f>
        <v>Licitación Pública</v>
      </c>
      <c r="D665" s="14" t="str">
        <f>'[1]V, inciso p) (OP)'!D321</f>
        <v>DOPI-MUN-RM-ID-LP-023-2018</v>
      </c>
      <c r="E665" s="13">
        <f>'[1]V, inciso p) (OP)'!AD321</f>
        <v>43245</v>
      </c>
      <c r="F665" s="14" t="str">
        <f>'[1]V, inciso p) (OP)'!AL321</f>
        <v>Rehabilitación de la Unidad Deportiva Moctezuma Residencial, primera etapa (pista de trote, rehabilitación de cancha de usos múltiples, rehabilitación de cancha de futbol, alumbrado, andadores, ingreso principal y cercado perimetral), municipio de Zapopan, Jalisco.</v>
      </c>
      <c r="G665" s="14" t="str">
        <f>'[1]V, inciso p) (OP)'!AR321</f>
        <v>Recurso Propio</v>
      </c>
      <c r="H665" s="15">
        <f>'[1]V, inciso p) (OP)'!AJ321</f>
        <v>7136158.7800000003</v>
      </c>
      <c r="I665" s="14" t="str">
        <f>'[1]V, inciso p) (OP)'!AS321</f>
        <v>Colonia Moctezuma Residencial</v>
      </c>
      <c r="J665" s="14" t="str">
        <f>'[1]V, inciso p) (OP)'!T321</f>
        <v xml:space="preserve">EDUARDO </v>
      </c>
      <c r="K665" s="14" t="str">
        <f>'[1]V, inciso p) (OP)'!U321</f>
        <v>MERCADO</v>
      </c>
      <c r="L665" s="14" t="str">
        <f>'[1]V, inciso p) (OP)'!V321</f>
        <v>VÁZQUEZ</v>
      </c>
      <c r="M665" s="14" t="str">
        <f>'[1]V, inciso p) (OP)'!W321</f>
        <v>ANITSUJ, S.A. DE C.V.</v>
      </c>
      <c r="N665" s="14" t="str">
        <f>'[1]V, inciso p) (OP)'!X321</f>
        <v>ANI1102217W2</v>
      </c>
      <c r="O665" s="15">
        <f t="shared" si="17"/>
        <v>7136158.7800000003</v>
      </c>
      <c r="P665" s="15">
        <f t="shared" si="19"/>
        <v>7136158.7800000003</v>
      </c>
      <c r="Q665" s="23" t="s">
        <v>1211</v>
      </c>
      <c r="R665" s="22">
        <f>O665/22834</f>
        <v>312.52337654375054</v>
      </c>
      <c r="S665" s="12" t="s">
        <v>42</v>
      </c>
      <c r="T665" s="17">
        <v>6028</v>
      </c>
      <c r="U665" s="14" t="s">
        <v>43</v>
      </c>
      <c r="V665" s="12" t="s">
        <v>378</v>
      </c>
      <c r="W665" s="13">
        <f>'[1]V, inciso p) (OP)'!AM321</f>
        <v>43245</v>
      </c>
      <c r="X665" s="13">
        <f>'[1]V, inciso p) (OP)'!AN321</f>
        <v>43334</v>
      </c>
      <c r="Y665" s="12" t="s">
        <v>794</v>
      </c>
      <c r="Z665" s="12" t="s">
        <v>992</v>
      </c>
      <c r="AA665" s="12" t="s">
        <v>164</v>
      </c>
      <c r="AB665" s="8" t="s">
        <v>1776</v>
      </c>
      <c r="AC665" s="14" t="s">
        <v>48</v>
      </c>
      <c r="AD665" s="14" t="s">
        <v>1571</v>
      </c>
    </row>
    <row r="666" spans="1:30" ht="80.099999999999994" customHeight="1">
      <c r="A666" s="5">
        <v>24</v>
      </c>
      <c r="B666" s="12">
        <v>2018</v>
      </c>
      <c r="C666" s="14" t="str">
        <f>'[1]V, inciso p) (OP)'!B322</f>
        <v>Licitación Pública</v>
      </c>
      <c r="D666" s="14" t="str">
        <f>'[1]V, inciso p) (OP)'!D322</f>
        <v>DOPI-MUN-RM-PAV-LP-024-2018</v>
      </c>
      <c r="E666" s="13">
        <f>'[1]V, inciso p) (OP)'!AD322</f>
        <v>43245</v>
      </c>
      <c r="F666" s="14" t="str">
        <f>'[1]V, inciso p) (OP)'!AL322</f>
        <v>Pavimentación con concreto hidráulico de la Av. Romanos segunda etapa, incluye agua potable, drenaje, guarniciones, banquetas, servicios complementarios y señalética, en la colonia Altamira, municipio de Zapopan, Jalisco.</v>
      </c>
      <c r="G666" s="14" t="str">
        <f>'[1]V, inciso p) (OP)'!AR322</f>
        <v>Recurso Propio</v>
      </c>
      <c r="H666" s="15">
        <f>'[1]V, inciso p) (OP)'!AJ322</f>
        <v>5801401.4000000004</v>
      </c>
      <c r="I666" s="14" t="str">
        <f>'[1]V, inciso p) (OP)'!AS322</f>
        <v>Colonia Altamira</v>
      </c>
      <c r="J666" s="14" t="str">
        <f>'[1]V, inciso p) (OP)'!T322</f>
        <v>JESÚS DAVID</v>
      </c>
      <c r="K666" s="14" t="str">
        <f>'[1]V, inciso p) (OP)'!U322</f>
        <v xml:space="preserve">GARZA </v>
      </c>
      <c r="L666" s="14" t="str">
        <f>'[1]V, inciso p) (OP)'!V322</f>
        <v>GARCÍA</v>
      </c>
      <c r="M666" s="14" t="str">
        <f>'[1]V, inciso p) (OP)'!W322</f>
        <v>CONSTRUCCIÓNES  ELECTRIFICACIONES Y ARRENDAMIENTO DE MAQUINARIA S.A. DE C.V.</v>
      </c>
      <c r="N666" s="14" t="str">
        <f>'[1]V, inciso p) (OP)'!X322</f>
        <v>CEA010615GT0</v>
      </c>
      <c r="O666" s="15">
        <f t="shared" si="17"/>
        <v>5801401.4000000004</v>
      </c>
      <c r="P666" s="15">
        <f t="shared" si="19"/>
        <v>5801401.4000000004</v>
      </c>
      <c r="Q666" s="23" t="s">
        <v>1212</v>
      </c>
      <c r="R666" s="22">
        <f>O666/3838</f>
        <v>1511.5688900468995</v>
      </c>
      <c r="S666" s="12" t="s">
        <v>42</v>
      </c>
      <c r="T666" s="17">
        <v>1638</v>
      </c>
      <c r="U666" s="14" t="s">
        <v>43</v>
      </c>
      <c r="V666" s="12" t="s">
        <v>378</v>
      </c>
      <c r="W666" s="13">
        <f>'[1]V, inciso p) (OP)'!AM322</f>
        <v>43245</v>
      </c>
      <c r="X666" s="13">
        <f>'[1]V, inciso p) (OP)'!AN322</f>
        <v>43344</v>
      </c>
      <c r="Y666" s="12" t="s">
        <v>830</v>
      </c>
      <c r="Z666" s="12" t="s">
        <v>831</v>
      </c>
      <c r="AA666" s="12" t="s">
        <v>134</v>
      </c>
      <c r="AB666" s="8" t="s">
        <v>1777</v>
      </c>
      <c r="AC666" s="14" t="s">
        <v>48</v>
      </c>
      <c r="AD666" s="14" t="s">
        <v>1571</v>
      </c>
    </row>
    <row r="667" spans="1:30" ht="80.099999999999994" customHeight="1">
      <c r="A667" s="5">
        <v>25</v>
      </c>
      <c r="B667" s="12">
        <v>2018</v>
      </c>
      <c r="C667" s="14" t="str">
        <f>'[1]V, inciso p) (OP)'!B323</f>
        <v>Licitación Pública</v>
      </c>
      <c r="D667" s="14" t="str">
        <f>'[1]V, inciso p) (OP)'!D323</f>
        <v>DOPI-MUN-RM-PAV-LP-025-2018</v>
      </c>
      <c r="E667" s="13">
        <f>'[1]V, inciso p) (OP)'!AD323</f>
        <v>43245</v>
      </c>
      <c r="F667" s="14" t="str">
        <f>'[1]V, inciso p) (OP)'!AL323</f>
        <v>Construcción de la Lateral Oriente sobre Periférico Poniente, de calle San Juan a Av. Central, en la colonia Ciudad Granja, segunda etapa etapa, municipio de Zapopan, Jalisco.</v>
      </c>
      <c r="G667" s="14" t="str">
        <f>'[1]V, inciso p) (OP)'!AR323</f>
        <v>Recurso Propio</v>
      </c>
      <c r="H667" s="15">
        <f>'[1]V, inciso p) (OP)'!AJ323</f>
        <v>10516445.810000001</v>
      </c>
      <c r="I667" s="14" t="str">
        <f>'[1]V, inciso p) (OP)'!AS323</f>
        <v>Colonia Ciudad Granja</v>
      </c>
      <c r="J667" s="14" t="str">
        <f>'[1]V, inciso p) (OP)'!T323</f>
        <v>VICTOR MANUEL</v>
      </c>
      <c r="K667" s="14" t="str">
        <f>'[1]V, inciso p) (OP)'!U323</f>
        <v>JAUREGUI</v>
      </c>
      <c r="L667" s="14" t="str">
        <f>'[1]V, inciso p) (OP)'!V323</f>
        <v>TORRES</v>
      </c>
      <c r="M667" s="14" t="str">
        <f>'[1]V, inciso p) (OP)'!W323</f>
        <v>CONSTRUCTORA ERLORT Y ASOCIADOS, S.A. DE C.V.</v>
      </c>
      <c r="N667" s="14" t="str">
        <f>'[1]V, inciso p) (OP)'!X323</f>
        <v>CEA070208SB1</v>
      </c>
      <c r="O667" s="15">
        <f t="shared" si="17"/>
        <v>10516445.810000001</v>
      </c>
      <c r="P667" s="15">
        <f t="shared" si="19"/>
        <v>10516445.810000001</v>
      </c>
      <c r="Q667" s="23" t="s">
        <v>1213</v>
      </c>
      <c r="R667" s="22">
        <f>O667/2100</f>
        <v>5007.8313380952386</v>
      </c>
      <c r="S667" s="12" t="s">
        <v>42</v>
      </c>
      <c r="T667" s="17">
        <v>687426</v>
      </c>
      <c r="U667" s="14" t="s">
        <v>43</v>
      </c>
      <c r="V667" s="12" t="s">
        <v>378</v>
      </c>
      <c r="W667" s="13">
        <f>'[1]V, inciso p) (OP)'!AM323</f>
        <v>43245</v>
      </c>
      <c r="X667" s="13">
        <f>'[1]V, inciso p) (OP)'!AN323</f>
        <v>43344</v>
      </c>
      <c r="Y667" s="12" t="s">
        <v>385</v>
      </c>
      <c r="Z667" s="12" t="s">
        <v>637</v>
      </c>
      <c r="AA667" s="12" t="s">
        <v>1214</v>
      </c>
      <c r="AB667" s="8" t="s">
        <v>1778</v>
      </c>
      <c r="AC667" s="14" t="s">
        <v>48</v>
      </c>
      <c r="AD667" s="14" t="s">
        <v>1571</v>
      </c>
    </row>
    <row r="668" spans="1:30" ht="80.099999999999994" customHeight="1">
      <c r="A668" s="5">
        <v>26</v>
      </c>
      <c r="B668" s="12">
        <v>2018</v>
      </c>
      <c r="C668" s="14" t="str">
        <f>'[1]V, inciso p) (OP)'!B324</f>
        <v>Licitación Pública</v>
      </c>
      <c r="D668" s="14" t="str">
        <f>'[1]V, inciso p) (OP)'!D324</f>
        <v>DOPI-MUN-RM-IH-LP-026-2018</v>
      </c>
      <c r="E668" s="13">
        <f>'[1]V, inciso p) (OP)'!AD324</f>
        <v>43245</v>
      </c>
      <c r="F668" s="14" t="str">
        <f>'[1]V, inciso p) (OP)'!AL324</f>
        <v>Construcción de solución pluvial en la salida del fraccionamiento Bugambilias, sobre la Av. López Mateos Sur, municipio de Zapopan, Jalisco.</v>
      </c>
      <c r="G668" s="14" t="str">
        <f>'[1]V, inciso p) (OP)'!AR324</f>
        <v>Recurso Propio</v>
      </c>
      <c r="H668" s="15">
        <f>'[1]V, inciso p) (OP)'!AJ324</f>
        <v>2211787.67</v>
      </c>
      <c r="I668" s="14" t="str">
        <f>'[1]V, inciso p) (OP)'!AS324</f>
        <v>Colonia Bugambilias</v>
      </c>
      <c r="J668" s="14" t="str">
        <f>'[1]V, inciso p) (OP)'!T324</f>
        <v>PAOLA ALEJANDRA</v>
      </c>
      <c r="K668" s="14" t="str">
        <f>'[1]V, inciso p) (OP)'!U324</f>
        <v>DIAZ</v>
      </c>
      <c r="L668" s="14" t="str">
        <f>'[1]V, inciso p) (OP)'!V324</f>
        <v>RUIZ</v>
      </c>
      <c r="M668" s="14" t="str">
        <f>'[1]V, inciso p) (OP)'!W324</f>
        <v>OBRAS CIVILES ACUARIO, S.A. DE C.V.</v>
      </c>
      <c r="N668" s="14" t="str">
        <f>'[1]V, inciso p) (OP)'!X324</f>
        <v>OCA080707FG8</v>
      </c>
      <c r="O668" s="15">
        <f t="shared" si="17"/>
        <v>2211787.67</v>
      </c>
      <c r="P668" s="15">
        <f t="shared" si="19"/>
        <v>2211787.67</v>
      </c>
      <c r="Q668" s="23" t="s">
        <v>1215</v>
      </c>
      <c r="R668" s="22">
        <f>O668/38.9</f>
        <v>56858.294858611822</v>
      </c>
      <c r="S668" s="12" t="s">
        <v>42</v>
      </c>
      <c r="T668" s="17">
        <v>652</v>
      </c>
      <c r="U668" s="14" t="s">
        <v>43</v>
      </c>
      <c r="V668" s="12" t="s">
        <v>378</v>
      </c>
      <c r="W668" s="13">
        <f>'[1]V, inciso p) (OP)'!AM324</f>
        <v>43245</v>
      </c>
      <c r="X668" s="13">
        <f>'[1]V, inciso p) (OP)'!AN324</f>
        <v>43334</v>
      </c>
      <c r="Y668" s="12" t="s">
        <v>735</v>
      </c>
      <c r="Z668" s="12" t="s">
        <v>236</v>
      </c>
      <c r="AA668" s="12" t="s">
        <v>147</v>
      </c>
      <c r="AB668" s="8" t="s">
        <v>1779</v>
      </c>
      <c r="AC668" s="14" t="s">
        <v>48</v>
      </c>
      <c r="AD668" s="14" t="s">
        <v>1571</v>
      </c>
    </row>
    <row r="669" spans="1:30" ht="80.099999999999994" customHeight="1">
      <c r="A669" s="5">
        <v>27</v>
      </c>
      <c r="B669" s="12">
        <v>2018</v>
      </c>
      <c r="C669" s="14" t="str">
        <f>'[1]V, inciso p) (OP)'!B325</f>
        <v>Licitación Pública</v>
      </c>
      <c r="D669" s="14" t="str">
        <f>'[1]V, inciso p) (OP)'!D325</f>
        <v>DOPI-MUN-RM-PAV-LP-027-2018</v>
      </c>
      <c r="E669" s="13">
        <f>'[1]V, inciso p) (OP)'!AD325</f>
        <v>43245</v>
      </c>
      <c r="F669" s="14" t="str">
        <f>'[1]V, inciso p) (OP)'!AL325</f>
        <v>Pavimentación con concreto hidráulico de calle Ignacio Zaragoza, de calle Vicente Guerrero a calle Justo Sierra, incluye agua potable, drenaje, guarniciones, banquetas, alumbrado y señalética, en la colonia Agua Blanca Industrial, Municipio de Zapopan, Jalisco, segunda etapa.</v>
      </c>
      <c r="G669" s="14" t="str">
        <f>'[1]V, inciso p) (OP)'!AR325</f>
        <v>Recurso Propio</v>
      </c>
      <c r="H669" s="15">
        <f>'[1]V, inciso p) (OP)'!AJ325</f>
        <v>2478487.17</v>
      </c>
      <c r="I669" s="14" t="str">
        <f>'[1]V, inciso p) (OP)'!AS325</f>
        <v>Colonia Agua Blanca Industrial</v>
      </c>
      <c r="J669" s="14" t="str">
        <f>'[1]V, inciso p) (OP)'!T325</f>
        <v>ERICK</v>
      </c>
      <c r="K669" s="14" t="str">
        <f>'[1]V, inciso p) (OP)'!U325</f>
        <v>VILLASEÑOR</v>
      </c>
      <c r="L669" s="14" t="str">
        <f>'[1]V, inciso p) (OP)'!V325</f>
        <v>GUTIÉRREZ</v>
      </c>
      <c r="M669" s="14" t="str">
        <f>'[1]V, inciso p) (OP)'!W325</f>
        <v>PIXIDE CONSTRUCTORA, S.A. DE C.V.</v>
      </c>
      <c r="N669" s="14" t="str">
        <f>'[1]V, inciso p) (OP)'!X325</f>
        <v>PCO140829425</v>
      </c>
      <c r="O669" s="15">
        <f t="shared" si="17"/>
        <v>2478487.17</v>
      </c>
      <c r="P669" s="15">
        <f t="shared" si="19"/>
        <v>2478487.17</v>
      </c>
      <c r="Q669" s="23" t="s">
        <v>1216</v>
      </c>
      <c r="R669" s="22">
        <f>O669/1413</f>
        <v>1754.0602760084926</v>
      </c>
      <c r="S669" s="12" t="s">
        <v>42</v>
      </c>
      <c r="T669" s="17">
        <v>401</v>
      </c>
      <c r="U669" s="14" t="s">
        <v>43</v>
      </c>
      <c r="V669" s="12" t="s">
        <v>378</v>
      </c>
      <c r="W669" s="13">
        <f>'[1]V, inciso p) (OP)'!AM325</f>
        <v>43245</v>
      </c>
      <c r="X669" s="13">
        <f>'[1]V, inciso p) (OP)'!AN325</f>
        <v>43319</v>
      </c>
      <c r="Y669" s="12" t="s">
        <v>418</v>
      </c>
      <c r="Z669" s="12" t="s">
        <v>419</v>
      </c>
      <c r="AA669" s="12" t="s">
        <v>420</v>
      </c>
      <c r="AB669" s="8" t="s">
        <v>1780</v>
      </c>
      <c r="AC669" s="14" t="s">
        <v>48</v>
      </c>
      <c r="AD669" s="14" t="s">
        <v>1571</v>
      </c>
    </row>
    <row r="670" spans="1:30" ht="80.099999999999994" customHeight="1">
      <c r="A670" s="5">
        <v>28</v>
      </c>
      <c r="B670" s="12">
        <v>2018</v>
      </c>
      <c r="C670" s="14" t="str">
        <f>'[1]V, inciso p) (OP)'!B326</f>
        <v>Licitación Pública</v>
      </c>
      <c r="D670" s="14" t="str">
        <f>'[1]V, inciso p) (OP)'!D326</f>
        <v>DOPI-MUN-RM-PAV-LP-028-2018</v>
      </c>
      <c r="E670" s="13">
        <f>'[1]V, inciso p) (OP)'!AD326</f>
        <v>43245</v>
      </c>
      <c r="F670" s="14" t="str">
        <f>'[1]V, inciso p) (OP)'!AL326</f>
        <v>Pavimentación con concreto hidráulico de calle Francisco I. Madero, de calle Vicente Guerrero a calle Justo Sierra, incluye agua potable, drenaje, guarniciones, banquetas, alumbrado y señalética, en la colonia Agua Blanca Industrial, Municipio de Zapopan, Jalisco, primera etapa.</v>
      </c>
      <c r="G670" s="14" t="str">
        <f>'[1]V, inciso p) (OP)'!AR326</f>
        <v>Recurso Propio</v>
      </c>
      <c r="H670" s="15">
        <f>'[1]V, inciso p) (OP)'!AJ326</f>
        <v>1852180.07</v>
      </c>
      <c r="I670" s="14" t="str">
        <f>'[1]V, inciso p) (OP)'!AS326</f>
        <v>Colonia Agua Blanca Industrial</v>
      </c>
      <c r="J670" s="14" t="str">
        <f>'[1]V, inciso p) (OP)'!T326</f>
        <v>SERGIO CESAR</v>
      </c>
      <c r="K670" s="14" t="str">
        <f>'[1]V, inciso p) (OP)'!U326</f>
        <v>DÍAZ</v>
      </c>
      <c r="L670" s="14" t="str">
        <f>'[1]V, inciso p) (OP)'!V326</f>
        <v>QUIROZ</v>
      </c>
      <c r="M670" s="14" t="str">
        <f>'[1]V, inciso p) (OP)'!W326</f>
        <v>GRUPO UNICRETO DE MÉXICO S.A. DE C.V.</v>
      </c>
      <c r="N670" s="14" t="str">
        <f>'[1]V, inciso p) (OP)'!X326</f>
        <v>GUM111201IA5</v>
      </c>
      <c r="O670" s="15">
        <f t="shared" si="17"/>
        <v>1852180.07</v>
      </c>
      <c r="P670" s="15">
        <f t="shared" si="19"/>
        <v>1852180.07</v>
      </c>
      <c r="Q670" s="23" t="s">
        <v>1217</v>
      </c>
      <c r="R670" s="22">
        <f>O670/965</f>
        <v>1919.3575854922281</v>
      </c>
      <c r="S670" s="12" t="s">
        <v>42</v>
      </c>
      <c r="T670" s="17">
        <v>206</v>
      </c>
      <c r="U670" s="14" t="s">
        <v>43</v>
      </c>
      <c r="V670" s="12" t="s">
        <v>378</v>
      </c>
      <c r="W670" s="13">
        <f>'[1]V, inciso p) (OP)'!AM326</f>
        <v>43245</v>
      </c>
      <c r="X670" s="13">
        <f>'[1]V, inciso p) (OP)'!AN326</f>
        <v>43319</v>
      </c>
      <c r="Y670" s="12" t="s">
        <v>418</v>
      </c>
      <c r="Z670" s="12" t="s">
        <v>419</v>
      </c>
      <c r="AA670" s="12" t="s">
        <v>420</v>
      </c>
      <c r="AB670" s="8" t="s">
        <v>1781</v>
      </c>
      <c r="AC670" s="14" t="s">
        <v>48</v>
      </c>
      <c r="AD670" s="14" t="s">
        <v>1571</v>
      </c>
    </row>
    <row r="671" spans="1:30" ht="80.099999999999994" customHeight="1">
      <c r="A671" s="5">
        <v>29</v>
      </c>
      <c r="B671" s="12">
        <v>2018</v>
      </c>
      <c r="C671" s="14" t="str">
        <f>'[1]V, inciso p) (OP)'!B327</f>
        <v>Licitación Pública</v>
      </c>
      <c r="D671" s="14" t="str">
        <f>'[1]V, inciso p) (OP)'!D327</f>
        <v>DOPI-MUN-R33-ELE-LP-029-2018</v>
      </c>
      <c r="E671" s="13">
        <f>'[1]V, inciso p) (OP)'!AD327</f>
        <v>43245</v>
      </c>
      <c r="F671" s="14" t="str">
        <f>'[1]V, inciso p) (OP)'!AL327</f>
        <v>Complemento de electrificación y alumbrado público en la colonia Jardines del Vergel 1ra Sección, municipio de Zapopan, Jalisco.</v>
      </c>
      <c r="G671" s="14" t="str">
        <f>'[1]V, inciso p) (OP)'!AR327</f>
        <v>Fondo para la Infraestructura Social Municipal 2018</v>
      </c>
      <c r="H671" s="15">
        <f>'[1]V, inciso p) (OP)'!AJ327</f>
        <v>1749224.76</v>
      </c>
      <c r="I671" s="14" t="str">
        <f>'[1]V, inciso p) (OP)'!AS327</f>
        <v>Colonia Jardines del Vergen 1ra sección</v>
      </c>
      <c r="J671" s="14" t="str">
        <f>'[1]V, inciso p) (OP)'!T327</f>
        <v>DARIO</v>
      </c>
      <c r="K671" s="14" t="str">
        <f>'[1]V, inciso p) (OP)'!U327</f>
        <v>HURTADO</v>
      </c>
      <c r="L671" s="14" t="str">
        <f>'[1]V, inciso p) (OP)'!V327</f>
        <v>SERRANO</v>
      </c>
      <c r="M671" s="14" t="str">
        <f>'[1]V, inciso p) (OP)'!W327</f>
        <v>EDH INGENIERIA Y DISEÑO, S.A. DE C.V.</v>
      </c>
      <c r="N671" s="14" t="str">
        <f>'[1]V, inciso p) (OP)'!X327</f>
        <v>EID120425SQ2</v>
      </c>
      <c r="O671" s="15">
        <f t="shared" si="17"/>
        <v>1749224.76</v>
      </c>
      <c r="P671" s="15">
        <f t="shared" si="19"/>
        <v>1749224.76</v>
      </c>
      <c r="Q671" s="23" t="s">
        <v>1218</v>
      </c>
      <c r="R671" s="22">
        <f>O671/65</f>
        <v>26911.150153846153</v>
      </c>
      <c r="S671" s="12" t="s">
        <v>42</v>
      </c>
      <c r="T671" s="17">
        <v>128</v>
      </c>
      <c r="U671" s="14" t="s">
        <v>43</v>
      </c>
      <c r="V671" s="12" t="s">
        <v>378</v>
      </c>
      <c r="W671" s="13">
        <f>'[1]V, inciso p) (OP)'!AM327</f>
        <v>43245</v>
      </c>
      <c r="X671" s="13">
        <f>'[1]V, inciso p) (OP)'!AN327</f>
        <v>43334</v>
      </c>
      <c r="Y671" s="12" t="s">
        <v>408</v>
      </c>
      <c r="Z671" s="12" t="s">
        <v>301</v>
      </c>
      <c r="AA671" s="12" t="s">
        <v>518</v>
      </c>
      <c r="AB671" s="8" t="s">
        <v>1782</v>
      </c>
      <c r="AC671" s="14" t="s">
        <v>48</v>
      </c>
      <c r="AD671" s="14" t="s">
        <v>1571</v>
      </c>
    </row>
    <row r="672" spans="1:30" ht="80.099999999999994" customHeight="1">
      <c r="A672" s="5">
        <v>30</v>
      </c>
      <c r="B672" s="12">
        <v>2018</v>
      </c>
      <c r="C672" s="14" t="str">
        <f>'[1]V, inciso p) (OP)'!B328</f>
        <v>Licitación Pública</v>
      </c>
      <c r="D672" s="14" t="str">
        <f>'[1]V, inciso p) (OP)'!D328</f>
        <v>DOPI-MUN-R33-ELE-LP-030-2018</v>
      </c>
      <c r="E672" s="13">
        <f>'[1]V, inciso p) (OP)'!AD328</f>
        <v>43245</v>
      </c>
      <c r="F672" s="14" t="str">
        <f>'[1]V, inciso p) (OP)'!AL328</f>
        <v>Complemento de electrificación en la colonia Lomas de la Mesa Colorada, municipio de Zapopan, Jalisco.</v>
      </c>
      <c r="G672" s="14" t="str">
        <f>'[1]V, inciso p) (OP)'!AR328</f>
        <v>Fondo para la Infraestructura Social Municipal 2018</v>
      </c>
      <c r="H672" s="15">
        <f>'[1]V, inciso p) (OP)'!AJ328</f>
        <v>2562170.13</v>
      </c>
      <c r="I672" s="14" t="str">
        <f>'[1]V, inciso p) (OP)'!AS328</f>
        <v>Colonia Lomas de la Mesa Colorada</v>
      </c>
      <c r="J672" s="14" t="str">
        <f>'[1]V, inciso p) (OP)'!T328</f>
        <v xml:space="preserve">JAVIER HIPÓLITO </v>
      </c>
      <c r="K672" s="14" t="str">
        <f>'[1]V, inciso p) (OP)'!U328</f>
        <v xml:space="preserve">COVARRUBIAS </v>
      </c>
      <c r="L672" s="14" t="str">
        <f>'[1]V, inciso p) (OP)'!V328</f>
        <v xml:space="preserve"> QUEZADA</v>
      </c>
      <c r="M672" s="14" t="str">
        <f>'[1]V, inciso p) (OP)'!W328</f>
        <v>JAVIER HIPÓLITO COVARRUBIAS QUEZADA</v>
      </c>
      <c r="N672" s="14" t="str">
        <f>'[1]V, inciso p) (OP)'!X328</f>
        <v>COQJ630927QF8</v>
      </c>
      <c r="O672" s="15">
        <f t="shared" si="17"/>
        <v>2562170.13</v>
      </c>
      <c r="P672" s="15">
        <f t="shared" si="19"/>
        <v>2562170.13</v>
      </c>
      <c r="Q672" s="23" t="s">
        <v>1219</v>
      </c>
      <c r="R672" s="22">
        <f>O672/39</f>
        <v>65696.67</v>
      </c>
      <c r="S672" s="12" t="s">
        <v>42</v>
      </c>
      <c r="T672" s="17">
        <v>143</v>
      </c>
      <c r="U672" s="14" t="s">
        <v>43</v>
      </c>
      <c r="V672" s="12" t="s">
        <v>378</v>
      </c>
      <c r="W672" s="13">
        <f>'[1]V, inciso p) (OP)'!AM328</f>
        <v>43245</v>
      </c>
      <c r="X672" s="13">
        <f>'[1]V, inciso p) (OP)'!AN328</f>
        <v>43334</v>
      </c>
      <c r="Y672" s="12" t="s">
        <v>408</v>
      </c>
      <c r="Z672" s="12" t="s">
        <v>301</v>
      </c>
      <c r="AA672" s="12" t="s">
        <v>518</v>
      </c>
      <c r="AB672" s="8" t="s">
        <v>1783</v>
      </c>
      <c r="AC672" s="14" t="s">
        <v>48</v>
      </c>
      <c r="AD672" s="14" t="s">
        <v>1571</v>
      </c>
    </row>
    <row r="673" spans="1:30" ht="80.099999999999994" customHeight="1">
      <c r="A673" s="5">
        <v>31</v>
      </c>
      <c r="B673" s="12">
        <v>2018</v>
      </c>
      <c r="C673" s="14" t="str">
        <f>'[1]V, inciso p) (OP)'!B329</f>
        <v>Licitación Pública</v>
      </c>
      <c r="D673" s="14" t="str">
        <f>'[1]V, inciso p) (OP)'!D329</f>
        <v>DOPI-MUN-R33-ELE-LP-031-2018</v>
      </c>
      <c r="E673" s="13">
        <f>'[1]V, inciso p) (OP)'!AD329</f>
        <v>43245</v>
      </c>
      <c r="F673" s="14" t="str">
        <f>'[1]V, inciso p) (OP)'!AL329</f>
        <v>Red de electrificación y alumbrado público en la colonia Valle de Los Robles, municipio de Zapopan, Jalisco.</v>
      </c>
      <c r="G673" s="14" t="str">
        <f>'[1]V, inciso p) (OP)'!AR329</f>
        <v>Fondo para la Infraestructura Social Municipal 2018</v>
      </c>
      <c r="H673" s="15">
        <f>'[1]V, inciso p) (OP)'!AJ329</f>
        <v>2259333.02</v>
      </c>
      <c r="I673" s="14" t="str">
        <f>'[1]V, inciso p) (OP)'!AS329</f>
        <v>Colonia Valle de Los Robles</v>
      </c>
      <c r="J673" s="14" t="str">
        <f>'[1]V, inciso p) (OP)'!T329</f>
        <v>DARIO</v>
      </c>
      <c r="K673" s="14" t="str">
        <f>'[1]V, inciso p) (OP)'!U329</f>
        <v>HURTADO</v>
      </c>
      <c r="L673" s="14" t="str">
        <f>'[1]V, inciso p) (OP)'!V329</f>
        <v>SERRANO</v>
      </c>
      <c r="M673" s="14" t="str">
        <f>'[1]V, inciso p) (OP)'!W329</f>
        <v>EDH INGENIERIA Y DISEÑO, S.A. DE C.V.</v>
      </c>
      <c r="N673" s="14" t="str">
        <f>'[1]V, inciso p) (OP)'!X329</f>
        <v>EID120425SQ2</v>
      </c>
      <c r="O673" s="15">
        <f t="shared" si="17"/>
        <v>2259333.02</v>
      </c>
      <c r="P673" s="15">
        <f t="shared" si="19"/>
        <v>2259333.02</v>
      </c>
      <c r="Q673" s="23" t="s">
        <v>1220</v>
      </c>
      <c r="R673" s="22">
        <f>O673/48</f>
        <v>47069.437916666669</v>
      </c>
      <c r="S673" s="12" t="s">
        <v>42</v>
      </c>
      <c r="T673" s="17">
        <v>129</v>
      </c>
      <c r="U673" s="14" t="s">
        <v>43</v>
      </c>
      <c r="V673" s="12" t="s">
        <v>378</v>
      </c>
      <c r="W673" s="13">
        <f>'[1]V, inciso p) (OP)'!AM329</f>
        <v>43245</v>
      </c>
      <c r="X673" s="13">
        <f>'[1]V, inciso p) (OP)'!AN329</f>
        <v>43334</v>
      </c>
      <c r="Y673" s="12" t="s">
        <v>408</v>
      </c>
      <c r="Z673" s="12" t="s">
        <v>301</v>
      </c>
      <c r="AA673" s="12" t="s">
        <v>518</v>
      </c>
      <c r="AB673" s="8" t="s">
        <v>1784</v>
      </c>
      <c r="AC673" s="14" t="s">
        <v>48</v>
      </c>
      <c r="AD673" s="14" t="s">
        <v>1571</v>
      </c>
    </row>
    <row r="674" spans="1:30" ht="80.099999999999994" customHeight="1">
      <c r="A674" s="5">
        <v>32</v>
      </c>
      <c r="B674" s="12">
        <v>2018</v>
      </c>
      <c r="C674" s="14" t="str">
        <f>'[1]V, inciso p) (OP)'!B330</f>
        <v>Licitación Pública</v>
      </c>
      <c r="D674" s="14" t="str">
        <f>'[1]V, inciso p) (OP)'!D330</f>
        <v>DOPI-MUN-R33-ELE-LP-032-2018</v>
      </c>
      <c r="E674" s="13">
        <f>'[1]V, inciso p) (OP)'!AD330</f>
        <v>43245</v>
      </c>
      <c r="F674" s="14" t="str">
        <f>'[1]V, inciso p) (OP)'!AL330</f>
        <v>Electrificación y servicios complementarios en el Ejido Nuevo San Martín, municipio de Zapopan, Jalisco, frente 1.</v>
      </c>
      <c r="G674" s="14" t="str">
        <f>'[1]V, inciso p) (OP)'!AR330</f>
        <v>Fondo para la Infraestructura Social Municipal 2018</v>
      </c>
      <c r="H674" s="15">
        <f>'[1]V, inciso p) (OP)'!AJ330</f>
        <v>2655743.23</v>
      </c>
      <c r="I674" s="14" t="str">
        <f>'[1]V, inciso p) (OP)'!AS330</f>
        <v>Ejido Nuevo San Martín</v>
      </c>
      <c r="J674" s="14" t="str">
        <f>'[1]V, inciso p) (OP)'!T330</f>
        <v>SERGIO</v>
      </c>
      <c r="K674" s="14" t="str">
        <f>'[1]V, inciso p) (OP)'!U330</f>
        <v>RIOS</v>
      </c>
      <c r="L674" s="14" t="str">
        <f>'[1]V, inciso p) (OP)'!V330</f>
        <v>CORONADO</v>
      </c>
      <c r="M674" s="14" t="str">
        <f>'[1]V, inciso p) (OP)'!W330</f>
        <v>E.S. GRUPO CONSTRUCTOR, S.A. DE C.V.</v>
      </c>
      <c r="N674" s="14" t="str">
        <f>'[1]V, inciso p) (OP)'!X330</f>
        <v>EGC030102TA7</v>
      </c>
      <c r="O674" s="15">
        <f t="shared" si="17"/>
        <v>2655743.23</v>
      </c>
      <c r="P674" s="15">
        <f t="shared" si="19"/>
        <v>2655743.23</v>
      </c>
      <c r="Q674" s="23" t="s">
        <v>1221</v>
      </c>
      <c r="R674" s="22">
        <f>O674/22</f>
        <v>120715.60136363636</v>
      </c>
      <c r="S674" s="12" t="s">
        <v>42</v>
      </c>
      <c r="T674" s="17">
        <v>189</v>
      </c>
      <c r="U674" s="14" t="s">
        <v>43</v>
      </c>
      <c r="V674" s="12" t="s">
        <v>378</v>
      </c>
      <c r="W674" s="13">
        <f>'[1]V, inciso p) (OP)'!AM330</f>
        <v>43245</v>
      </c>
      <c r="X674" s="13">
        <f>'[1]V, inciso p) (OP)'!AN330</f>
        <v>43334</v>
      </c>
      <c r="Y674" s="12" t="s">
        <v>408</v>
      </c>
      <c r="Z674" s="12" t="s">
        <v>301</v>
      </c>
      <c r="AA674" s="12" t="s">
        <v>518</v>
      </c>
      <c r="AB674" s="8" t="s">
        <v>1785</v>
      </c>
      <c r="AC674" s="14" t="s">
        <v>48</v>
      </c>
      <c r="AD674" s="14" t="s">
        <v>1571</v>
      </c>
    </row>
    <row r="675" spans="1:30" ht="80.099999999999994" customHeight="1">
      <c r="A675" s="5">
        <v>33</v>
      </c>
      <c r="B675" s="12">
        <v>2018</v>
      </c>
      <c r="C675" s="14" t="str">
        <f>'[1]V, inciso p) (OP)'!B331</f>
        <v>Licitación Pública</v>
      </c>
      <c r="D675" s="14" t="str">
        <f>'[1]V, inciso p) (OP)'!D331</f>
        <v>DOPI-MUN-R33-ELE-LP-033-2018</v>
      </c>
      <c r="E675" s="13">
        <f>'[1]V, inciso p) (OP)'!AD331</f>
        <v>43245</v>
      </c>
      <c r="F675" s="14" t="str">
        <f>'[1]V, inciso p) (OP)'!AL331</f>
        <v>Electrificación y servicios complementarios en el Ejido Nuevo San Martín, municipio de Zapopan, Jalisco, frente 2.</v>
      </c>
      <c r="G675" s="14" t="str">
        <f>'[1]V, inciso p) (OP)'!AR331</f>
        <v>Fondo para la Infraestructura Social Municipal 2018</v>
      </c>
      <c r="H675" s="15">
        <f>'[1]V, inciso p) (OP)'!AJ331</f>
        <v>2131389.02</v>
      </c>
      <c r="I675" s="14" t="str">
        <f>'[1]V, inciso p) (OP)'!AS331</f>
        <v>Ejido Nuevo San Martín</v>
      </c>
      <c r="J675" s="14" t="str">
        <f>'[1]V, inciso p) (OP)'!T331</f>
        <v>MARÍA CAROLINA</v>
      </c>
      <c r="K675" s="14" t="str">
        <f>'[1]V, inciso p) (OP)'!U331</f>
        <v>SERRANO</v>
      </c>
      <c r="L675" s="14" t="str">
        <f>'[1]V, inciso p) (OP)'!V331</f>
        <v>CONTRERAS</v>
      </c>
      <c r="M675" s="14" t="str">
        <f>'[1]V, inciso p) (OP)'!W331</f>
        <v>ELEMENTO 83 CONSTRUCCIONES Y SERVICIOS, S.A. DE C.V.</v>
      </c>
      <c r="N675" s="14" t="str">
        <f>'[1]V, inciso p) (OP)'!X331</f>
        <v>EOT171027QE9</v>
      </c>
      <c r="O675" s="15">
        <f t="shared" ref="O675:O739" si="20">H675</f>
        <v>2131389.02</v>
      </c>
      <c r="P675" s="15">
        <f t="shared" si="19"/>
        <v>2131389.02</v>
      </c>
      <c r="Q675" s="23" t="s">
        <v>1222</v>
      </c>
      <c r="R675" s="22">
        <f>O675/18</f>
        <v>118410.50111111111</v>
      </c>
      <c r="S675" s="12" t="s">
        <v>42</v>
      </c>
      <c r="T675" s="17">
        <v>204</v>
      </c>
      <c r="U675" s="14" t="s">
        <v>43</v>
      </c>
      <c r="V675" s="12" t="s">
        <v>378</v>
      </c>
      <c r="W675" s="13">
        <f>'[1]V, inciso p) (OP)'!AM331</f>
        <v>43245</v>
      </c>
      <c r="X675" s="13">
        <f>'[1]V, inciso p) (OP)'!AN331</f>
        <v>43334</v>
      </c>
      <c r="Y675" s="12" t="s">
        <v>408</v>
      </c>
      <c r="Z675" s="12" t="s">
        <v>301</v>
      </c>
      <c r="AA675" s="12" t="s">
        <v>518</v>
      </c>
      <c r="AB675" s="14" t="s">
        <v>48</v>
      </c>
      <c r="AC675" s="14" t="s">
        <v>48</v>
      </c>
      <c r="AD675" s="14" t="s">
        <v>1571</v>
      </c>
    </row>
    <row r="676" spans="1:30" ht="80.099999999999994" customHeight="1">
      <c r="A676" s="5">
        <v>34</v>
      </c>
      <c r="B676" s="12">
        <v>2018</v>
      </c>
      <c r="C676" s="14" t="str">
        <f>'[1]V, inciso p) (OP)'!B332</f>
        <v>Licitación Pública</v>
      </c>
      <c r="D676" s="14" t="str">
        <f>'[1]V, inciso p) (OP)'!D332</f>
        <v>DOPI-MUN-R33-ELE-LP-034-2018</v>
      </c>
      <c r="E676" s="13">
        <f>'[1]V, inciso p) (OP)'!AD332</f>
        <v>43245</v>
      </c>
      <c r="F676" s="14" t="str">
        <f>'[1]V, inciso p) (OP)'!AL332</f>
        <v>Electrificación y servicios complementarios en el poblado San Miguel Tateposco, municipio de Zapopan, Jalisco.</v>
      </c>
      <c r="G676" s="14" t="str">
        <f>'[1]V, inciso p) (OP)'!AR332</f>
        <v>Fondo para la Infraestructura Social Municipal 2018</v>
      </c>
      <c r="H676" s="15">
        <f>'[1]V, inciso p) (OP)'!AJ332</f>
        <v>2083343.03</v>
      </c>
      <c r="I676" s="14" t="str">
        <f>'[1]V, inciso p) (OP)'!AS332</f>
        <v>Poblado San Miguel Tateposco</v>
      </c>
      <c r="J676" s="14" t="str">
        <f>'[1]V, inciso p) (OP)'!T332</f>
        <v xml:space="preserve">JAVIER HIPÓLITO </v>
      </c>
      <c r="K676" s="14" t="str">
        <f>'[1]V, inciso p) (OP)'!U332</f>
        <v xml:space="preserve">COVARRUBIAS </v>
      </c>
      <c r="L676" s="14" t="str">
        <f>'[1]V, inciso p) (OP)'!V332</f>
        <v xml:space="preserve"> QUEZADA</v>
      </c>
      <c r="M676" s="14" t="str">
        <f>'[1]V, inciso p) (OP)'!W332</f>
        <v>JAVIER HIPÓLITO COVARRUBIAS QUEZADA</v>
      </c>
      <c r="N676" s="14" t="str">
        <f>'[1]V, inciso p) (OP)'!X332</f>
        <v>COQJ630927QF8</v>
      </c>
      <c r="O676" s="15">
        <f t="shared" si="20"/>
        <v>2083343.03</v>
      </c>
      <c r="P676" s="15">
        <f t="shared" si="19"/>
        <v>2083343.03</v>
      </c>
      <c r="Q676" s="23" t="s">
        <v>1223</v>
      </c>
      <c r="R676" s="22">
        <f>O676/21</f>
        <v>99206.810952380954</v>
      </c>
      <c r="S676" s="12" t="s">
        <v>42</v>
      </c>
      <c r="T676" s="17">
        <v>197</v>
      </c>
      <c r="U676" s="14" t="s">
        <v>43</v>
      </c>
      <c r="V676" s="12" t="s">
        <v>378</v>
      </c>
      <c r="W676" s="13">
        <f>'[1]V, inciso p) (OP)'!AM332</f>
        <v>43245</v>
      </c>
      <c r="X676" s="13">
        <f>'[1]V, inciso p) (OP)'!AN332</f>
        <v>43334</v>
      </c>
      <c r="Y676" s="12" t="s">
        <v>408</v>
      </c>
      <c r="Z676" s="12" t="s">
        <v>301</v>
      </c>
      <c r="AA676" s="12" t="s">
        <v>518</v>
      </c>
      <c r="AB676" s="8" t="s">
        <v>1786</v>
      </c>
      <c r="AC676" s="14" t="s">
        <v>48</v>
      </c>
      <c r="AD676" s="14" t="s">
        <v>1571</v>
      </c>
    </row>
    <row r="677" spans="1:30" ht="80.099999999999994" customHeight="1">
      <c r="A677" s="5">
        <v>35</v>
      </c>
      <c r="B677" s="12">
        <v>2018</v>
      </c>
      <c r="C677" s="14" t="str">
        <f>'[1]V, inciso p) (OP)'!B333</f>
        <v>Licitación Pública</v>
      </c>
      <c r="D677" s="14" t="str">
        <f>'[1]V, inciso p) (OP)'!D333</f>
        <v>DOPI-MUN-R33-APDS-LP-035-2018</v>
      </c>
      <c r="E677" s="13">
        <f>'[1]V, inciso p) (OP)'!AD333</f>
        <v>43245</v>
      </c>
      <c r="F677" s="14" t="str">
        <f>'[1]V, inciso p) (OP)'!AL333</f>
        <v>Construcción de línea de drenaje y agua potable en la colonia Mesa Colorada Poniente, frente 1, municipio de Zapopan, Jalisco.</v>
      </c>
      <c r="G677" s="14" t="str">
        <f>'[1]V, inciso p) (OP)'!AR333</f>
        <v>Fondo para la Infraestructura Social Municipal 2018</v>
      </c>
      <c r="H677" s="15">
        <f>'[1]V, inciso p) (OP)'!AJ333</f>
        <v>2655429.86</v>
      </c>
      <c r="I677" s="14" t="str">
        <f>'[1]V, inciso p) (OP)'!AS333</f>
        <v>Colonia Mesa Colorada Poniente</v>
      </c>
      <c r="J677" s="14" t="str">
        <f>'[1]V, inciso p) (OP)'!T333</f>
        <v>LAURA LILIA</v>
      </c>
      <c r="K677" s="14" t="str">
        <f>'[1]V, inciso p) (OP)'!U333</f>
        <v>ARELLANO</v>
      </c>
      <c r="L677" s="14" t="str">
        <f>'[1]V, inciso p) (OP)'!V333</f>
        <v>CERNA</v>
      </c>
      <c r="M677" s="14" t="str">
        <f>'[1]V, inciso p) (OP)'!W333</f>
        <v>CONSTRUCCIÓNES E INGENIERIA EL CIPRES, S.A. DE C.V.</v>
      </c>
      <c r="N677" s="14" t="str">
        <f>'[1]V, inciso p) (OP)'!X333</f>
        <v>CEI120724PR2</v>
      </c>
      <c r="O677" s="15">
        <f t="shared" si="20"/>
        <v>2655429.86</v>
      </c>
      <c r="P677" s="15">
        <f t="shared" si="19"/>
        <v>2655429.86</v>
      </c>
      <c r="Q677" s="23" t="s">
        <v>1224</v>
      </c>
      <c r="R677" s="22">
        <f>O677/199</f>
        <v>13343.868643216079</v>
      </c>
      <c r="S677" s="12" t="s">
        <v>42</v>
      </c>
      <c r="T677" s="17">
        <v>397</v>
      </c>
      <c r="U677" s="14" t="s">
        <v>43</v>
      </c>
      <c r="V677" s="12" t="s">
        <v>378</v>
      </c>
      <c r="W677" s="13">
        <f>'[1]V, inciso p) (OP)'!AM333</f>
        <v>43245</v>
      </c>
      <c r="X677" s="13">
        <f>'[1]V, inciso p) (OP)'!AN333</f>
        <v>43334</v>
      </c>
      <c r="Y677" s="12" t="s">
        <v>350</v>
      </c>
      <c r="Z677" s="12" t="s">
        <v>351</v>
      </c>
      <c r="AA677" s="12" t="s">
        <v>352</v>
      </c>
      <c r="AB677" s="8" t="s">
        <v>1787</v>
      </c>
      <c r="AC677" s="14" t="s">
        <v>48</v>
      </c>
      <c r="AD677" s="14" t="s">
        <v>1571</v>
      </c>
    </row>
    <row r="678" spans="1:30" ht="80.099999999999994" customHeight="1">
      <c r="A678" s="5">
        <v>36</v>
      </c>
      <c r="B678" s="12">
        <v>2018</v>
      </c>
      <c r="C678" s="14" t="str">
        <f>'[1]V, inciso p) (OP)'!B334</f>
        <v>Licitación Pública</v>
      </c>
      <c r="D678" s="14" t="str">
        <f>'[1]V, inciso p) (OP)'!D334</f>
        <v>DOPI-MUN-R33-APDS-LP-036-2018</v>
      </c>
      <c r="E678" s="13">
        <f>'[1]V, inciso p) (OP)'!AD334</f>
        <v>43245</v>
      </c>
      <c r="F678" s="14" t="str">
        <f>'[1]V, inciso p) (OP)'!AL334</f>
        <v>Construcción de línea de drenaje y agua potable en la colonia Mesa Colorada Poniente, frente 2, municipio de Zapopan, Jalisco.</v>
      </c>
      <c r="G678" s="14" t="str">
        <f>'[1]V, inciso p) (OP)'!AR334</f>
        <v>Fondo para la Infraestructura Social Municipal 2018</v>
      </c>
      <c r="H678" s="15">
        <f>'[1]V, inciso p) (OP)'!AJ334</f>
        <v>2395857.0299999998</v>
      </c>
      <c r="I678" s="14" t="str">
        <f>'[1]V, inciso p) (OP)'!AS334</f>
        <v>Colonia Mesa Colorada Poniente</v>
      </c>
      <c r="J678" s="14" t="str">
        <f>'[1]V, inciso p) (OP)'!T334</f>
        <v>FELIPE DANIEL II</v>
      </c>
      <c r="K678" s="14" t="str">
        <f>'[1]V, inciso p) (OP)'!U334</f>
        <v>NUÑEZ</v>
      </c>
      <c r="L678" s="14" t="str">
        <f>'[1]V, inciso p) (OP)'!V334</f>
        <v>PINZON</v>
      </c>
      <c r="M678" s="14" t="str">
        <f>'[1]V, inciso p) (OP)'!W334</f>
        <v>GRUPO NUVECO, S.A. DE C.V.</v>
      </c>
      <c r="N678" s="14" t="str">
        <f>'[1]V, inciso p) (OP)'!X334</f>
        <v>GNU120809KX1</v>
      </c>
      <c r="O678" s="15">
        <f t="shared" si="20"/>
        <v>2395857.0299999998</v>
      </c>
      <c r="P678" s="15">
        <f t="shared" si="19"/>
        <v>2395857.0299999998</v>
      </c>
      <c r="Q678" s="23" t="s">
        <v>1225</v>
      </c>
      <c r="R678" s="22">
        <f>O678/192</f>
        <v>12478.422031249998</v>
      </c>
      <c r="S678" s="12" t="s">
        <v>42</v>
      </c>
      <c r="T678" s="17">
        <v>397</v>
      </c>
      <c r="U678" s="14" t="s">
        <v>43</v>
      </c>
      <c r="V678" s="12" t="s">
        <v>378</v>
      </c>
      <c r="W678" s="13">
        <f>'[1]V, inciso p) (OP)'!AM334</f>
        <v>43245</v>
      </c>
      <c r="X678" s="13">
        <f>'[1]V, inciso p) (OP)'!AN334</f>
        <v>43319</v>
      </c>
      <c r="Y678" s="12" t="s">
        <v>350</v>
      </c>
      <c r="Z678" s="12" t="s">
        <v>351</v>
      </c>
      <c r="AA678" s="12" t="s">
        <v>352</v>
      </c>
      <c r="AB678" s="8" t="s">
        <v>1788</v>
      </c>
      <c r="AC678" s="14" t="s">
        <v>48</v>
      </c>
      <c r="AD678" s="14" t="s">
        <v>1571</v>
      </c>
    </row>
    <row r="679" spans="1:30" ht="80.099999999999994" customHeight="1">
      <c r="A679" s="5">
        <v>37</v>
      </c>
      <c r="B679" s="12">
        <v>2018</v>
      </c>
      <c r="C679" s="14" t="str">
        <f>'[1]V, inciso p) (OP)'!B335</f>
        <v>Licitación Pública</v>
      </c>
      <c r="D679" s="14" t="str">
        <f>'[1]V, inciso p) (OP)'!D335</f>
        <v>DOPI-MUN-R33-APDS-LP-037-2018</v>
      </c>
      <c r="E679" s="13">
        <f>'[1]V, inciso p) (OP)'!AD335</f>
        <v>43245</v>
      </c>
      <c r="F679" s="14" t="str">
        <f>'[1]V, inciso p) (OP)'!AL335</f>
        <v>Construcción de línea de drenaje y agua potable en la colonia Mesa Colorada Poniente, frente 3, municipio de Zapopan, Jalisco.</v>
      </c>
      <c r="G679" s="14" t="str">
        <f>'[1]V, inciso p) (OP)'!AR335</f>
        <v>Fondo para la Infraestructura Social Municipal 2018</v>
      </c>
      <c r="H679" s="15">
        <f>'[1]V, inciso p) (OP)'!AJ335</f>
        <v>2759769.39</v>
      </c>
      <c r="I679" s="14" t="str">
        <f>'[1]V, inciso p) (OP)'!AS335</f>
        <v>Colonia Mesa Colorada Poniente</v>
      </c>
      <c r="J679" s="14" t="str">
        <f>'[1]V, inciso p) (OP)'!T335</f>
        <v>ERNESTO</v>
      </c>
      <c r="K679" s="14" t="str">
        <f>'[1]V, inciso p) (OP)'!U335</f>
        <v>OLIVARES</v>
      </c>
      <c r="L679" s="14" t="str">
        <f>'[1]V, inciso p) (OP)'!V335</f>
        <v>ÁLVAREZ</v>
      </c>
      <c r="M679" s="14" t="str">
        <f>'[1]V, inciso p) (OP)'!W335</f>
        <v xml:space="preserve">METRICA INFRAESTRUCTURA, S.A. DE C.V. </v>
      </c>
      <c r="N679" s="14" t="str">
        <f>'[1]V, inciso p) (OP)'!X335</f>
        <v>MIN170819GG1</v>
      </c>
      <c r="O679" s="15">
        <f t="shared" si="20"/>
        <v>2759769.39</v>
      </c>
      <c r="P679" s="15">
        <f t="shared" si="19"/>
        <v>2759769.39</v>
      </c>
      <c r="Q679" s="23" t="s">
        <v>1226</v>
      </c>
      <c r="R679" s="22">
        <f>O679/186</f>
        <v>14837.469838709678</v>
      </c>
      <c r="S679" s="12" t="s">
        <v>42</v>
      </c>
      <c r="T679" s="17">
        <v>397</v>
      </c>
      <c r="U679" s="14" t="s">
        <v>43</v>
      </c>
      <c r="V679" s="12" t="s">
        <v>378</v>
      </c>
      <c r="W679" s="13">
        <f>'[1]V, inciso p) (OP)'!AM335</f>
        <v>43245</v>
      </c>
      <c r="X679" s="13">
        <f>'[1]V, inciso p) (OP)'!AN335</f>
        <v>43319</v>
      </c>
      <c r="Y679" s="12" t="s">
        <v>350</v>
      </c>
      <c r="Z679" s="12" t="s">
        <v>351</v>
      </c>
      <c r="AA679" s="12" t="s">
        <v>352</v>
      </c>
      <c r="AB679" s="14" t="s">
        <v>48</v>
      </c>
      <c r="AC679" s="14" t="s">
        <v>48</v>
      </c>
      <c r="AD679" s="14" t="s">
        <v>1571</v>
      </c>
    </row>
    <row r="680" spans="1:30" ht="80.099999999999994" customHeight="1">
      <c r="A680" s="5">
        <v>38</v>
      </c>
      <c r="B680" s="12">
        <v>2018</v>
      </c>
      <c r="C680" s="14" t="str">
        <f>'[1]V, inciso p) (OP)'!B336</f>
        <v>Licitación Pública</v>
      </c>
      <c r="D680" s="14" t="str">
        <f>'[1]V, inciso p) (OP)'!D336</f>
        <v>DOPI-MUN-R33-PAV-LP-038-2018</v>
      </c>
      <c r="E680" s="13">
        <f>'[1]V, inciso p) (OP)'!AD336</f>
        <v>43245</v>
      </c>
      <c r="F680" s="14" t="str">
        <f>'[1]V, inciso p) (OP)'!AL336</f>
        <v>Pavimentación con concreto hidráulico en la colonia Fresno (calle Palmas de Eucalipto a cerrada, calle Eucalipto de Pirul a Encino y calle Encino de Eucalipto a Pino), municipio de Zapopan, Jalisco.</v>
      </c>
      <c r="G680" s="14" t="str">
        <f>'[1]V, inciso p) (OP)'!AR336</f>
        <v>Fondo para la Infraestructura Social Municipal 2018</v>
      </c>
      <c r="H680" s="15">
        <f>'[1]V, inciso p) (OP)'!AJ336</f>
        <v>3320082.26</v>
      </c>
      <c r="I680" s="14" t="str">
        <f>'[1]V, inciso p) (OP)'!AS336</f>
        <v>Colonia El Fresno</v>
      </c>
      <c r="J680" s="14" t="str">
        <f>'[1]V, inciso p) (OP)'!T336</f>
        <v>JAVIER</v>
      </c>
      <c r="K680" s="14" t="str">
        <f>'[1]V, inciso p) (OP)'!U336</f>
        <v>CAÑEDO</v>
      </c>
      <c r="L680" s="14" t="str">
        <f>'[1]V, inciso p) (OP)'!V336</f>
        <v>ORTEGA</v>
      </c>
      <c r="M680" s="14" t="str">
        <f>'[1]V, inciso p) (OP)'!W336</f>
        <v>CONSTRUCCIONES TECNICAS DE OCCIDENTE, S.A. DE C.V.</v>
      </c>
      <c r="N680" s="14" t="str">
        <f>'[1]V, inciso p) (OP)'!X336</f>
        <v>CTO061116F61</v>
      </c>
      <c r="O680" s="15">
        <f t="shared" si="20"/>
        <v>3320082.26</v>
      </c>
      <c r="P680" s="15">
        <f t="shared" si="19"/>
        <v>3320082.26</v>
      </c>
      <c r="Q680" s="23" t="s">
        <v>1227</v>
      </c>
      <c r="R680" s="22">
        <f>O680/1990</f>
        <v>1668.3830452261304</v>
      </c>
      <c r="S680" s="12" t="s">
        <v>42</v>
      </c>
      <c r="T680" s="17">
        <v>694</v>
      </c>
      <c r="U680" s="14" t="s">
        <v>43</v>
      </c>
      <c r="V680" s="12" t="s">
        <v>378</v>
      </c>
      <c r="W680" s="13">
        <f>'[1]V, inciso p) (OP)'!AM336</f>
        <v>43245</v>
      </c>
      <c r="X680" s="13">
        <f>'[1]V, inciso p) (OP)'!AN336</f>
        <v>43319</v>
      </c>
      <c r="Y680" s="12" t="s">
        <v>830</v>
      </c>
      <c r="Z680" s="12" t="s">
        <v>831</v>
      </c>
      <c r="AA680" s="12" t="s">
        <v>134</v>
      </c>
      <c r="AB680" s="8" t="s">
        <v>1789</v>
      </c>
      <c r="AC680" s="14" t="s">
        <v>48</v>
      </c>
      <c r="AD680" s="14" t="s">
        <v>1571</v>
      </c>
    </row>
    <row r="681" spans="1:30" ht="80.099999999999994" customHeight="1">
      <c r="A681" s="5">
        <v>39</v>
      </c>
      <c r="B681" s="12">
        <v>2018</v>
      </c>
      <c r="C681" s="14" t="str">
        <f>'[1]V, inciso p) (OP)'!B337</f>
        <v>Licitación Pública</v>
      </c>
      <c r="D681" s="14" t="str">
        <f>'[1]V, inciso p) (OP)'!D337</f>
        <v>DOPI-MUN-R33-APDS-LP-039-2018</v>
      </c>
      <c r="E681" s="13">
        <f>'[1]V, inciso p) (OP)'!AD337</f>
        <v>43245</v>
      </c>
      <c r="F681" s="14" t="str">
        <f>'[1]V, inciso p) (OP)'!AL337</f>
        <v>Construcción de red de drenaje y agua potable en la colonia San José Ejidal, municipio de Zapopan, Jalisco.</v>
      </c>
      <c r="G681" s="14" t="str">
        <f>'[1]V, inciso p) (OP)'!AR337</f>
        <v>Fondo para la Infraestructura Social Municipal 2018</v>
      </c>
      <c r="H681" s="15">
        <f>'[1]V, inciso p) (OP)'!AJ337</f>
        <v>3193010.78</v>
      </c>
      <c r="I681" s="14" t="str">
        <f>'[1]V, inciso p) (OP)'!AS337</f>
        <v>Colonia San José Ejidal</v>
      </c>
      <c r="J681" s="14" t="str">
        <f>'[1]V, inciso p) (OP)'!T337</f>
        <v>ERICK</v>
      </c>
      <c r="K681" s="14" t="str">
        <f>'[1]V, inciso p) (OP)'!U337</f>
        <v>VILLASEÑOR</v>
      </c>
      <c r="L681" s="14" t="str">
        <f>'[1]V, inciso p) (OP)'!V337</f>
        <v>GUTIÉRREZ</v>
      </c>
      <c r="M681" s="14" t="str">
        <f>'[1]V, inciso p) (OP)'!W337</f>
        <v>PIXIDE CONSTRUCTORA, S.A. DE C.V.</v>
      </c>
      <c r="N681" s="14" t="str">
        <f>'[1]V, inciso p) (OP)'!X337</f>
        <v>PCO140829425</v>
      </c>
      <c r="O681" s="15">
        <f t="shared" si="20"/>
        <v>3193010.78</v>
      </c>
      <c r="P681" s="15">
        <f t="shared" si="19"/>
        <v>3193010.78</v>
      </c>
      <c r="Q681" s="23" t="s">
        <v>1228</v>
      </c>
      <c r="R681" s="22">
        <f>O681/867</f>
        <v>3682.8267358708185</v>
      </c>
      <c r="S681" s="12" t="s">
        <v>42</v>
      </c>
      <c r="T681" s="17">
        <v>321</v>
      </c>
      <c r="U681" s="14" t="s">
        <v>43</v>
      </c>
      <c r="V681" s="12" t="s">
        <v>378</v>
      </c>
      <c r="W681" s="13">
        <f>'[1]V, inciso p) (OP)'!AM337</f>
        <v>43245</v>
      </c>
      <c r="X681" s="13">
        <f>'[1]V, inciso p) (OP)'!AN337</f>
        <v>43319</v>
      </c>
      <c r="Y681" s="12" t="s">
        <v>468</v>
      </c>
      <c r="Z681" s="12" t="s">
        <v>307</v>
      </c>
      <c r="AA681" s="12" t="s">
        <v>308</v>
      </c>
      <c r="AB681" s="8" t="s">
        <v>1790</v>
      </c>
      <c r="AC681" s="14" t="s">
        <v>48</v>
      </c>
      <c r="AD681" s="14" t="s">
        <v>1571</v>
      </c>
    </row>
    <row r="682" spans="1:30" ht="80.099999999999994" customHeight="1">
      <c r="A682" s="5">
        <v>40</v>
      </c>
      <c r="B682" s="12">
        <v>2018</v>
      </c>
      <c r="C682" s="14" t="str">
        <f>'[1]V, inciso p) (OP)'!B338</f>
        <v>Licitación Pública</v>
      </c>
      <c r="D682" s="14" t="str">
        <f>'[1]V, inciso p) (OP)'!D338</f>
        <v>DOPI-FED-PR-PAV-LP-040-2018</v>
      </c>
      <c r="E682" s="13">
        <f>'[1]V, inciso p) (OP)'!AD338</f>
        <v>43245</v>
      </c>
      <c r="F682" s="14" t="str">
        <f>'[1]V, inciso p) (OP)'!AL338</f>
        <v>Construcción de Avenida El Collí con concreto hidráulico entre la calle Roble y Las Torres, en la colonia Paraísos del Collí, municipio de Zapopan, Jalisco.</v>
      </c>
      <c r="G682" s="14" t="str">
        <f>'[1]V, inciso p) (OP)'!AR338</f>
        <v>Proyectos de Desarrollo Regional 2018</v>
      </c>
      <c r="H682" s="15">
        <f>'[1]V, inciso p) (OP)'!AJ338</f>
        <v>8163546.4699999997</v>
      </c>
      <c r="I682" s="14" t="str">
        <f>'[1]V, inciso p) (OP)'!AS338</f>
        <v>Colonia Paraisos del Colli</v>
      </c>
      <c r="J682" s="14" t="str">
        <f>'[1]V, inciso p) (OP)'!T338</f>
        <v>SERGIO CESAR</v>
      </c>
      <c r="K682" s="14" t="str">
        <f>'[1]V, inciso p) (OP)'!U338</f>
        <v>DÍAZ</v>
      </c>
      <c r="L682" s="14" t="str">
        <f>'[1]V, inciso p) (OP)'!V338</f>
        <v>QUIROZ</v>
      </c>
      <c r="M682" s="14" t="str">
        <f>'[1]V, inciso p) (OP)'!W338</f>
        <v>TRANSCRETO S.A. DE C.V.</v>
      </c>
      <c r="N682" s="14" t="str">
        <f>'[1]V, inciso p) (OP)'!X338</f>
        <v>TRA750528286</v>
      </c>
      <c r="O682" s="15">
        <f t="shared" si="20"/>
        <v>8163546.4699999997</v>
      </c>
      <c r="P682" s="15">
        <f t="shared" si="19"/>
        <v>8163546.4699999997</v>
      </c>
      <c r="Q682" s="23" t="s">
        <v>1229</v>
      </c>
      <c r="R682" s="22">
        <f>O682/4662</f>
        <v>1751.0824688974687</v>
      </c>
      <c r="S682" s="12" t="s">
        <v>42</v>
      </c>
      <c r="T682" s="17">
        <v>6398</v>
      </c>
      <c r="U682" s="14" t="s">
        <v>43</v>
      </c>
      <c r="V682" s="12" t="s">
        <v>378</v>
      </c>
      <c r="W682" s="13">
        <f>'[1]V, inciso p) (OP)'!AM338</f>
        <v>43245</v>
      </c>
      <c r="X682" s="13">
        <f>'[1]V, inciso p) (OP)'!AN338</f>
        <v>43344</v>
      </c>
      <c r="Y682" s="12" t="s">
        <v>418</v>
      </c>
      <c r="Z682" s="12" t="s">
        <v>419</v>
      </c>
      <c r="AA682" s="12" t="s">
        <v>420</v>
      </c>
      <c r="AB682" s="14" t="s">
        <v>48</v>
      </c>
      <c r="AC682" s="14" t="s">
        <v>48</v>
      </c>
      <c r="AD682" s="14" t="s">
        <v>1571</v>
      </c>
    </row>
    <row r="683" spans="1:30" ht="80.099999999999994" customHeight="1">
      <c r="A683" s="5">
        <v>41</v>
      </c>
      <c r="B683" s="12">
        <v>2018</v>
      </c>
      <c r="C683" s="14" t="str">
        <f>'[1]V, inciso p) (OP)'!B339</f>
        <v>Licitación Pública</v>
      </c>
      <c r="D683" s="14" t="str">
        <f>'[1]V, inciso p) (OP)'!D339</f>
        <v>DOPI-FED-PR-PAV-LP-041-2018</v>
      </c>
      <c r="E683" s="13">
        <f>'[1]V, inciso p) (OP)'!AD339</f>
        <v>43245</v>
      </c>
      <c r="F683" s="14" t="str">
        <f>'[1]V, inciso p) (OP)'!AL339</f>
        <v>Construcción de Av. Palmira y Av. Las Torres con concreto hidráulico, entre la calle Jardín y Privada Bugambilias, en las colonias Los Cajetes y Palmira, municipio de Zapopan, Jalisco.</v>
      </c>
      <c r="G683" s="14" t="str">
        <f>'[1]V, inciso p) (OP)'!AR339</f>
        <v>Proyectos de Desarrollo Regional 2018</v>
      </c>
      <c r="H683" s="15">
        <f>'[1]V, inciso p) (OP)'!AJ339</f>
        <v>8630561.4700000007</v>
      </c>
      <c r="I683" s="14" t="str">
        <f>'[1]V, inciso p) (OP)'!AS339</f>
        <v>Colonias Los Cajetes y Palmira</v>
      </c>
      <c r="J683" s="14" t="str">
        <f>'[1]V, inciso p) (OP)'!T339</f>
        <v>JOSÉ ANTONIO</v>
      </c>
      <c r="K683" s="14" t="str">
        <f>'[1]V, inciso p) (OP)'!U339</f>
        <v>CERECER</v>
      </c>
      <c r="L683" s="14" t="str">
        <f>'[1]V, inciso p) (OP)'!V339</f>
        <v>RODRÍGUEZ</v>
      </c>
      <c r="M683" s="14" t="str">
        <f>'[1]V, inciso p) (OP)'!W339</f>
        <v>GRUPO CONSTRUCTOR DE LA REGION, S.A. DE C.V.</v>
      </c>
      <c r="N683" s="14" t="str">
        <f>'[1]V, inciso p) (OP)'!X339</f>
        <v>GCR030911B99</v>
      </c>
      <c r="O683" s="15">
        <f t="shared" si="20"/>
        <v>8630561.4700000007</v>
      </c>
      <c r="P683" s="15">
        <f t="shared" si="19"/>
        <v>8630561.4700000007</v>
      </c>
      <c r="Q683" s="23" t="s">
        <v>1230</v>
      </c>
      <c r="R683" s="22">
        <f>O683/5023</f>
        <v>1718.2085347401953</v>
      </c>
      <c r="S683" s="12" t="s">
        <v>42</v>
      </c>
      <c r="T683" s="17">
        <v>3956</v>
      </c>
      <c r="U683" s="14" t="s">
        <v>43</v>
      </c>
      <c r="V683" s="12" t="s">
        <v>378</v>
      </c>
      <c r="W683" s="13">
        <f>'[1]V, inciso p) (OP)'!AM339</f>
        <v>43245</v>
      </c>
      <c r="X683" s="13">
        <f>'[1]V, inciso p) (OP)'!AN339</f>
        <v>43344</v>
      </c>
      <c r="Y683" s="12" t="s">
        <v>735</v>
      </c>
      <c r="Z683" s="12" t="s">
        <v>236</v>
      </c>
      <c r="AA683" s="12" t="s">
        <v>147</v>
      </c>
      <c r="AB683" s="8" t="s">
        <v>1791</v>
      </c>
      <c r="AC683" s="14" t="s">
        <v>48</v>
      </c>
      <c r="AD683" s="14" t="s">
        <v>1571</v>
      </c>
    </row>
    <row r="684" spans="1:30" ht="80.099999999999994" customHeight="1">
      <c r="A684" s="5">
        <v>42</v>
      </c>
      <c r="B684" s="12">
        <v>2018</v>
      </c>
      <c r="C684" s="14" t="str">
        <f>'[1]V, inciso p) (OP)'!B340</f>
        <v>Licitación Pública</v>
      </c>
      <c r="D684" s="14" t="str">
        <f>'[1]V, inciso p) (OP)'!D340</f>
        <v>DOPI-FED-PR-PAV-LP-042-2018</v>
      </c>
      <c r="E684" s="13">
        <f>'[1]V, inciso p) (OP)'!AD340</f>
        <v>43245</v>
      </c>
      <c r="F684" s="14" t="str">
        <f>'[1]V, inciso p) (OP)'!AL340</f>
        <v>Construcción de calle 16 de Septiembre con concreto hidráulico, entre la calle Ocampo y 5 de Mayo, en la colonia de San Juan de Ocotán, municipio de Zapopan, Jalisco.</v>
      </c>
      <c r="G684" s="14" t="str">
        <f>'[1]V, inciso p) (OP)'!AR340</f>
        <v>Proyectos de Desarrollo Regional 2018</v>
      </c>
      <c r="H684" s="15">
        <f>'[1]V, inciso p) (OP)'!AJ340</f>
        <v>8365621.0199999996</v>
      </c>
      <c r="I684" s="14" t="str">
        <f>'[1]V, inciso p) (OP)'!AS340</f>
        <v>Colonia San Juan de Ocotán</v>
      </c>
      <c r="J684" s="14" t="str">
        <f>'[1]V, inciso p) (OP)'!T340</f>
        <v>ROBERTO</v>
      </c>
      <c r="K684" s="14" t="str">
        <f>'[1]V, inciso p) (OP)'!U340</f>
        <v>SILVA</v>
      </c>
      <c r="L684" s="14" t="str">
        <f>'[1]V, inciso p) (OP)'!V340</f>
        <v>VARGAS</v>
      </c>
      <c r="M684" s="14" t="str">
        <f>'[1]V, inciso p) (OP)'!W340</f>
        <v>WERK Y CONSTRUCCIONES, S.A. DE C.V.</v>
      </c>
      <c r="N684" s="14" t="str">
        <f>'[1]V, inciso p) (OP)'!X340</f>
        <v>WCO1701106T6</v>
      </c>
      <c r="O684" s="15">
        <f t="shared" si="20"/>
        <v>8365621.0199999996</v>
      </c>
      <c r="P684" s="15">
        <f t="shared" si="19"/>
        <v>8365621.0199999996</v>
      </c>
      <c r="Q684" s="23" t="s">
        <v>1231</v>
      </c>
      <c r="R684" s="22">
        <f>O684/4870</f>
        <v>1717.7866570841888</v>
      </c>
      <c r="S684" s="12" t="s">
        <v>42</v>
      </c>
      <c r="T684" s="17">
        <v>3687</v>
      </c>
      <c r="U684" s="14" t="s">
        <v>43</v>
      </c>
      <c r="V684" s="12" t="s">
        <v>378</v>
      </c>
      <c r="W684" s="13">
        <f>'[1]V, inciso p) (OP)'!AM340</f>
        <v>43245</v>
      </c>
      <c r="X684" s="13">
        <f>'[1]V, inciso p) (OP)'!AN340</f>
        <v>43344</v>
      </c>
      <c r="Y684" s="12" t="s">
        <v>783</v>
      </c>
      <c r="Z684" s="12" t="s">
        <v>784</v>
      </c>
      <c r="AA684" s="12" t="s">
        <v>81</v>
      </c>
      <c r="AB684" s="8" t="s">
        <v>1792</v>
      </c>
      <c r="AC684" s="14" t="s">
        <v>48</v>
      </c>
      <c r="AD684" s="14" t="s">
        <v>1571</v>
      </c>
    </row>
    <row r="685" spans="1:30" ht="80.099999999999994" customHeight="1">
      <c r="A685" s="5">
        <v>43</v>
      </c>
      <c r="B685" s="12">
        <v>2018</v>
      </c>
      <c r="C685" s="14" t="str">
        <f>'[1]V, inciso p) (OP)'!B341</f>
        <v>Licitación Pública</v>
      </c>
      <c r="D685" s="14" t="str">
        <f>'[1]V, inciso p) (OP)'!D341</f>
        <v>DOPI-FED-PR-PAV-LP-043-2018</v>
      </c>
      <c r="E685" s="13">
        <f>'[1]V, inciso p) (OP)'!AD341</f>
        <v>43245</v>
      </c>
      <c r="F685" s="14" t="str">
        <f>'[1]V, inciso p) (OP)'!AL341</f>
        <v>Construcción de la calle Arenales con concreto hidráulico entre la calle Oro y la calle Mica, en la colonia Arenales Tapatíos, municipio de Zapopan, Jalisco.</v>
      </c>
      <c r="G685" s="14" t="str">
        <f>'[1]V, inciso p) (OP)'!AR341</f>
        <v>Proyectos de Desarrollo Regional 2018</v>
      </c>
      <c r="H685" s="15">
        <f>'[1]V, inciso p) (OP)'!AJ341</f>
        <v>7826903.2800000003</v>
      </c>
      <c r="I685" s="14" t="str">
        <f>'[1]V, inciso p) (OP)'!AS341</f>
        <v>Colonia Arenales Tapatios</v>
      </c>
      <c r="J685" s="14" t="str">
        <f>'[1]V, inciso p) (OP)'!T341</f>
        <v>SERGIO CESAR</v>
      </c>
      <c r="K685" s="14" t="str">
        <f>'[1]V, inciso p) (OP)'!U341</f>
        <v>DÍAZ</v>
      </c>
      <c r="L685" s="14" t="str">
        <f>'[1]V, inciso p) (OP)'!V341</f>
        <v>QUIROZ</v>
      </c>
      <c r="M685" s="14" t="str">
        <f>'[1]V, inciso p) (OP)'!W341</f>
        <v>TRANSCRETO S.A. DE C.V.</v>
      </c>
      <c r="N685" s="14" t="str">
        <f>'[1]V, inciso p) (OP)'!X341</f>
        <v>TRA750528286</v>
      </c>
      <c r="O685" s="15">
        <f t="shared" si="20"/>
        <v>7826903.2800000003</v>
      </c>
      <c r="P685" s="15">
        <f t="shared" si="19"/>
        <v>7826903.2800000003</v>
      </c>
      <c r="Q685" s="23" t="s">
        <v>1232</v>
      </c>
      <c r="R685" s="22">
        <f>O685/4463</f>
        <v>1753.7314093658974</v>
      </c>
      <c r="S685" s="12" t="s">
        <v>42</v>
      </c>
      <c r="T685" s="17">
        <v>496</v>
      </c>
      <c r="U685" s="14" t="s">
        <v>43</v>
      </c>
      <c r="V685" s="12" t="s">
        <v>378</v>
      </c>
      <c r="W685" s="13">
        <f>'[1]V, inciso p) (OP)'!AM341</f>
        <v>43245</v>
      </c>
      <c r="X685" s="13">
        <f>'[1]V, inciso p) (OP)'!AN341</f>
        <v>43344</v>
      </c>
      <c r="Y685" s="12" t="s">
        <v>761</v>
      </c>
      <c r="Z685" s="12" t="s">
        <v>1192</v>
      </c>
      <c r="AA685" s="12" t="s">
        <v>147</v>
      </c>
      <c r="AB685" s="14" t="s">
        <v>48</v>
      </c>
      <c r="AC685" s="14" t="s">
        <v>48</v>
      </c>
      <c r="AD685" s="14" t="s">
        <v>1571</v>
      </c>
    </row>
    <row r="686" spans="1:30" ht="80.099999999999994" customHeight="1">
      <c r="A686" s="5">
        <v>44</v>
      </c>
      <c r="B686" s="12">
        <v>2018</v>
      </c>
      <c r="C686" s="14" t="str">
        <f>'[1]V, inciso p) (OP)'!B342</f>
        <v>Licitación Pública</v>
      </c>
      <c r="D686" s="14" t="str">
        <f>'[1]V, inciso p) (OP)'!D342</f>
        <v>DOPI-FED-PR-PAV-LP-044-2018</v>
      </c>
      <c r="E686" s="13">
        <f>'[1]V, inciso p) (OP)'!AD342</f>
        <v>43245</v>
      </c>
      <c r="F686" s="14" t="str">
        <f>'[1]V, inciso p) (OP)'!AL342</f>
        <v>Construcción de la calle Guadalupe Victoria con concreto hidráulico entre la calle Juárez y 15 de Septiembre, en la colonia Santa María del Pueblito, municipio de Zapopan, Jalisco.</v>
      </c>
      <c r="G686" s="14" t="str">
        <f>'[1]V, inciso p) (OP)'!AR342</f>
        <v>Proyectos de Desarrollo Regional 2018</v>
      </c>
      <c r="H686" s="15">
        <f>'[1]V, inciso p) (OP)'!AJ342</f>
        <v>8616632.8100000005</v>
      </c>
      <c r="I686" s="14" t="str">
        <f>'[1]V, inciso p) (OP)'!AS342</f>
        <v>Colonia Santa Maria del Pueblito</v>
      </c>
      <c r="J686" s="14" t="str">
        <f>'[1]V, inciso p) (OP)'!T342</f>
        <v>J. GERARDO</v>
      </c>
      <c r="K686" s="14" t="str">
        <f>'[1]V, inciso p) (OP)'!U342</f>
        <v>NICANOR</v>
      </c>
      <c r="L686" s="14" t="str">
        <f>'[1]V, inciso p) (OP)'!V342</f>
        <v>MEJIA MARISCAL</v>
      </c>
      <c r="M686" s="14" t="str">
        <f>'[1]V, inciso p) (OP)'!W342</f>
        <v>INECO CONSTRUYE, S.A. DE C.V.</v>
      </c>
      <c r="N686" s="14" t="str">
        <f>'[1]V, inciso p) (OP)'!X342</f>
        <v>ICO980722MQ4</v>
      </c>
      <c r="O686" s="15">
        <f t="shared" si="20"/>
        <v>8616632.8100000005</v>
      </c>
      <c r="P686" s="15">
        <f t="shared" si="19"/>
        <v>8616632.8100000005</v>
      </c>
      <c r="Q686" s="23" t="s">
        <v>1233</v>
      </c>
      <c r="R686" s="22">
        <f>O686/3562</f>
        <v>2419.0434615384615</v>
      </c>
      <c r="S686" s="12" t="s">
        <v>42</v>
      </c>
      <c r="T686" s="17">
        <v>896</v>
      </c>
      <c r="U686" s="14" t="s">
        <v>43</v>
      </c>
      <c r="V686" s="12" t="s">
        <v>378</v>
      </c>
      <c r="W686" s="13">
        <f>'[1]V, inciso p) (OP)'!AM342</f>
        <v>43245</v>
      </c>
      <c r="X686" s="13">
        <f>'[1]V, inciso p) (OP)'!AN342</f>
        <v>43344</v>
      </c>
      <c r="Y686" s="12" t="s">
        <v>322</v>
      </c>
      <c r="Z686" s="12" t="s">
        <v>196</v>
      </c>
      <c r="AA686" s="12" t="s">
        <v>197</v>
      </c>
      <c r="AB686" s="8" t="s">
        <v>1793</v>
      </c>
      <c r="AC686" s="14" t="s">
        <v>48</v>
      </c>
      <c r="AD686" s="14" t="s">
        <v>1571</v>
      </c>
    </row>
    <row r="687" spans="1:30" ht="80.099999999999994" customHeight="1">
      <c r="A687" s="5">
        <v>45</v>
      </c>
      <c r="B687" s="12">
        <v>2018</v>
      </c>
      <c r="C687" s="14" t="str">
        <f>'[1]V, inciso p) (OP)'!B343</f>
        <v>Licitación Pública</v>
      </c>
      <c r="D687" s="14" t="str">
        <f>'[1]V, inciso p) (OP)'!D343</f>
        <v>DOPI-FED-PR-PAV-LP-045-2018</v>
      </c>
      <c r="E687" s="13">
        <f>'[1]V, inciso p) (OP)'!AD343</f>
        <v>43245</v>
      </c>
      <c r="F687" s="14" t="str">
        <f>'[1]V, inciso p) (OP)'!AL343</f>
        <v>Construcción de calle López Cotilla con concreto hidráulico entre la calle Zaragoza y Avenida Vallarta, en la colonia Jocotán, municipio de Zapopan, Jalisco.</v>
      </c>
      <c r="G687" s="14" t="str">
        <f>'[1]V, inciso p) (OP)'!AR343</f>
        <v>Proyectos de Desarrollo Regional 2018</v>
      </c>
      <c r="H687" s="15">
        <f>'[1]V, inciso p) (OP)'!AJ343</f>
        <v>5335680.71</v>
      </c>
      <c r="I687" s="14" t="str">
        <f>'[1]V, inciso p) (OP)'!AS343</f>
        <v>Colonia Jocotán</v>
      </c>
      <c r="J687" s="14" t="str">
        <f>'[1]V, inciso p) (OP)'!T343</f>
        <v>JULIO EDUARDO</v>
      </c>
      <c r="K687" s="14" t="str">
        <f>'[1]V, inciso p) (OP)'!U343</f>
        <v>LÓPEZ</v>
      </c>
      <c r="L687" s="14" t="str">
        <f>'[1]V, inciso p) (OP)'!V343</f>
        <v>PÉREZ</v>
      </c>
      <c r="M687" s="14" t="str">
        <f>'[1]V, inciso p) (OP)'!W343</f>
        <v>PROYECTOS E INSUMOS INDUSTRIALES JELP, S.A. DE C.V.</v>
      </c>
      <c r="N687" s="14" t="str">
        <f>'[1]V, inciso p) (OP)'!X343</f>
        <v>PEI020208RW0</v>
      </c>
      <c r="O687" s="15">
        <f t="shared" si="20"/>
        <v>5335680.71</v>
      </c>
      <c r="P687" s="15">
        <f t="shared" si="19"/>
        <v>5335680.71</v>
      </c>
      <c r="Q687" s="23" t="s">
        <v>1234</v>
      </c>
      <c r="R687" s="22">
        <f>O687/2555</f>
        <v>2088.3290450097847</v>
      </c>
      <c r="S687" s="12" t="s">
        <v>42</v>
      </c>
      <c r="T687" s="17">
        <v>652</v>
      </c>
      <c r="U687" s="14" t="s">
        <v>43</v>
      </c>
      <c r="V687" s="12" t="s">
        <v>378</v>
      </c>
      <c r="W687" s="13">
        <f>'[1]V, inciso p) (OP)'!AM343</f>
        <v>43245</v>
      </c>
      <c r="X687" s="13">
        <f>'[1]V, inciso p) (OP)'!AN343</f>
        <v>43344</v>
      </c>
      <c r="Y687" s="12" t="s">
        <v>322</v>
      </c>
      <c r="Z687" s="12" t="s">
        <v>196</v>
      </c>
      <c r="AA687" s="12" t="s">
        <v>197</v>
      </c>
      <c r="AB687" s="8" t="s">
        <v>1794</v>
      </c>
      <c r="AC687" s="14" t="s">
        <v>48</v>
      </c>
      <c r="AD687" s="14" t="s">
        <v>1571</v>
      </c>
    </row>
    <row r="688" spans="1:30" ht="80.099999999999994" customHeight="1">
      <c r="A688" s="5">
        <v>46</v>
      </c>
      <c r="B688" s="12">
        <v>2018</v>
      </c>
      <c r="C688" s="14" t="str">
        <f>'[1]V, inciso p) (OP)'!B344</f>
        <v>Licitación Pública</v>
      </c>
      <c r="D688" s="14" t="str">
        <f>'[1]V, inciso p) (OP)'!D344</f>
        <v>DOPI-FED-PR-PAV-LP-046-2018</v>
      </c>
      <c r="E688" s="13">
        <f>'[1]V, inciso p) (OP)'!AD344</f>
        <v>43245</v>
      </c>
      <c r="F688" s="14" t="str">
        <f>'[1]V, inciso p) (OP)'!AL344</f>
        <v>Construcción de la calle Puerto Manzanillo con concreto hidráulico entre la calle Puerto México y Prolongación Tepeyac, en la colonia Miramar, municipio de Zapopan, Jalisco.</v>
      </c>
      <c r="G688" s="14" t="str">
        <f>'[1]V, inciso p) (OP)'!AR344</f>
        <v>Proyectos de Desarrollo Regional 2018</v>
      </c>
      <c r="H688" s="15">
        <f>'[1]V, inciso p) (OP)'!AJ344</f>
        <v>8175270.79</v>
      </c>
      <c r="I688" s="14" t="str">
        <f>'[1]V, inciso p) (OP)'!AS344</f>
        <v>Colonia Miramar</v>
      </c>
      <c r="J688" s="14" t="str">
        <f>'[1]V, inciso p) (OP)'!T344</f>
        <v xml:space="preserve">ADRIANA ISABEL </v>
      </c>
      <c r="K688" s="14" t="str">
        <f>'[1]V, inciso p) (OP)'!U344</f>
        <v xml:space="preserve">MONTAÑEZ </v>
      </c>
      <c r="L688" s="14" t="str">
        <f>'[1]V, inciso p) (OP)'!V344</f>
        <v>ZAMORA</v>
      </c>
      <c r="M688" s="14" t="str">
        <f>'[1]V, inciso p) (OP)'!W344</f>
        <v>GRUPO CONSTRUCTOR TZOE, S.A. DE C.V.</v>
      </c>
      <c r="N688" s="14" t="str">
        <f>'[1]V, inciso p) (OP)'!X344</f>
        <v>GCT12060233A</v>
      </c>
      <c r="O688" s="15">
        <f t="shared" si="20"/>
        <v>8175270.79</v>
      </c>
      <c r="P688" s="15">
        <f t="shared" si="19"/>
        <v>8175270.79</v>
      </c>
      <c r="Q688" s="23" t="s">
        <v>415</v>
      </c>
      <c r="R688" s="22">
        <f>O688/5324</f>
        <v>1535.5504864763336</v>
      </c>
      <c r="S688" s="12" t="s">
        <v>42</v>
      </c>
      <c r="T688" s="17">
        <v>867</v>
      </c>
      <c r="U688" s="14" t="s">
        <v>43</v>
      </c>
      <c r="V688" s="12" t="s">
        <v>378</v>
      </c>
      <c r="W688" s="13">
        <f>'[1]V, inciso p) (OP)'!AM344</f>
        <v>43245</v>
      </c>
      <c r="X688" s="13">
        <f>'[1]V, inciso p) (OP)'!AN344</f>
        <v>43344</v>
      </c>
      <c r="Y688" s="12" t="s">
        <v>418</v>
      </c>
      <c r="Z688" s="12" t="s">
        <v>419</v>
      </c>
      <c r="AA688" s="12" t="s">
        <v>420</v>
      </c>
      <c r="AB688" s="8" t="s">
        <v>1795</v>
      </c>
      <c r="AC688" s="14" t="s">
        <v>48</v>
      </c>
      <c r="AD688" s="14" t="s">
        <v>1571</v>
      </c>
    </row>
    <row r="689" spans="1:30" ht="80.099999999999994" customHeight="1">
      <c r="A689" s="5">
        <v>47</v>
      </c>
      <c r="B689" s="12">
        <v>2018</v>
      </c>
      <c r="C689" s="14" t="str">
        <f>'[1]V, inciso p) (OP)'!B345</f>
        <v>Licitación Pública</v>
      </c>
      <c r="D689" s="14" t="str">
        <f>'[1]V, inciso p) (OP)'!D345</f>
        <v>DOPI-FED-PR-PAV-LP-047-2018</v>
      </c>
      <c r="E689" s="13">
        <f>'[1]V, inciso p) (OP)'!AD345</f>
        <v>43245</v>
      </c>
      <c r="F689" s="14" t="str">
        <f>'[1]V, inciso p) (OP)'!AL345</f>
        <v>Construcción de la calle Ramón Corona con concreto hidráulico entre la calle Manuel M. Diéguez y López Cotilla, en la colonia Jocotán, municipio de Zapopan, Jalisco.</v>
      </c>
      <c r="G689" s="14" t="str">
        <f>'[1]V, inciso p) (OP)'!AR345</f>
        <v>Proyectos de Desarrollo Regional 2018</v>
      </c>
      <c r="H689" s="15">
        <f>'[1]V, inciso p) (OP)'!AJ345</f>
        <v>3193802.75</v>
      </c>
      <c r="I689" s="14" t="str">
        <f>'[1]V, inciso p) (OP)'!AS345</f>
        <v>Colonia Jocotán</v>
      </c>
      <c r="J689" s="14" t="str">
        <f>'[1]V, inciso p) (OP)'!T345</f>
        <v>MA. LUIZA</v>
      </c>
      <c r="K689" s="14" t="str">
        <f>'[1]V, inciso p) (OP)'!U345</f>
        <v>MARTÍNEZ</v>
      </c>
      <c r="L689" s="14" t="str">
        <f>'[1]V, inciso p) (OP)'!V345</f>
        <v>ALMARAZ</v>
      </c>
      <c r="M689" s="14" t="str">
        <f>'[1]V, inciso p) (OP)'!W345</f>
        <v>J&amp;L ASESORIA Y SERVICIOS, S.A. DE C.V.</v>
      </c>
      <c r="N689" s="14" t="str">
        <f>'[1]V, inciso p) (OP)'!X345</f>
        <v>JAS170622TX0</v>
      </c>
      <c r="O689" s="15">
        <f t="shared" si="20"/>
        <v>3193802.75</v>
      </c>
      <c r="P689" s="15">
        <f t="shared" si="19"/>
        <v>3193802.75</v>
      </c>
      <c r="Q689" s="23" t="s">
        <v>1235</v>
      </c>
      <c r="R689" s="22">
        <f>O689/1611</f>
        <v>1982.4970515207945</v>
      </c>
      <c r="S689" s="12" t="s">
        <v>42</v>
      </c>
      <c r="T689" s="17">
        <v>863</v>
      </c>
      <c r="U689" s="14" t="s">
        <v>43</v>
      </c>
      <c r="V689" s="12" t="s">
        <v>378</v>
      </c>
      <c r="W689" s="13">
        <f>'[1]V, inciso p) (OP)'!AM345</f>
        <v>43245</v>
      </c>
      <c r="X689" s="13">
        <f>'[1]V, inciso p) (OP)'!AN345</f>
        <v>43344</v>
      </c>
      <c r="Y689" s="12" t="s">
        <v>322</v>
      </c>
      <c r="Z689" s="12" t="s">
        <v>196</v>
      </c>
      <c r="AA689" s="12" t="s">
        <v>197</v>
      </c>
      <c r="AB689" s="8" t="s">
        <v>1796</v>
      </c>
      <c r="AC689" s="14" t="s">
        <v>48</v>
      </c>
      <c r="AD689" s="14" t="s">
        <v>1571</v>
      </c>
    </row>
    <row r="690" spans="1:30" ht="80.099999999999994" customHeight="1">
      <c r="A690" s="5">
        <v>48</v>
      </c>
      <c r="B690" s="12">
        <v>2018</v>
      </c>
      <c r="C690" s="14" t="str">
        <f>'[1]V, inciso p) (OP)'!B346</f>
        <v>Licitación Pública</v>
      </c>
      <c r="D690" s="14" t="str">
        <f>'[1]V, inciso p) (OP)'!D346</f>
        <v>DOPI-FED-PR-PAV-LP-048-2018</v>
      </c>
      <c r="E690" s="13">
        <f>'[1]V, inciso p) (OP)'!AD346</f>
        <v>43245</v>
      </c>
      <c r="F690" s="14" t="str">
        <f>'[1]V, inciso p) (OP)'!AL346</f>
        <v>Construcción de calle Calzada Norte con empedrado tradicional y huellas de concreto hidráulico entre la calle Calzada Central y calle Calzada de Los Álamos, en la colonia Ciudad Granja, municipio de Zapopan, Jalisco.</v>
      </c>
      <c r="G690" s="14" t="str">
        <f>'[1]V, inciso p) (OP)'!AR346</f>
        <v>Proyectos de Desarrollo Regional 2018</v>
      </c>
      <c r="H690" s="15">
        <f>'[1]V, inciso p) (OP)'!AJ346</f>
        <v>8453090.6600000001</v>
      </c>
      <c r="I690" s="14" t="str">
        <f>'[1]V, inciso p) (OP)'!AS346</f>
        <v>Colonia Ciudad Granja</v>
      </c>
      <c r="J690" s="14" t="str">
        <f>'[1]V, inciso p) (OP)'!T346</f>
        <v>HAYDEE LILIANA</v>
      </c>
      <c r="K690" s="14" t="str">
        <f>'[1]V, inciso p) (OP)'!U346</f>
        <v>AGUILAR</v>
      </c>
      <c r="L690" s="14" t="str">
        <f>'[1]V, inciso p) (OP)'!V346</f>
        <v>CASSIAN</v>
      </c>
      <c r="M690" s="14" t="str">
        <f>'[1]V, inciso p) (OP)'!W346</f>
        <v>EDIFICA 2001, S.A. DE C.V.</v>
      </c>
      <c r="N690" s="14" t="str">
        <f>'[1]V, inciso p) (OP)'!X346</f>
        <v>EDM970225I68</v>
      </c>
      <c r="O690" s="15">
        <f t="shared" si="20"/>
        <v>8453090.6600000001</v>
      </c>
      <c r="P690" s="15">
        <f t="shared" si="19"/>
        <v>8453090.6600000001</v>
      </c>
      <c r="Q690" s="23" t="s">
        <v>1236</v>
      </c>
      <c r="R690" s="22">
        <f>O690/3302</f>
        <v>2559.9911144760749</v>
      </c>
      <c r="S690" s="12" t="s">
        <v>42</v>
      </c>
      <c r="T690" s="17">
        <v>4988</v>
      </c>
      <c r="U690" s="14" t="s">
        <v>43</v>
      </c>
      <c r="V690" s="12" t="s">
        <v>378</v>
      </c>
      <c r="W690" s="13">
        <f>'[1]V, inciso p) (OP)'!AM346</f>
        <v>43245</v>
      </c>
      <c r="X690" s="13">
        <f>'[1]V, inciso p) (OP)'!AN346</f>
        <v>43344</v>
      </c>
      <c r="Y690" s="12" t="s">
        <v>385</v>
      </c>
      <c r="Z690" s="12" t="s">
        <v>46</v>
      </c>
      <c r="AA690" s="12" t="s">
        <v>47</v>
      </c>
      <c r="AB690" s="8" t="s">
        <v>1797</v>
      </c>
      <c r="AC690" s="14" t="s">
        <v>48</v>
      </c>
      <c r="AD690" s="14" t="s">
        <v>1571</v>
      </c>
    </row>
    <row r="691" spans="1:30" ht="80.099999999999994" customHeight="1">
      <c r="A691" s="5">
        <v>49</v>
      </c>
      <c r="B691" s="12">
        <v>2018</v>
      </c>
      <c r="C691" s="14" t="str">
        <f>'[1]V, inciso p) (OP)'!B347</f>
        <v>Licitación Pública</v>
      </c>
      <c r="D691" s="14" t="str">
        <f>'[1]V, inciso p) (OP)'!D347</f>
        <v>DOPI-MUN-RM-ID-LP-049-2018</v>
      </c>
      <c r="E691" s="13">
        <f>'[1]V, inciso p) (OP)'!AD347</f>
        <v>43245</v>
      </c>
      <c r="F691" s="14" t="str">
        <f>'[1]V, inciso p) (OP)'!AL347</f>
        <v>Rehabilitación de la Unidad Deportiva República, primera etapa (ingreso Principal, rehabilitación de dos canchas de usos múltiples, rehabilitación de gradas, alumbrado, rehabilitación de cancha de futbol, skatepark y cercado perimetral), municipio de Zapopan, Jalisco.</v>
      </c>
      <c r="G691" s="14" t="str">
        <f>'[1]V, inciso p) (OP)'!AR347</f>
        <v>Recurso Propio</v>
      </c>
      <c r="H691" s="15">
        <f>'[1]V, inciso p) (OP)'!AJ347</f>
        <v>5427047.8300000001</v>
      </c>
      <c r="I691" s="14" t="str">
        <f>'[1]V, inciso p) (OP)'!AS347</f>
        <v>Colonia San Francisco</v>
      </c>
      <c r="J691" s="14" t="str">
        <f>'[1]V, inciso p) (OP)'!T347</f>
        <v>OMAR</v>
      </c>
      <c r="K691" s="14" t="str">
        <f>'[1]V, inciso p) (OP)'!U347</f>
        <v>MORA</v>
      </c>
      <c r="L691" s="14" t="str">
        <f>'[1]V, inciso p) (OP)'!V347</f>
        <v>MONTES DE OCA</v>
      </c>
      <c r="M691" s="14" t="str">
        <f>'[1]V, inciso p) (OP)'!W347</f>
        <v>DOMMONT CONSTRUCCIÓNES, S.A. DE C.V.</v>
      </c>
      <c r="N691" s="14" t="str">
        <f>'[1]V, inciso p) (OP)'!X347</f>
        <v>DCO130215C16</v>
      </c>
      <c r="O691" s="15">
        <f t="shared" si="20"/>
        <v>5427047.8300000001</v>
      </c>
      <c r="P691" s="15">
        <f t="shared" si="19"/>
        <v>5427047.8300000001</v>
      </c>
      <c r="Q691" s="23" t="s">
        <v>1237</v>
      </c>
      <c r="R691" s="22">
        <f>O691/1091</f>
        <v>4974.3793125572865</v>
      </c>
      <c r="S691" s="12" t="s">
        <v>42</v>
      </c>
      <c r="T691" s="17">
        <v>4233</v>
      </c>
      <c r="U691" s="14" t="s">
        <v>43</v>
      </c>
      <c r="V691" s="12" t="s">
        <v>378</v>
      </c>
      <c r="W691" s="13">
        <f>'[1]V, inciso p) (OP)'!AM347</f>
        <v>43245</v>
      </c>
      <c r="X691" s="13">
        <f>'[1]V, inciso p) (OP)'!AN347</f>
        <v>43334</v>
      </c>
      <c r="Y691" s="12" t="s">
        <v>439</v>
      </c>
      <c r="Z691" s="12" t="s">
        <v>186</v>
      </c>
      <c r="AA691" s="12" t="s">
        <v>92</v>
      </c>
      <c r="AB691" s="8" t="s">
        <v>1798</v>
      </c>
      <c r="AC691" s="14" t="s">
        <v>48</v>
      </c>
      <c r="AD691" s="14" t="s">
        <v>1571</v>
      </c>
    </row>
    <row r="692" spans="1:30" ht="80.099999999999994" customHeight="1">
      <c r="A692" s="5">
        <v>50</v>
      </c>
      <c r="B692" s="12">
        <v>2018</v>
      </c>
      <c r="C692" s="14" t="str">
        <f>'[1]V, inciso p) (OP)'!B348</f>
        <v>Concurso por Invitación</v>
      </c>
      <c r="D692" s="14" t="str">
        <f>'[1]V, inciso p) (OP)'!D348</f>
        <v>DOPI-EST-FOCOCI-PAV-CI-050-2018</v>
      </c>
      <c r="E692" s="13">
        <f>'[1]V, inciso p) (OP)'!AD348</f>
        <v>43248</v>
      </c>
      <c r="F692" s="14" t="str">
        <f>'[1]V, inciso p) (OP)'!AL348</f>
        <v>Pavimentación con concreto hidráulico en la Av. Palmira incluye: drenaje sanitario, agua potable, drenaje pluvial, banquetas, peatonalización, señalamiento y obras complementarias, en las colonias Palmira y Florida, en el municipio de Zapopan, Jalisco.</v>
      </c>
      <c r="G692" s="14" t="str">
        <f>'[1]V, inciso p) (OP)'!AR348</f>
        <v>Fondo Común Concursable para Infraestructura 2018</v>
      </c>
      <c r="H692" s="15">
        <f>'[1]V, inciso p) (OP)'!AJ348</f>
        <v>4892294.8099999996</v>
      </c>
      <c r="I692" s="14" t="str">
        <f>'[1]V, inciso p) (OP)'!AS348</f>
        <v>Colonias Palmira y Florida</v>
      </c>
      <c r="J692" s="14" t="str">
        <f>'[1]V, inciso p) (OP)'!T348</f>
        <v xml:space="preserve">EDUARDO </v>
      </c>
      <c r="K692" s="14" t="str">
        <f>'[1]V, inciso p) (OP)'!U348</f>
        <v>CRUZ</v>
      </c>
      <c r="L692" s="14" t="str">
        <f>'[1]V, inciso p) (OP)'!V348</f>
        <v>MOGUEL</v>
      </c>
      <c r="M692" s="14" t="str">
        <f>'[1]V, inciso p) (OP)'!W348</f>
        <v>BALKEN, S.A. DE C.V.</v>
      </c>
      <c r="N692" s="14" t="str">
        <f>'[1]V, inciso p) (OP)'!X348</f>
        <v>BAL990803661</v>
      </c>
      <c r="O692" s="15">
        <f t="shared" si="20"/>
        <v>4892294.8099999996</v>
      </c>
      <c r="P692" s="15">
        <f t="shared" si="19"/>
        <v>4892294.8099999996</v>
      </c>
      <c r="Q692" s="23" t="s">
        <v>1238</v>
      </c>
      <c r="R692" s="22">
        <f>O692/2347</f>
        <v>2084.48862803579</v>
      </c>
      <c r="S692" s="12" t="s">
        <v>42</v>
      </c>
      <c r="T692" s="17">
        <v>1203</v>
      </c>
      <c r="U692" s="14" t="s">
        <v>43</v>
      </c>
      <c r="V692" s="12" t="s">
        <v>378</v>
      </c>
      <c r="W692" s="13">
        <f>'[1]V, inciso p) (OP)'!AM348</f>
        <v>43248</v>
      </c>
      <c r="X692" s="13">
        <f>'[1]V, inciso p) (OP)'!AN348</f>
        <v>43352</v>
      </c>
      <c r="Y692" s="12" t="s">
        <v>735</v>
      </c>
      <c r="Z692" s="12" t="s">
        <v>236</v>
      </c>
      <c r="AA692" s="12" t="s">
        <v>147</v>
      </c>
      <c r="AB692" s="14" t="s">
        <v>48</v>
      </c>
      <c r="AC692" s="14" t="s">
        <v>48</v>
      </c>
      <c r="AD692" s="14" t="s">
        <v>1571</v>
      </c>
    </row>
    <row r="693" spans="1:30" ht="80.099999999999994" customHeight="1">
      <c r="A693" s="5">
        <v>51</v>
      </c>
      <c r="B693" s="12">
        <v>2018</v>
      </c>
      <c r="C693" s="14" t="str">
        <f>'[1]V, inciso p) (OP)'!B349</f>
        <v>Concurso por Invitación</v>
      </c>
      <c r="D693" s="14" t="str">
        <f>'[1]V, inciso p) (OP)'!D349</f>
        <v>DOPI-EST-FOCOCI-IM-CI-051-2018</v>
      </c>
      <c r="E693" s="13">
        <f>'[1]V, inciso p) (OP)'!AD349</f>
        <v>43248</v>
      </c>
      <c r="F693" s="14" t="str">
        <f>'[1]V, inciso p) (OP)'!AL349</f>
        <v>Construcción de Centro Comunitario San Juan de Ocotán, segunda etapa, en el municipio de Zapopan, Jalisco, frente 1.</v>
      </c>
      <c r="G693" s="14" t="str">
        <f>'[1]V, inciso p) (OP)'!AR349</f>
        <v>Fondo Común Concursable para Infraestructura 2018</v>
      </c>
      <c r="H693" s="15">
        <f>'[1]V, inciso p) (OP)'!AJ349</f>
        <v>4901568.4000000004</v>
      </c>
      <c r="I693" s="14" t="str">
        <f>'[1]V, inciso p) (OP)'!AS349</f>
        <v>Colonia San Juan de Ocotán</v>
      </c>
      <c r="J693" s="14" t="str">
        <f>'[1]V, inciso p) (OP)'!T349</f>
        <v>JOSÉ ANTONIO</v>
      </c>
      <c r="K693" s="14" t="str">
        <f>'[1]V, inciso p) (OP)'!U349</f>
        <v>CISNEROS</v>
      </c>
      <c r="L693" s="14" t="str">
        <f>'[1]V, inciso p) (OP)'!V349</f>
        <v>CASTILLO</v>
      </c>
      <c r="M693" s="14" t="str">
        <f>'[1]V, inciso p) (OP)'!W349</f>
        <v>AXIOMA PROYECTOS E INGENIERIA, S.A. DE C.V.</v>
      </c>
      <c r="N693" s="14" t="str">
        <f>'[1]V, inciso p) (OP)'!X349</f>
        <v>APE111122MI0</v>
      </c>
      <c r="O693" s="15">
        <f t="shared" si="20"/>
        <v>4901568.4000000004</v>
      </c>
      <c r="P693" s="15">
        <f t="shared" si="19"/>
        <v>4901568.4000000004</v>
      </c>
      <c r="Q693" s="23" t="s">
        <v>1239</v>
      </c>
      <c r="R693" s="22">
        <f>O693/2027</f>
        <v>2418.1393191909228</v>
      </c>
      <c r="S693" s="12" t="s">
        <v>42</v>
      </c>
      <c r="T693" s="17">
        <v>4698</v>
      </c>
      <c r="U693" s="14" t="s">
        <v>43</v>
      </c>
      <c r="V693" s="12" t="s">
        <v>378</v>
      </c>
      <c r="W693" s="13">
        <f>'[1]V, inciso p) (OP)'!AM349</f>
        <v>43248</v>
      </c>
      <c r="X693" s="13">
        <f>'[1]V, inciso p) (OP)'!AN349</f>
        <v>43347</v>
      </c>
      <c r="Y693" s="12" t="s">
        <v>735</v>
      </c>
      <c r="Z693" s="12" t="s">
        <v>236</v>
      </c>
      <c r="AA693" s="12" t="s">
        <v>147</v>
      </c>
      <c r="AB693" s="8" t="s">
        <v>1799</v>
      </c>
      <c r="AC693" s="14" t="s">
        <v>48</v>
      </c>
      <c r="AD693" s="14" t="s">
        <v>1571</v>
      </c>
    </row>
    <row r="694" spans="1:30" ht="80.099999999999994" customHeight="1">
      <c r="A694" s="5">
        <v>52</v>
      </c>
      <c r="B694" s="12">
        <v>2018</v>
      </c>
      <c r="C694" s="14" t="str">
        <f>'[1]V, inciso p) (OP)'!B350</f>
        <v>Concurso por Invitación</v>
      </c>
      <c r="D694" s="14" t="str">
        <f>'[1]V, inciso p) (OP)'!D350</f>
        <v>DOPI-EST-FOCOCI-IM-CI-052-2018</v>
      </c>
      <c r="E694" s="13">
        <f>'[1]V, inciso p) (OP)'!AD350</f>
        <v>43248</v>
      </c>
      <c r="F694" s="14" t="str">
        <f>'[1]V, inciso p) (OP)'!AL350</f>
        <v>Construcción de Centro Comunitario San Juan de Ocotán, segunda etapa, en el municipio de Zapopan, Jalisco, frente 2.</v>
      </c>
      <c r="G694" s="14" t="str">
        <f>'[1]V, inciso p) (OP)'!AR350</f>
        <v>Fondo Común Concursable para Infraestructura 2018</v>
      </c>
      <c r="H694" s="15">
        <f>'[1]V, inciso p) (OP)'!AJ350</f>
        <v>4893781.5199999996</v>
      </c>
      <c r="I694" s="14" t="str">
        <f>'[1]V, inciso p) (OP)'!AS350</f>
        <v>Colonia San Juan de Ocotán</v>
      </c>
      <c r="J694" s="14" t="str">
        <f>'[1]V, inciso p) (OP)'!T350</f>
        <v>JUAN JOSÉ</v>
      </c>
      <c r="K694" s="14" t="str">
        <f>'[1]V, inciso p) (OP)'!U350</f>
        <v>GUTIÉRREZ</v>
      </c>
      <c r="L694" s="14" t="str">
        <f>'[1]V, inciso p) (OP)'!V350</f>
        <v>CONTRERAS</v>
      </c>
      <c r="M694" s="14" t="str">
        <f>'[1]V, inciso p) (OP)'!W350</f>
        <v>RENCOIST CONSTRUCCIÓNES, S.A. DE C.V.</v>
      </c>
      <c r="N694" s="14" t="str">
        <f>'[1]V, inciso p) (OP)'!X350</f>
        <v>RCO130920JX9</v>
      </c>
      <c r="O694" s="15">
        <f t="shared" si="20"/>
        <v>4893781.5199999996</v>
      </c>
      <c r="P694" s="15">
        <f t="shared" si="19"/>
        <v>4893781.5199999996</v>
      </c>
      <c r="Q694" s="23" t="s">
        <v>1239</v>
      </c>
      <c r="R694" s="22">
        <f>O694/2027</f>
        <v>2414.2977405032066</v>
      </c>
      <c r="S694" s="12" t="s">
        <v>42</v>
      </c>
      <c r="T694" s="17">
        <v>4698</v>
      </c>
      <c r="U694" s="14" t="s">
        <v>43</v>
      </c>
      <c r="V694" s="12" t="s">
        <v>378</v>
      </c>
      <c r="W694" s="13">
        <f>'[1]V, inciso p) (OP)'!AM350</f>
        <v>43248</v>
      </c>
      <c r="X694" s="13">
        <f>'[1]V, inciso p) (OP)'!AN350</f>
        <v>43347</v>
      </c>
      <c r="Y694" s="12" t="s">
        <v>735</v>
      </c>
      <c r="Z694" s="12" t="s">
        <v>236</v>
      </c>
      <c r="AA694" s="12" t="s">
        <v>147</v>
      </c>
      <c r="AB694" s="8" t="s">
        <v>1800</v>
      </c>
      <c r="AC694" s="14" t="s">
        <v>48</v>
      </c>
      <c r="AD694" s="14" t="s">
        <v>1571</v>
      </c>
    </row>
    <row r="695" spans="1:30" ht="80.099999999999994" customHeight="1">
      <c r="A695" s="5">
        <v>53</v>
      </c>
      <c r="B695" s="12">
        <v>2018</v>
      </c>
      <c r="C695" s="14" t="str">
        <f>'[1]V, inciso p) (OP)'!B351</f>
        <v>Concurso por Invitación</v>
      </c>
      <c r="D695" s="14" t="str">
        <f>'[1]V, inciso p) (OP)'!D351</f>
        <v>DOPI-EST-FOCOCI-PAV-CI-053-2018</v>
      </c>
      <c r="E695" s="13">
        <f>'[1]V, inciso p) (OP)'!AD351</f>
        <v>43248</v>
      </c>
      <c r="F695" s="14" t="str">
        <f>'[1]V, inciso p) (OP)'!AL351</f>
        <v>Ampliación lateral Oriente Camino a Bosques de San Isidro, incluye: drenaje sanitario, agua potable, guarniciones, banquetas, y señalamiento, en la colonia San José del Bajío, municipio de Zapopan, Jalisco.</v>
      </c>
      <c r="G695" s="14" t="str">
        <f>'[1]V, inciso p) (OP)'!AR351</f>
        <v>Fondo Común Concursable para Infraestructura 2018</v>
      </c>
      <c r="H695" s="15">
        <f>'[1]V, inciso p) (OP)'!AJ351</f>
        <v>3037461.07</v>
      </c>
      <c r="I695" s="14" t="str">
        <f>'[1]V, inciso p) (OP)'!AS351</f>
        <v>Colonia San José del Bajío</v>
      </c>
      <c r="J695" s="14" t="str">
        <f>'[1]V, inciso p) (OP)'!T351</f>
        <v>SERGIO CESAR</v>
      </c>
      <c r="K695" s="14" t="str">
        <f>'[1]V, inciso p) (OP)'!U351</f>
        <v>DÍAZ</v>
      </c>
      <c r="L695" s="14" t="str">
        <f>'[1]V, inciso p) (OP)'!V351</f>
        <v>QUIROZ</v>
      </c>
      <c r="M695" s="14" t="str">
        <f>'[1]V, inciso p) (OP)'!W351</f>
        <v>GRUPO UNICRETO DE MÉXICO S.A. DE C.V.</v>
      </c>
      <c r="N695" s="14" t="str">
        <f>'[1]V, inciso p) (OP)'!X351</f>
        <v>GUM111201IA5</v>
      </c>
      <c r="O695" s="15">
        <f t="shared" si="20"/>
        <v>3037461.07</v>
      </c>
      <c r="P695" s="15">
        <f t="shared" si="19"/>
        <v>3037461.07</v>
      </c>
      <c r="Q695" s="23" t="s">
        <v>482</v>
      </c>
      <c r="R695" s="22">
        <f>O695/1844</f>
        <v>1647.2131616052061</v>
      </c>
      <c r="S695" s="12" t="s">
        <v>42</v>
      </c>
      <c r="T695" s="17">
        <v>15623</v>
      </c>
      <c r="U695" s="14" t="s">
        <v>43</v>
      </c>
      <c r="V695" s="12" t="s">
        <v>378</v>
      </c>
      <c r="W695" s="13">
        <f>'[1]V, inciso p) (OP)'!AM351</f>
        <v>43248</v>
      </c>
      <c r="X695" s="13">
        <f>'[1]V, inciso p) (OP)'!AN351</f>
        <v>43337</v>
      </c>
      <c r="Y695" s="12" t="s">
        <v>418</v>
      </c>
      <c r="Z695" s="12" t="s">
        <v>419</v>
      </c>
      <c r="AA695" s="12" t="s">
        <v>420</v>
      </c>
      <c r="AB695" s="8" t="s">
        <v>1801</v>
      </c>
      <c r="AC695" s="14" t="s">
        <v>48</v>
      </c>
      <c r="AD695" s="14" t="s">
        <v>1571</v>
      </c>
    </row>
    <row r="696" spans="1:30" ht="80.099999999999994" customHeight="1">
      <c r="A696" s="5">
        <v>54</v>
      </c>
      <c r="B696" s="12">
        <v>2018</v>
      </c>
      <c r="C696" s="14" t="str">
        <f>'[1]V, inciso p) (OP)'!B352</f>
        <v>Concurso por Invitación</v>
      </c>
      <c r="D696" s="14" t="str">
        <f>'[1]V, inciso p) (OP)'!D352</f>
        <v>DOPI-EST-FOCOCI-PAV-CI-054-2018</v>
      </c>
      <c r="E696" s="13">
        <f>'[1]V, inciso p) (OP)'!AD352</f>
        <v>43248</v>
      </c>
      <c r="F696" s="14" t="str">
        <f>'[1]V, inciso p) (OP)'!AL352</f>
        <v>Reconstrucción del puente que cruza el arroyo La Culebra por la calle San Florencio, dentro del fraccionamiento Residencial Colomos Patria.</v>
      </c>
      <c r="G696" s="14" t="str">
        <f>'[1]V, inciso p) (OP)'!AR352</f>
        <v>Fondo Común Concursable para Infraestructura 2018</v>
      </c>
      <c r="H696" s="15">
        <f>'[1]V, inciso p) (OP)'!AJ352</f>
        <v>4093790.32</v>
      </c>
      <c r="I696" s="14" t="str">
        <f>'[1]V, inciso p) (OP)'!AS352</f>
        <v>Fraccionamiento Residencial Colomos Patria</v>
      </c>
      <c r="J696" s="14" t="str">
        <f>'[1]V, inciso p) (OP)'!T352</f>
        <v>DAVID EDUARDO</v>
      </c>
      <c r="K696" s="14" t="str">
        <f>'[1]V, inciso p) (OP)'!U352</f>
        <v>LARA</v>
      </c>
      <c r="L696" s="14" t="str">
        <f>'[1]V, inciso p) (OP)'!V352</f>
        <v>OCHOA</v>
      </c>
      <c r="M696" s="14" t="str">
        <f>'[1]V, inciso p) (OP)'!W352</f>
        <v xml:space="preserve">CONSTRUCCIONES ICU, S.A. DE C.V. </v>
      </c>
      <c r="N696" s="14" t="str">
        <f>'[1]V, inciso p) (OP)'!X352</f>
        <v>CIC080626ER2</v>
      </c>
      <c r="O696" s="15">
        <f t="shared" si="20"/>
        <v>4093790.32</v>
      </c>
      <c r="P696" s="15">
        <f t="shared" ref="P696:P728" si="21">O696</f>
        <v>4093790.32</v>
      </c>
      <c r="Q696" s="23" t="s">
        <v>1240</v>
      </c>
      <c r="R696" s="22">
        <f>O696/101</f>
        <v>40532.577425742573</v>
      </c>
      <c r="S696" s="12" t="s">
        <v>42</v>
      </c>
      <c r="T696" s="17">
        <v>1025</v>
      </c>
      <c r="U696" s="14" t="s">
        <v>43</v>
      </c>
      <c r="V696" s="12" t="s">
        <v>378</v>
      </c>
      <c r="W696" s="13">
        <f>'[1]V, inciso p) (OP)'!AM352</f>
        <v>43248</v>
      </c>
      <c r="X696" s="13">
        <f>'[1]V, inciso p) (OP)'!AN352</f>
        <v>43337</v>
      </c>
      <c r="Y696" s="12" t="s">
        <v>322</v>
      </c>
      <c r="Z696" s="12" t="s">
        <v>196</v>
      </c>
      <c r="AA696" s="12" t="s">
        <v>197</v>
      </c>
      <c r="AB696" s="8" t="s">
        <v>1802</v>
      </c>
      <c r="AC696" s="14" t="s">
        <v>48</v>
      </c>
      <c r="AD696" s="14" t="s">
        <v>1571</v>
      </c>
    </row>
    <row r="697" spans="1:30" ht="80.099999999999994" customHeight="1">
      <c r="A697" s="5">
        <v>55</v>
      </c>
      <c r="B697" s="12">
        <v>2018</v>
      </c>
      <c r="C697" s="14" t="str">
        <f>'[1]V, inciso p) (OP)'!B353</f>
        <v>Concurso por Invitación</v>
      </c>
      <c r="D697" s="14" t="str">
        <f>'[1]V, inciso p) (OP)'!D353</f>
        <v>DOPI-EST-FOCOCI-ID-CI-055-2018</v>
      </c>
      <c r="E697" s="13">
        <f>'[1]V, inciso p) (OP)'!AD353</f>
        <v>43248</v>
      </c>
      <c r="F697" s="14" t="str">
        <f>'[1]V, inciso p) (OP)'!AL353</f>
        <v>Rehabilitación del parque unidad de manejo ambiental Villa Fantasía, en la colonia Tepeyac, Segunda etapa, frente 1.</v>
      </c>
      <c r="G697" s="14" t="str">
        <f>'[1]V, inciso p) (OP)'!AR353</f>
        <v>Fondo Común Concursable para Infraestructura 2018</v>
      </c>
      <c r="H697" s="15">
        <f>'[1]V, inciso p) (OP)'!AJ353</f>
        <v>6169958.46</v>
      </c>
      <c r="I697" s="14" t="str">
        <f>'[1]V, inciso p) (OP)'!AS353</f>
        <v>Colonia Tepeyac</v>
      </c>
      <c r="J697" s="14" t="str">
        <f>'[1]V, inciso p) (OP)'!T353</f>
        <v>ERICK</v>
      </c>
      <c r="K697" s="14" t="str">
        <f>'[1]V, inciso p) (OP)'!U353</f>
        <v>VILLASEÑOR</v>
      </c>
      <c r="L697" s="14" t="str">
        <f>'[1]V, inciso p) (OP)'!V353</f>
        <v>GUTIÉRREZ</v>
      </c>
      <c r="M697" s="14" t="str">
        <f>'[1]V, inciso p) (OP)'!W353</f>
        <v>PIXIDE CONSTRUCTORA, S.A. DE C.V.</v>
      </c>
      <c r="N697" s="14" t="str">
        <f>'[1]V, inciso p) (OP)'!X353</f>
        <v>PCO140829425</v>
      </c>
      <c r="O697" s="15">
        <f t="shared" si="20"/>
        <v>6169958.46</v>
      </c>
      <c r="P697" s="15">
        <f t="shared" si="21"/>
        <v>6169958.46</v>
      </c>
      <c r="Q697" s="23" t="s">
        <v>1241</v>
      </c>
      <c r="R697" s="22">
        <f>O697/467</f>
        <v>13211.902483940043</v>
      </c>
      <c r="S697" s="12" t="s">
        <v>42</v>
      </c>
      <c r="T697" s="17">
        <v>1332272</v>
      </c>
      <c r="U697" s="14" t="s">
        <v>43</v>
      </c>
      <c r="V697" s="12" t="s">
        <v>378</v>
      </c>
      <c r="W697" s="13">
        <f>'[1]V, inciso p) (OP)'!AM353</f>
        <v>43248</v>
      </c>
      <c r="X697" s="13">
        <f>'[1]V, inciso p) (OP)'!AN353</f>
        <v>43354</v>
      </c>
      <c r="Y697" s="12" t="s">
        <v>826</v>
      </c>
      <c r="Z697" s="12" t="s">
        <v>827</v>
      </c>
      <c r="AA697" s="12" t="s">
        <v>47</v>
      </c>
      <c r="AB697" s="8" t="s">
        <v>1803</v>
      </c>
      <c r="AC697" s="14" t="s">
        <v>48</v>
      </c>
      <c r="AD697" s="14" t="s">
        <v>1571</v>
      </c>
    </row>
    <row r="698" spans="1:30" ht="80.099999999999994" customHeight="1">
      <c r="A698" s="5">
        <v>56</v>
      </c>
      <c r="B698" s="12">
        <v>2018</v>
      </c>
      <c r="C698" s="14" t="str">
        <f>'[1]V, inciso p) (OP)'!B354</f>
        <v>Concurso por Invitación</v>
      </c>
      <c r="D698" s="14" t="str">
        <f>'[1]V, inciso p) (OP)'!D354</f>
        <v>DOPI-EST-FOCOCI-ID-CI-056-2018</v>
      </c>
      <c r="E698" s="13">
        <f>'[1]V, inciso p) (OP)'!AD354</f>
        <v>43248</v>
      </c>
      <c r="F698" s="14" t="str">
        <f>'[1]V, inciso p) (OP)'!AL354</f>
        <v>Rehabilitación del parque unidad de manejo ambiental Villa Fantasía, en la colonia Tepeyac, Segunda etapa, frente 2.</v>
      </c>
      <c r="G698" s="14" t="str">
        <f>'[1]V, inciso p) (OP)'!AR354</f>
        <v>Fondo Común Concursable para Infraestructura 2018</v>
      </c>
      <c r="H698" s="15">
        <f>'[1]V, inciso p) (OP)'!AJ354</f>
        <v>5840791.5999999996</v>
      </c>
      <c r="I698" s="14" t="str">
        <f>'[1]V, inciso p) (OP)'!AS354</f>
        <v>Colonia Tepeyac</v>
      </c>
      <c r="J698" s="14" t="str">
        <f>'[1]V, inciso p) (OP)'!T354</f>
        <v>OMAR</v>
      </c>
      <c r="K698" s="14" t="str">
        <f>'[1]V, inciso p) (OP)'!U354</f>
        <v>MORA</v>
      </c>
      <c r="L698" s="14" t="str">
        <f>'[1]V, inciso p) (OP)'!V354</f>
        <v>MONTES DE OCA</v>
      </c>
      <c r="M698" s="14" t="str">
        <f>'[1]V, inciso p) (OP)'!W354</f>
        <v>DOMMONT CONSTRUCCIÓNES, S.A. DE C.V.</v>
      </c>
      <c r="N698" s="14" t="str">
        <f>'[1]V, inciso p) (OP)'!X354</f>
        <v>DCO130215C16</v>
      </c>
      <c r="O698" s="15">
        <f t="shared" si="20"/>
        <v>5840791.5999999996</v>
      </c>
      <c r="P698" s="15">
        <f t="shared" si="21"/>
        <v>5840791.5999999996</v>
      </c>
      <c r="Q698" s="23" t="s">
        <v>1242</v>
      </c>
      <c r="R698" s="22">
        <f>O698/530</f>
        <v>11020.361509433962</v>
      </c>
      <c r="S698" s="12" t="s">
        <v>42</v>
      </c>
      <c r="T698" s="17">
        <v>1332272</v>
      </c>
      <c r="U698" s="14" t="s">
        <v>43</v>
      </c>
      <c r="V698" s="12" t="s">
        <v>378</v>
      </c>
      <c r="W698" s="13">
        <f>'[1]V, inciso p) (OP)'!AM354</f>
        <v>43248</v>
      </c>
      <c r="X698" s="13">
        <f>'[1]V, inciso p) (OP)'!AN354</f>
        <v>43354</v>
      </c>
      <c r="Y698" s="12" t="s">
        <v>826</v>
      </c>
      <c r="Z698" s="12" t="s">
        <v>827</v>
      </c>
      <c r="AA698" s="12" t="s">
        <v>47</v>
      </c>
      <c r="AB698" s="8" t="s">
        <v>1804</v>
      </c>
      <c r="AC698" s="14" t="s">
        <v>48</v>
      </c>
      <c r="AD698" s="14" t="s">
        <v>1571</v>
      </c>
    </row>
    <row r="699" spans="1:30" ht="80.099999999999994" customHeight="1">
      <c r="A699" s="5">
        <v>57</v>
      </c>
      <c r="B699" s="12">
        <v>2018</v>
      </c>
      <c r="C699" s="14" t="str">
        <f>'[1]V, inciso p) (OP)'!B355</f>
        <v>Concurso por Invitación</v>
      </c>
      <c r="D699" s="14" t="str">
        <f>'[1]V, inciso p) (OP)'!D355</f>
        <v>DOPI-EST-FOCOCI-ID-CI-057-2018</v>
      </c>
      <c r="E699" s="13">
        <f>'[1]V, inciso p) (OP)'!AD355</f>
        <v>43248</v>
      </c>
      <c r="F699" s="14" t="str">
        <f>'[1]V, inciso p) (OP)'!AL355</f>
        <v>Rehabilitación del parque unidad de manejo ambiental Villa Fantasía, en la colonia Tepeyac, Segunda etapa, frente 3.</v>
      </c>
      <c r="G699" s="14" t="str">
        <f>'[1]V, inciso p) (OP)'!AR355</f>
        <v>Fondo Común Concursable para Infraestructura 2018</v>
      </c>
      <c r="H699" s="15">
        <f>'[1]V, inciso p) (OP)'!AJ355</f>
        <v>3157700.74</v>
      </c>
      <c r="I699" s="14" t="str">
        <f>'[1]V, inciso p) (OP)'!AS355</f>
        <v>Colonia Tepeyac</v>
      </c>
      <c r="J699" s="14" t="str">
        <f>'[1]V, inciso p) (OP)'!T355</f>
        <v>ERNESTO</v>
      </c>
      <c r="K699" s="14" t="str">
        <f>'[1]V, inciso p) (OP)'!U355</f>
        <v>OLIVARES</v>
      </c>
      <c r="L699" s="14" t="str">
        <f>'[1]V, inciso p) (OP)'!V355</f>
        <v>ÁLVAREZ</v>
      </c>
      <c r="M699" s="14" t="str">
        <f>'[1]V, inciso p) (OP)'!W355</f>
        <v xml:space="preserve">METRICA INFRAESTRUCTURA, S.A. DE C.V. </v>
      </c>
      <c r="N699" s="14" t="str">
        <f>'[1]V, inciso p) (OP)'!X355</f>
        <v>MIN170819GG1</v>
      </c>
      <c r="O699" s="15">
        <f t="shared" si="20"/>
        <v>3157700.74</v>
      </c>
      <c r="P699" s="15">
        <f t="shared" si="21"/>
        <v>3157700.74</v>
      </c>
      <c r="Q699" s="23" t="s">
        <v>1243</v>
      </c>
      <c r="R699" s="22">
        <f>O699/323</f>
        <v>9776.1632817337468</v>
      </c>
      <c r="S699" s="12" t="s">
        <v>42</v>
      </c>
      <c r="T699" s="17">
        <v>1332272</v>
      </c>
      <c r="U699" s="14" t="s">
        <v>43</v>
      </c>
      <c r="V699" s="12" t="s">
        <v>378</v>
      </c>
      <c r="W699" s="13">
        <f>'[1]V, inciso p) (OP)'!AM355</f>
        <v>43248</v>
      </c>
      <c r="X699" s="13">
        <f>'[1]V, inciso p) (OP)'!AN355</f>
        <v>43354</v>
      </c>
      <c r="Y699" s="12" t="s">
        <v>826</v>
      </c>
      <c r="Z699" s="12" t="s">
        <v>827</v>
      </c>
      <c r="AA699" s="12" t="s">
        <v>47</v>
      </c>
      <c r="AB699" s="8" t="s">
        <v>1805</v>
      </c>
      <c r="AC699" s="14" t="s">
        <v>48</v>
      </c>
      <c r="AD699" s="14" t="s">
        <v>1571</v>
      </c>
    </row>
    <row r="700" spans="1:30" ht="80.099999999999994" customHeight="1">
      <c r="A700" s="5">
        <v>58</v>
      </c>
      <c r="B700" s="12">
        <v>2018</v>
      </c>
      <c r="C700" s="14" t="str">
        <f>'[1]V, inciso p) (OP)'!B356</f>
        <v>Licitación por Invitación Restringida</v>
      </c>
      <c r="D700" s="14" t="str">
        <f>'[1]V, inciso p) (OP)'!D356</f>
        <v>DOPI-MUN-CUSMAX-IE-CI-058-2018</v>
      </c>
      <c r="E700" s="13">
        <f>'[1]V, inciso p) (OP)'!AD356</f>
        <v>43248</v>
      </c>
      <c r="F700" s="14" t="str">
        <f>'[1]V, inciso p) (OP)'!AL356</f>
        <v>Estructura con lonaria y rehabilitación de Infraestructura en la Escuela C.A.M. 16 Niños Héroes (pintura en exterior, reparación de banquetas y barandales en patio cívico, impermeabilización), colonia Mariano Otero, municipio de Zapopan, Jalisco.</v>
      </c>
      <c r="G700" s="14" t="str">
        <f>'[1]V, inciso p) (OP)'!AR356</f>
        <v>Cusmax 2017</v>
      </c>
      <c r="H700" s="15">
        <f>'[1]V, inciso p) (OP)'!AJ356</f>
        <v>3080060.64</v>
      </c>
      <c r="I700" s="14" t="str">
        <f>'[1]V, inciso p) (OP)'!AS356</f>
        <v>Colonia Mariano Otero</v>
      </c>
      <c r="J700" s="14" t="str">
        <f>'[1]V, inciso p) (OP)'!T356</f>
        <v xml:space="preserve">FELIPE DE JESÚS </v>
      </c>
      <c r="K700" s="14" t="str">
        <f>'[1]V, inciso p) (OP)'!U356</f>
        <v>DE LA CRUZ</v>
      </c>
      <c r="L700" s="14" t="str">
        <f>'[1]V, inciso p) (OP)'!V356</f>
        <v>REYES</v>
      </c>
      <c r="M700" s="14" t="str">
        <f>'[1]V, inciso p) (OP)'!W356</f>
        <v>MADISON CONSTRUCTORES, S.A. DE C.V.</v>
      </c>
      <c r="N700" s="14" t="str">
        <f>'[1]V, inciso p) (OP)'!X356</f>
        <v>MCO1005204Z5</v>
      </c>
      <c r="O700" s="15">
        <f t="shared" si="20"/>
        <v>3080060.64</v>
      </c>
      <c r="P700" s="15">
        <f t="shared" si="21"/>
        <v>3080060.64</v>
      </c>
      <c r="Q700" s="23" t="s">
        <v>1244</v>
      </c>
      <c r="R700" s="22">
        <f>O700/469</f>
        <v>6567.2934754797443</v>
      </c>
      <c r="S700" s="12" t="s">
        <v>42</v>
      </c>
      <c r="T700" s="17">
        <v>1026</v>
      </c>
      <c r="U700" s="14" t="s">
        <v>43</v>
      </c>
      <c r="V700" s="12" t="s">
        <v>378</v>
      </c>
      <c r="W700" s="13">
        <f>'[1]V, inciso p) (OP)'!AM356</f>
        <v>43248</v>
      </c>
      <c r="X700" s="13">
        <f>'[1]V, inciso p) (OP)'!AN356</f>
        <v>43337</v>
      </c>
      <c r="Y700" s="12" t="s">
        <v>875</v>
      </c>
      <c r="Z700" s="12" t="s">
        <v>876</v>
      </c>
      <c r="AA700" s="12" t="s">
        <v>877</v>
      </c>
      <c r="AB700" s="8" t="s">
        <v>1806</v>
      </c>
      <c r="AC700" s="14" t="s">
        <v>48</v>
      </c>
      <c r="AD700" s="14" t="s">
        <v>1571</v>
      </c>
    </row>
    <row r="701" spans="1:30" ht="80.099999999999994" customHeight="1">
      <c r="A701" s="5">
        <v>59</v>
      </c>
      <c r="B701" s="12">
        <v>2018</v>
      </c>
      <c r="C701" s="14" t="str">
        <f>'[1]V, inciso p) (OP)'!B357</f>
        <v>Licitación por Invitación Restringida</v>
      </c>
      <c r="D701" s="14" t="str">
        <f>'[1]V, inciso p) (OP)'!D357</f>
        <v>DOPI-MUN-RM-IE-CI-059-2018</v>
      </c>
      <c r="E701" s="13">
        <f>'[1]V, inciso p) (OP)'!AD357</f>
        <v>43248</v>
      </c>
      <c r="F701" s="14" t="str">
        <f>'[1]V, inciso p) (OP)'!AL357</f>
        <v>Estructura con lonaria en CDI No. 3 Irene Robledo (Laureles) y en el CDI No. 2 Pablo Casals y en el CDI No. 7 Tepeyac, municipio de Zapopan, Jalisco.</v>
      </c>
      <c r="G701" s="14" t="str">
        <f>'[1]V, inciso p) (OP)'!AR357</f>
        <v>Recurso Propio</v>
      </c>
      <c r="H701" s="15">
        <f>'[1]V, inciso p) (OP)'!AJ357</f>
        <v>5391810.3799999999</v>
      </c>
      <c r="I701" s="14" t="str">
        <f>'[1]V, inciso p) (OP)'!AS357</f>
        <v>Colonias Laureles y Tepeyac</v>
      </c>
      <c r="J701" s="14" t="str">
        <f>'[1]V, inciso p) (OP)'!T357</f>
        <v xml:space="preserve"> MARTHA </v>
      </c>
      <c r="K701" s="14" t="str">
        <f>'[1]V, inciso p) (OP)'!U357</f>
        <v>JIMÉNEZ</v>
      </c>
      <c r="L701" s="14" t="str">
        <f>'[1]V, inciso p) (OP)'!V357</f>
        <v>LÓPEZ</v>
      </c>
      <c r="M701" s="14" t="str">
        <f>'[1]V, inciso p) (OP)'!W357</f>
        <v>INMOBILIARIA BOCHUM S. DE R.L. DE C.V.</v>
      </c>
      <c r="N701" s="14" t="str">
        <f>'[1]V, inciso p) (OP)'!X357</f>
        <v>IBO090918ET9</v>
      </c>
      <c r="O701" s="15">
        <f t="shared" si="20"/>
        <v>5391810.3799999999</v>
      </c>
      <c r="P701" s="15">
        <f t="shared" si="21"/>
        <v>5391810.3799999999</v>
      </c>
      <c r="Q701" s="23" t="s">
        <v>1245</v>
      </c>
      <c r="R701" s="22">
        <f>O701/425</f>
        <v>12686.612658823529</v>
      </c>
      <c r="S701" s="12" t="s">
        <v>42</v>
      </c>
      <c r="T701" s="17">
        <v>1389</v>
      </c>
      <c r="U701" s="14" t="s">
        <v>43</v>
      </c>
      <c r="V701" s="12" t="s">
        <v>378</v>
      </c>
      <c r="W701" s="13">
        <f>'[1]V, inciso p) (OP)'!AM357</f>
        <v>43248</v>
      </c>
      <c r="X701" s="13">
        <f>'[1]V, inciso p) (OP)'!AN357</f>
        <v>43337</v>
      </c>
      <c r="Y701" s="12" t="s">
        <v>436</v>
      </c>
      <c r="Z701" s="12" t="s">
        <v>75</v>
      </c>
      <c r="AA701" s="12" t="s">
        <v>567</v>
      </c>
      <c r="AB701" s="14" t="s">
        <v>48</v>
      </c>
      <c r="AC701" s="14" t="s">
        <v>48</v>
      </c>
      <c r="AD701" s="14" t="s">
        <v>1571</v>
      </c>
    </row>
    <row r="702" spans="1:30" ht="80.099999999999994" customHeight="1">
      <c r="A702" s="5">
        <v>60</v>
      </c>
      <c r="B702" s="12">
        <v>2018</v>
      </c>
      <c r="C702" s="14" t="str">
        <f>'[1]V, inciso p) (OP)'!B358</f>
        <v>Licitación por Invitación Restringida</v>
      </c>
      <c r="D702" s="14" t="str">
        <f>'[1]V, inciso p) (OP)'!D358</f>
        <v>DOPI-MUN-RM-IE-CI-060-2018</v>
      </c>
      <c r="E702" s="13">
        <f>'[1]V, inciso p) (OP)'!AD358</f>
        <v>43248</v>
      </c>
      <c r="F702" s="14" t="str">
        <f>'[1]V, inciso p) (OP)'!AL358</f>
        <v>Estructura con lonaria en CDI No. 10 Mercado del Mar y en el CDC Santa Ana Tepetitlán y en el CDC Santa Lucia, municipio de Zapopan, Jalisco.</v>
      </c>
      <c r="G702" s="14" t="str">
        <f>'[1]V, inciso p) (OP)'!AR358</f>
        <v>Recurso Propio</v>
      </c>
      <c r="H702" s="15">
        <f>'[1]V, inciso p) (OP)'!AJ358</f>
        <v>5161116.47</v>
      </c>
      <c r="I702" s="14" t="str">
        <f>'[1]V, inciso p) (OP)'!AS358</f>
        <v>Colonias El Vigia, Santa Ana Tepetitlán y Santa Lucia</v>
      </c>
      <c r="J702" s="14" t="str">
        <f>'[1]V, inciso p) (OP)'!T358</f>
        <v>JOSÉ DE JESÚS</v>
      </c>
      <c r="K702" s="14" t="str">
        <f>'[1]V, inciso p) (OP)'!U358</f>
        <v>ROMERO</v>
      </c>
      <c r="L702" s="14" t="str">
        <f>'[1]V, inciso p) (OP)'!V358</f>
        <v>GARCÍA</v>
      </c>
      <c r="M702" s="14" t="str">
        <f>'[1]V, inciso p) (OP)'!W358</f>
        <v>ALIANZA CONSTRUCTIVA KAMIR, S.A. DE C.V.</v>
      </c>
      <c r="N702" s="14" t="str">
        <f>'[1]V, inciso p) (OP)'!X358</f>
        <v>ACK170710KI3</v>
      </c>
      <c r="O702" s="15">
        <f t="shared" si="20"/>
        <v>5161116.47</v>
      </c>
      <c r="P702" s="15">
        <f t="shared" si="21"/>
        <v>5161116.47</v>
      </c>
      <c r="Q702" s="23" t="s">
        <v>1246</v>
      </c>
      <c r="R702" s="22">
        <f>O702/1044</f>
        <v>4943.5981513409961</v>
      </c>
      <c r="S702" s="12" t="s">
        <v>42</v>
      </c>
      <c r="T702" s="17">
        <v>5230</v>
      </c>
      <c r="U702" s="14" t="s">
        <v>43</v>
      </c>
      <c r="V702" s="12" t="s">
        <v>378</v>
      </c>
      <c r="W702" s="13">
        <f>'[1]V, inciso p) (OP)'!AM358</f>
        <v>43248</v>
      </c>
      <c r="X702" s="13">
        <f>'[1]V, inciso p) (OP)'!AN358</f>
        <v>43337</v>
      </c>
      <c r="Y702" s="12" t="s">
        <v>436</v>
      </c>
      <c r="Z702" s="12" t="s">
        <v>75</v>
      </c>
      <c r="AA702" s="12" t="s">
        <v>567</v>
      </c>
      <c r="AB702" s="8" t="s">
        <v>1807</v>
      </c>
      <c r="AC702" s="14" t="s">
        <v>48</v>
      </c>
      <c r="AD702" s="14" t="s">
        <v>1571</v>
      </c>
    </row>
    <row r="703" spans="1:30" ht="80.099999999999994" customHeight="1">
      <c r="A703" s="5">
        <v>61</v>
      </c>
      <c r="B703" s="12">
        <v>2018</v>
      </c>
      <c r="C703" s="14" t="str">
        <f>'[1]V, inciso p) (OP)'!B359</f>
        <v>Licitación por Invitación Restringida</v>
      </c>
      <c r="D703" s="14" t="str">
        <f>'[1]V, inciso p) (OP)'!D359</f>
        <v>DOPI-MUN-RM-IM-CI-061-2018</v>
      </c>
      <c r="E703" s="13">
        <f>'[1]V, inciso p) (OP)'!AD359</f>
        <v>43248</v>
      </c>
      <c r="F703" s="14" t="str">
        <f>'[1]V, inciso p) (OP)'!AL359</f>
        <v>Rehabilitación de planta baja de la Procuraduría de Protección a Niños, Niñas y Adolescentes, municipio de Zapopan, Jalisco.</v>
      </c>
      <c r="G703" s="14" t="str">
        <f>'[1]V, inciso p) (OP)'!AR359</f>
        <v>Recurso Propio</v>
      </c>
      <c r="H703" s="15">
        <f>'[1]V, inciso p) (OP)'!AJ359</f>
        <v>3752646.72</v>
      </c>
      <c r="I703" s="14" t="str">
        <f>'[1]V, inciso p) (OP)'!AS359</f>
        <v>Colonia Ladrón de Guevara</v>
      </c>
      <c r="J703" s="14" t="str">
        <f>'[1]V, inciso p) (OP)'!T359</f>
        <v>ALFREDO</v>
      </c>
      <c r="K703" s="14" t="str">
        <f>'[1]V, inciso p) (OP)'!U359</f>
        <v>FLORES</v>
      </c>
      <c r="L703" s="14" t="str">
        <f>'[1]V, inciso p) (OP)'!V359</f>
        <v>CHÁVEZ</v>
      </c>
      <c r="M703" s="14" t="str">
        <f>'[1]V, inciso p) (OP)'!W359</f>
        <v>ALFREDO FLORES CHÁVEZ</v>
      </c>
      <c r="N703" s="14" t="str">
        <f>'[1]V, inciso p) (OP)'!X359</f>
        <v>FOCA830904HT8</v>
      </c>
      <c r="O703" s="15">
        <f t="shared" si="20"/>
        <v>3752646.72</v>
      </c>
      <c r="P703" s="15">
        <f t="shared" si="21"/>
        <v>3752646.72</v>
      </c>
      <c r="Q703" s="23" t="s">
        <v>1247</v>
      </c>
      <c r="R703" s="22">
        <f>O703/2716</f>
        <v>1381.6814138438881</v>
      </c>
      <c r="S703" s="12" t="s">
        <v>42</v>
      </c>
      <c r="T703" s="17">
        <v>402153</v>
      </c>
      <c r="U703" s="14" t="s">
        <v>43</v>
      </c>
      <c r="V703" s="12" t="s">
        <v>378</v>
      </c>
      <c r="W703" s="13">
        <f>'[1]V, inciso p) (OP)'!AM359</f>
        <v>43248</v>
      </c>
      <c r="X703" s="13">
        <f>'[1]V, inciso p) (OP)'!AN359</f>
        <v>43337</v>
      </c>
      <c r="Y703" s="12" t="s">
        <v>611</v>
      </c>
      <c r="Z703" s="12" t="s">
        <v>312</v>
      </c>
      <c r="AA703" s="12" t="s">
        <v>64</v>
      </c>
      <c r="AB703" s="8" t="s">
        <v>1808</v>
      </c>
      <c r="AC703" s="14" t="s">
        <v>48</v>
      </c>
      <c r="AD703" s="14" t="s">
        <v>1571</v>
      </c>
    </row>
    <row r="704" spans="1:30" s="9" customFormat="1" ht="80.099999999999994" customHeight="1">
      <c r="A704" s="10"/>
      <c r="B704" s="30">
        <v>2018</v>
      </c>
      <c r="C704" s="29" t="str">
        <f>'[2]V, inciso p) (OP)'!C360</f>
        <v>Obra Pública</v>
      </c>
      <c r="D704" s="14" t="s">
        <v>2027</v>
      </c>
      <c r="E704" s="13">
        <v>43368</v>
      </c>
      <c r="F704" s="14" t="s">
        <v>2113</v>
      </c>
      <c r="G704" s="14" t="s">
        <v>499</v>
      </c>
      <c r="H704" s="15">
        <v>4083777.58</v>
      </c>
      <c r="I704" s="14" t="s">
        <v>2114</v>
      </c>
      <c r="J704" s="14" t="s">
        <v>2115</v>
      </c>
      <c r="K704" s="14" t="s">
        <v>2116</v>
      </c>
      <c r="L704" s="14" t="s">
        <v>2117</v>
      </c>
      <c r="M704" s="14" t="s">
        <v>2118</v>
      </c>
      <c r="N704" s="14" t="s">
        <v>2119</v>
      </c>
      <c r="O704" s="15">
        <v>4083777.58</v>
      </c>
      <c r="P704" s="15" t="s">
        <v>48</v>
      </c>
      <c r="Q704" s="23" t="s">
        <v>578</v>
      </c>
      <c r="R704" s="22">
        <v>3403.1479833333333</v>
      </c>
      <c r="S704" s="12" t="s">
        <v>42</v>
      </c>
      <c r="T704" s="17">
        <v>1365</v>
      </c>
      <c r="U704" s="14" t="s">
        <v>43</v>
      </c>
      <c r="V704" s="12" t="s">
        <v>378</v>
      </c>
      <c r="W704" s="13">
        <v>43381</v>
      </c>
      <c r="X704" s="13">
        <v>43485</v>
      </c>
      <c r="Y704" s="12" t="s">
        <v>875</v>
      </c>
      <c r="Z704" s="12" t="s">
        <v>876</v>
      </c>
      <c r="AA704" s="12" t="s">
        <v>877</v>
      </c>
      <c r="AB704" s="8" t="s">
        <v>48</v>
      </c>
      <c r="AC704" s="14" t="s">
        <v>48</v>
      </c>
      <c r="AD704" s="14"/>
    </row>
    <row r="705" spans="1:30" ht="80.099999999999994" customHeight="1">
      <c r="A705" s="5">
        <v>63</v>
      </c>
      <c r="B705" s="12">
        <v>2018</v>
      </c>
      <c r="C705" s="14" t="str">
        <f>'[1]V, inciso p) (OP)'!B360</f>
        <v>Licitación por Invitación Restringida</v>
      </c>
      <c r="D705" s="14" t="str">
        <f>'[1]V, inciso p) (OP)'!D360</f>
        <v>DOPI-MUN-RM-ID-CI-063-2018</v>
      </c>
      <c r="E705" s="13">
        <f>'[1]V, inciso p) (OP)'!AD360</f>
        <v>43248</v>
      </c>
      <c r="F705" s="14" t="str">
        <f>'[1]V, inciso p) (OP)'!AL360</f>
        <v>Rehabilitación de la Unidad Deportiva Casino Tepeyac, primera etapa(rehabilitación de cancha de usos múltiples, rehabilitación de cancha de tenis, alumbrado, modulo de baños, ingreso principal y cercado perimetral), municipio de Zapopan, Jalisco.</v>
      </c>
      <c r="G705" s="14" t="str">
        <f>'[1]V, inciso p) (OP)'!AR360</f>
        <v>Recurso Propio</v>
      </c>
      <c r="H705" s="15">
        <f>'[1]V, inciso p) (OP)'!AJ360</f>
        <v>4478596.3499999996</v>
      </c>
      <c r="I705" s="14" t="str">
        <f>'[1]V, inciso p) (OP)'!AS360</f>
        <v>Colonia Tepeyac Casino</v>
      </c>
      <c r="J705" s="14" t="str">
        <f>'[1]V, inciso p) (OP)'!T360</f>
        <v>MARÍA ARCELIA</v>
      </c>
      <c r="K705" s="14" t="str">
        <f>'[1]V, inciso p) (OP)'!U360</f>
        <v>IÑIGUEZ</v>
      </c>
      <c r="L705" s="14" t="str">
        <f>'[1]V, inciso p) (OP)'!V360</f>
        <v>HERNÁNDEZ</v>
      </c>
      <c r="M705" s="14" t="str">
        <f>'[1]V, inciso p) (OP)'!W360</f>
        <v>COMERCIALIZADORA POLIGONO, S..A DE C.V.</v>
      </c>
      <c r="N705" s="14" t="str">
        <f>'[1]V, inciso p) (OP)'!X360</f>
        <v>COP1209104M8</v>
      </c>
      <c r="O705" s="15">
        <f t="shared" si="20"/>
        <v>4478596.3499999996</v>
      </c>
      <c r="P705" s="15">
        <f t="shared" si="21"/>
        <v>4478596.3499999996</v>
      </c>
      <c r="Q705" s="23" t="s">
        <v>954</v>
      </c>
      <c r="R705" s="22">
        <f>O705/660</f>
        <v>6785.7520454545447</v>
      </c>
      <c r="S705" s="12" t="s">
        <v>42</v>
      </c>
      <c r="T705" s="17">
        <v>1863</v>
      </c>
      <c r="U705" s="14" t="s">
        <v>43</v>
      </c>
      <c r="V705" s="12" t="s">
        <v>378</v>
      </c>
      <c r="W705" s="13">
        <f>'[1]V, inciso p) (OP)'!AM360</f>
        <v>43248</v>
      </c>
      <c r="X705" s="13">
        <f>'[1]V, inciso p) (OP)'!AN360</f>
        <v>43354</v>
      </c>
      <c r="Y705" s="12" t="s">
        <v>794</v>
      </c>
      <c r="Z705" s="12" t="s">
        <v>743</v>
      </c>
      <c r="AA705" s="12" t="s">
        <v>744</v>
      </c>
      <c r="AB705" s="14" t="s">
        <v>48</v>
      </c>
      <c r="AC705" s="14" t="s">
        <v>48</v>
      </c>
      <c r="AD705" s="14" t="s">
        <v>1571</v>
      </c>
    </row>
    <row r="706" spans="1:30" ht="80.099999999999994" customHeight="1">
      <c r="A706" s="5">
        <v>64</v>
      </c>
      <c r="B706" s="12">
        <v>2018</v>
      </c>
      <c r="C706" s="14" t="str">
        <f>'[1]V, inciso p) (OP)'!B361</f>
        <v>Licitación por Invitación Restringida</v>
      </c>
      <c r="D706" s="14" t="str">
        <f>'[1]V, inciso p) (OP)'!D361</f>
        <v>DOPI-MUN-RM-IE-CI-064-2018</v>
      </c>
      <c r="E706" s="13">
        <f>'[1]V, inciso p) (OP)'!AD361</f>
        <v>43262</v>
      </c>
      <c r="F706" s="14" t="str">
        <f>'[1]V, inciso p) (OP)'!AL361</f>
        <v>Estructura con lonaria, rehabilitación de cancha de usos múltiples, peatonalización y obra complementaria en la Escuela Secundaria Francisco, Márquez, Calle Sayil, Colonia la Tuzanía, y en la en la Escuela Primaria Alfredo V. Bonifil, Calle Río Tomatlán, Colonia Loma Bonita Ejidal, Clave: 14EPR1115G. Clave: 14DES0079F, municipio de Zapopan, Jalisco.</v>
      </c>
      <c r="G706" s="14" t="str">
        <f>'[1]V, inciso p) (OP)'!AR361</f>
        <v>Recurso Propio</v>
      </c>
      <c r="H706" s="15">
        <f>'[1]V, inciso p) (OP)'!AJ361</f>
        <v>3295056.61</v>
      </c>
      <c r="I706" s="14" t="str">
        <f>'[1]V, inciso p) (OP)'!AS361</f>
        <v>Colonias La Tuzania y Loma Bonita Ejidal</v>
      </c>
      <c r="J706" s="14" t="str">
        <f>'[1]V, inciso p) (OP)'!T361</f>
        <v>ARTURO</v>
      </c>
      <c r="K706" s="14" t="str">
        <f>'[1]V, inciso p) (OP)'!U361</f>
        <v>BOJORQUEZ</v>
      </c>
      <c r="L706" s="14" t="str">
        <f>'[1]V, inciso p) (OP)'!V361</f>
        <v>RIZO</v>
      </c>
      <c r="M706" s="14" t="str">
        <f>'[1]V, inciso p) (OP)'!W361</f>
        <v>EDIFICACIONES Y CONSTRUCCIÓNES LEALES, S.A. DE C.V.</v>
      </c>
      <c r="N706" s="14" t="str">
        <f>'[1]V, inciso p) (OP)'!X361</f>
        <v>ECL1301313F1</v>
      </c>
      <c r="O706" s="15">
        <f t="shared" si="20"/>
        <v>3295056.61</v>
      </c>
      <c r="P706" s="15">
        <f t="shared" si="21"/>
        <v>3295056.61</v>
      </c>
      <c r="Q706" s="23" t="s">
        <v>1248</v>
      </c>
      <c r="R706" s="22">
        <f>O706/678</f>
        <v>4859.965501474926</v>
      </c>
      <c r="S706" s="12" t="s">
        <v>42</v>
      </c>
      <c r="T706" s="17">
        <v>1799</v>
      </c>
      <c r="U706" s="14" t="s">
        <v>43</v>
      </c>
      <c r="V706" s="12" t="s">
        <v>378</v>
      </c>
      <c r="W706" s="13">
        <f>'[1]V, inciso p) (OP)'!AM361</f>
        <v>43262</v>
      </c>
      <c r="X706" s="13">
        <f>'[1]V, inciso p) (OP)'!AN361</f>
        <v>43351</v>
      </c>
      <c r="Y706" s="12" t="s">
        <v>436</v>
      </c>
      <c r="Z706" s="12" t="s">
        <v>75</v>
      </c>
      <c r="AA706" s="12" t="s">
        <v>567</v>
      </c>
      <c r="AB706" s="14" t="s">
        <v>48</v>
      </c>
      <c r="AC706" s="14" t="s">
        <v>48</v>
      </c>
      <c r="AD706" s="14" t="s">
        <v>1571</v>
      </c>
    </row>
    <row r="707" spans="1:30" ht="80.099999999999994" customHeight="1">
      <c r="A707" s="5">
        <v>65</v>
      </c>
      <c r="B707" s="12">
        <v>2018</v>
      </c>
      <c r="C707" s="14" t="str">
        <f>'[1]V, inciso p) (OP)'!B362</f>
        <v>Licitación por Invitación Restringida</v>
      </c>
      <c r="D707" s="14" t="str">
        <f>'[1]V, inciso p) (OP)'!D362</f>
        <v>DOPI-MUN-RM-IE-CI-065-2018</v>
      </c>
      <c r="E707" s="13">
        <f>'[1]V, inciso p) (OP)'!AD362</f>
        <v>43248</v>
      </c>
      <c r="F707" s="14" t="str">
        <f>'[1]V, inciso p) (OP)'!AL362</f>
        <v>Estructura con lonaria, rehabilitación de cancha de usos múltiples, peatonalización y obra complementaria en la Escuela Pedro Moreno, en la localidad de Tesistán, y en la Escuela República Mexicana, Urbana 1155, Av. San Antonio No., Colonia San José Ejidal, Clave: 14EPR0931J, municipio de Zapopan, Jalisco.</v>
      </c>
      <c r="G707" s="14" t="str">
        <f>'[1]V, inciso p) (OP)'!AR362</f>
        <v>Recurso Propio</v>
      </c>
      <c r="H707" s="15">
        <f>'[1]V, inciso p) (OP)'!AJ362</f>
        <v>4406553.7699999996</v>
      </c>
      <c r="I707" s="14" t="str">
        <f>'[1]V, inciso p) (OP)'!AS362</f>
        <v>Localidad de Tesitán y Colonia San José Ejidal</v>
      </c>
      <c r="J707" s="14" t="str">
        <f>'[1]V, inciso p) (OP)'!T362</f>
        <v>JESÚS</v>
      </c>
      <c r="K707" s="14" t="str">
        <f>'[1]V, inciso p) (OP)'!U362</f>
        <v>ARENAS</v>
      </c>
      <c r="L707" s="14" t="str">
        <f>'[1]V, inciso p) (OP)'!V362</f>
        <v>BRAVO</v>
      </c>
      <c r="M707" s="14" t="str">
        <f>'[1]V, inciso p) (OP)'!W362</f>
        <v>SICOSA, S.A. DE C.V.</v>
      </c>
      <c r="N707" s="14" t="str">
        <f>'[1]V, inciso p) (OP)'!X362</f>
        <v>SIC940317FH7</v>
      </c>
      <c r="O707" s="15">
        <f t="shared" si="20"/>
        <v>4406553.7699999996</v>
      </c>
      <c r="P707" s="15">
        <f t="shared" si="21"/>
        <v>4406553.7699999996</v>
      </c>
      <c r="Q707" s="23" t="s">
        <v>1249</v>
      </c>
      <c r="R707" s="22">
        <f>O707/360</f>
        <v>12240.427138888888</v>
      </c>
      <c r="S707" s="12" t="s">
        <v>42</v>
      </c>
      <c r="T707" s="17">
        <v>1068</v>
      </c>
      <c r="U707" s="14" t="s">
        <v>43</v>
      </c>
      <c r="V707" s="12" t="s">
        <v>378</v>
      </c>
      <c r="W707" s="13">
        <f>'[1]V, inciso p) (OP)'!AM362</f>
        <v>43248</v>
      </c>
      <c r="X707" s="13">
        <f>'[1]V, inciso p) (OP)'!AN362</f>
        <v>43337</v>
      </c>
      <c r="Y707" s="12" t="s">
        <v>436</v>
      </c>
      <c r="Z707" s="12" t="s">
        <v>75</v>
      </c>
      <c r="AA707" s="12" t="s">
        <v>567</v>
      </c>
      <c r="AB707" s="8" t="s">
        <v>1809</v>
      </c>
      <c r="AC707" s="14" t="s">
        <v>48</v>
      </c>
      <c r="AD707" s="14" t="s">
        <v>1571</v>
      </c>
    </row>
    <row r="708" spans="1:30" ht="80.099999999999994" customHeight="1">
      <c r="A708" s="5">
        <v>66</v>
      </c>
      <c r="B708" s="12">
        <v>2018</v>
      </c>
      <c r="C708" s="14" t="str">
        <f>'[1]V, inciso p) (OP)'!B363</f>
        <v>Licitación por Invitación Restringida</v>
      </c>
      <c r="D708" s="14" t="str">
        <f>'[1]V, inciso p) (OP)'!D363</f>
        <v>DOPI-MUN-RM-IE-CI-066-2018</v>
      </c>
      <c r="E708" s="13">
        <f>'[1]V, inciso p) (OP)'!AD363</f>
        <v>43248</v>
      </c>
      <c r="F708" s="14" t="str">
        <f>'[1]V, inciso p) (OP)'!AL363</f>
        <v>Estructura con lonaria, rehabilitación de cancha de usos múltiples, peatonalización y obra complementaria Escuela Lázaro Cárdenas del Río, Calle Lázaro Cárdenas, Colonia Ejido Copalita, Clave: 14DPR0456Y, y en el Preescolar Jardín de Niños Xuchitla, Calle 20 de Enero No. 22, Colonia Indígena de San Juan de Ocotán, Clave 14DJN1802G, municipio de Zapopan, Jalisco.</v>
      </c>
      <c r="G708" s="14" t="str">
        <f>'[1]V, inciso p) (OP)'!AR363</f>
        <v>Recurso Propio</v>
      </c>
      <c r="H708" s="15">
        <f>'[1]V, inciso p) (OP)'!AJ363</f>
        <v>3842378.3</v>
      </c>
      <c r="I708" s="14" t="str">
        <f>'[1]V, inciso p) (OP)'!AS363</f>
        <v>Ejido Copalita y San Juan de Ocotán</v>
      </c>
      <c r="J708" s="14" t="str">
        <f>'[1]V, inciso p) (OP)'!T363</f>
        <v>MIGUEL ÁNGEL</v>
      </c>
      <c r="K708" s="14" t="str">
        <f>'[1]V, inciso p) (OP)'!U363</f>
        <v>ROMERO</v>
      </c>
      <c r="L708" s="14" t="str">
        <f>'[1]V, inciso p) (OP)'!V363</f>
        <v>LUGO</v>
      </c>
      <c r="M708" s="14" t="str">
        <f>'[1]V, inciso p) (OP)'!W363</f>
        <v>OBRAS Y COMERCIALIZACION DE LA CONSTRUCCIÓN, S.A. DE C.V.</v>
      </c>
      <c r="N708" s="14" t="str">
        <f>'[1]V, inciso p) (OP)'!X363</f>
        <v>OCC940714PB0</v>
      </c>
      <c r="O708" s="15">
        <f t="shared" si="20"/>
        <v>3842378.3</v>
      </c>
      <c r="P708" s="15">
        <f t="shared" si="21"/>
        <v>3842378.3</v>
      </c>
      <c r="Q708" s="23" t="s">
        <v>1250</v>
      </c>
      <c r="R708" s="22">
        <f>O708/532</f>
        <v>7222.5156015037592</v>
      </c>
      <c r="S708" s="12" t="s">
        <v>42</v>
      </c>
      <c r="T708" s="17">
        <v>14029</v>
      </c>
      <c r="U708" s="14" t="s">
        <v>43</v>
      </c>
      <c r="V708" s="12" t="s">
        <v>378</v>
      </c>
      <c r="W708" s="13">
        <f>'[1]V, inciso p) (OP)'!AM363</f>
        <v>43248</v>
      </c>
      <c r="X708" s="13">
        <f>'[1]V, inciso p) (OP)'!AN363</f>
        <v>43337</v>
      </c>
      <c r="Y708" s="12" t="s">
        <v>830</v>
      </c>
      <c r="Z708" s="12" t="s">
        <v>1251</v>
      </c>
      <c r="AA708" s="12" t="s">
        <v>471</v>
      </c>
      <c r="AB708" s="8" t="s">
        <v>1810</v>
      </c>
      <c r="AC708" s="14" t="s">
        <v>48</v>
      </c>
      <c r="AD708" s="14" t="s">
        <v>1571</v>
      </c>
    </row>
    <row r="709" spans="1:30" ht="80.099999999999994" customHeight="1">
      <c r="A709" s="5">
        <v>67</v>
      </c>
      <c r="B709" s="12">
        <v>2018</v>
      </c>
      <c r="C709" s="14" t="str">
        <f>'[1]V, inciso p) (OP)'!B364</f>
        <v>Licitación por Invitación Restringida</v>
      </c>
      <c r="D709" s="14" t="str">
        <f>'[1]V, inciso p) (OP)'!D364</f>
        <v>DOPI-MUN-RM-IE-CI-067-2018</v>
      </c>
      <c r="E709" s="13">
        <f>'[1]V, inciso p) (OP)'!AD364</f>
        <v>43248</v>
      </c>
      <c r="F709" s="14" t="str">
        <f>'[1]V, inciso p) (OP)'!AL364</f>
        <v>Estructura con lonaria, rehabilitación de cancha de usos múltiples, peatonalización y obra complementaria en el Preescolar Jardín de Niños Juan de la Barrera, Av. Las Palmas, Colonia Héroes Nacionales, Clave: 14DJN1856K, y en el Preescolar Jardín de Niños Ovidio Decroly, Calle Rubén Darío, Colonia La Coronilla, Clave: 14DJN0430Z, municipio de Zapopan, Jalisco.</v>
      </c>
      <c r="G709" s="14" t="str">
        <f>'[1]V, inciso p) (OP)'!AR364</f>
        <v>Recurso Propio</v>
      </c>
      <c r="H709" s="15">
        <f>'[1]V, inciso p) (OP)'!AJ364</f>
        <v>3589645.62</v>
      </c>
      <c r="I709" s="14" t="str">
        <f>'[1]V, inciso p) (OP)'!AS364</f>
        <v>Colonias Héroes Nacionales y La Coronilla</v>
      </c>
      <c r="J709" s="14" t="str">
        <f>'[1]V, inciso p) (OP)'!T364</f>
        <v>JOSÉ OMAR</v>
      </c>
      <c r="K709" s="14" t="str">
        <f>'[1]V, inciso p) (OP)'!U364</f>
        <v>FERNÁNDEZ</v>
      </c>
      <c r="L709" s="14" t="str">
        <f>'[1]V, inciso p) (OP)'!V364</f>
        <v>VÁZQUEZ</v>
      </c>
      <c r="M709" s="14" t="str">
        <f>'[1]V, inciso p) (OP)'!W364</f>
        <v>EXTRA CONSTRUCCIÓNES, S.A. DE C.V.</v>
      </c>
      <c r="N709" s="14" t="str">
        <f>'[1]V, inciso p) (OP)'!X364</f>
        <v>ECO0908115Z7</v>
      </c>
      <c r="O709" s="15">
        <f t="shared" si="20"/>
        <v>3589645.62</v>
      </c>
      <c r="P709" s="15">
        <f t="shared" si="21"/>
        <v>3589645.62</v>
      </c>
      <c r="Q709" s="23" t="s">
        <v>1252</v>
      </c>
      <c r="R709" s="22">
        <f>O709/531</f>
        <v>6760.1612429378529</v>
      </c>
      <c r="S709" s="12" t="s">
        <v>42</v>
      </c>
      <c r="T709" s="17">
        <v>206</v>
      </c>
      <c r="U709" s="14" t="s">
        <v>43</v>
      </c>
      <c r="V709" s="12" t="s">
        <v>378</v>
      </c>
      <c r="W709" s="13">
        <f>'[1]V, inciso p) (OP)'!AM364</f>
        <v>43248</v>
      </c>
      <c r="X709" s="13">
        <f>'[1]V, inciso p) (OP)'!AN364</f>
        <v>43337</v>
      </c>
      <c r="Y709" s="12" t="s">
        <v>830</v>
      </c>
      <c r="Z709" s="12" t="s">
        <v>1251</v>
      </c>
      <c r="AA709" s="12" t="s">
        <v>471</v>
      </c>
      <c r="AB709" s="8" t="s">
        <v>1811</v>
      </c>
      <c r="AC709" s="14" t="s">
        <v>48</v>
      </c>
      <c r="AD709" s="14" t="s">
        <v>1571</v>
      </c>
    </row>
    <row r="710" spans="1:30" ht="80.099999999999994" customHeight="1">
      <c r="A710" s="5">
        <v>68</v>
      </c>
      <c r="B710" s="12">
        <v>2018</v>
      </c>
      <c r="C710" s="14" t="str">
        <f>'[1]V, inciso p) (OP)'!B365</f>
        <v>Licitación por Invitación Restringida</v>
      </c>
      <c r="D710" s="14" t="str">
        <f>'[1]V, inciso p) (OP)'!D365</f>
        <v>DOPI-MUN-RM-IE-CI-068-2018</v>
      </c>
      <c r="E710" s="13">
        <f>'[1]V, inciso p) (OP)'!AD365</f>
        <v>43248</v>
      </c>
      <c r="F710" s="14" t="str">
        <f>'[1]V, inciso p) (OP)'!AL365</f>
        <v>Estructura con lonaria, rehabilitación de cancha de usos múltiples, peatonalización y obra complementaria en la Escuela Nicolás Copérnico, Calle de Enero No. 135, Clave: 14EES0508F, y  en la Escuela Secundaria Mixta66, Calle Octava Oriente No. 421, Colonia Nuevo México, Clave: 14EES0067Z, municipio de Zapopan, Jalisco.</v>
      </c>
      <c r="G710" s="14" t="str">
        <f>'[1]V, inciso p) (OP)'!AR365</f>
        <v>Recurso Propio</v>
      </c>
      <c r="H710" s="15">
        <f>'[1]V, inciso p) (OP)'!AJ365</f>
        <v>4787818.92</v>
      </c>
      <c r="I710" s="14" t="str">
        <f>'[1]V, inciso p) (OP)'!AS365</f>
        <v>Colonia Nuevo México</v>
      </c>
      <c r="J710" s="14" t="str">
        <f>'[1]V, inciso p) (OP)'!T365</f>
        <v>JOEL RICARDO</v>
      </c>
      <c r="K710" s="14" t="str">
        <f>'[1]V, inciso p) (OP)'!U365</f>
        <v>RINCÓN</v>
      </c>
      <c r="L710" s="14" t="str">
        <f>'[1]V, inciso p) (OP)'!V365</f>
        <v>SALIDO</v>
      </c>
      <c r="M710" s="14" t="str">
        <f>'[1]V, inciso p) (OP)'!W365</f>
        <v>DISEÑO E INGENIERÍA DE PAVIMENTOS DIP, S.A. DE C.V.</v>
      </c>
      <c r="N710" s="14" t="str">
        <f>'[1]V, inciso p) (OP)'!X365</f>
        <v>DIP1509086G7</v>
      </c>
      <c r="O710" s="15">
        <f t="shared" si="20"/>
        <v>4787818.92</v>
      </c>
      <c r="P710" s="15">
        <f t="shared" si="21"/>
        <v>4787818.92</v>
      </c>
      <c r="Q710" s="23" t="s">
        <v>1253</v>
      </c>
      <c r="R710" s="22">
        <f>O710/924</f>
        <v>5181.6222077922075</v>
      </c>
      <c r="S710" s="12" t="s">
        <v>42</v>
      </c>
      <c r="T710" s="17">
        <v>2015</v>
      </c>
      <c r="U710" s="14" t="s">
        <v>43</v>
      </c>
      <c r="V710" s="12" t="s">
        <v>378</v>
      </c>
      <c r="W710" s="13">
        <f>'[1]V, inciso p) (OP)'!AM365</f>
        <v>43248</v>
      </c>
      <c r="X710" s="13">
        <f>'[1]V, inciso p) (OP)'!AN365</f>
        <v>43337</v>
      </c>
      <c r="Y710" s="12" t="s">
        <v>854</v>
      </c>
      <c r="Z710" s="12" t="s">
        <v>455</v>
      </c>
      <c r="AA710" s="12" t="s">
        <v>456</v>
      </c>
      <c r="AB710" s="8" t="s">
        <v>1812</v>
      </c>
      <c r="AC710" s="14" t="s">
        <v>48</v>
      </c>
      <c r="AD710" s="14" t="s">
        <v>1571</v>
      </c>
    </row>
    <row r="711" spans="1:30" ht="80.099999999999994" customHeight="1">
      <c r="A711" s="5">
        <v>69</v>
      </c>
      <c r="B711" s="12">
        <v>2018</v>
      </c>
      <c r="C711" s="14" t="str">
        <f>'[1]V, inciso p) (OP)'!B366</f>
        <v>Licitación por Invitación Restringida</v>
      </c>
      <c r="D711" s="14" t="str">
        <f>'[1]V, inciso p) (OP)'!D366</f>
        <v>DOPI-MUN-RM-IE-CI-069-2018</v>
      </c>
      <c r="E711" s="13">
        <f>'[1]V, inciso p) (OP)'!AD366</f>
        <v>43248</v>
      </c>
      <c r="F711" s="14" t="str">
        <f>'[1]V, inciso p) (OP)'!AL366</f>
        <v>Estructura con lonaria, rehabilitación de cancha de usos múltiples, peatonalización y obra complementaria en la Escuela Primitivo Tolentino, Calle 5 de Mayo No. 35, Colonia El Briseño, Clave: 14EPR1300C, municipio de Zapopan, Jalisco.</v>
      </c>
      <c r="G711" s="14" t="str">
        <f>'[1]V, inciso p) (OP)'!AR366</f>
        <v>Recurso Propio</v>
      </c>
      <c r="H711" s="15">
        <f>'[1]V, inciso p) (OP)'!AJ366</f>
        <v>2533967.48</v>
      </c>
      <c r="I711" s="14" t="str">
        <f>'[1]V, inciso p) (OP)'!AS366</f>
        <v>Colonia El Briseño</v>
      </c>
      <c r="J711" s="14" t="str">
        <f>'[1]V, inciso p) (OP)'!T366</f>
        <v>JOSÉ DE JESÚS</v>
      </c>
      <c r="K711" s="14" t="str">
        <f>'[1]V, inciso p) (OP)'!U366</f>
        <v>MARQUEZ</v>
      </c>
      <c r="L711" s="14" t="str">
        <f>'[1]V, inciso p) (OP)'!V366</f>
        <v>ÁVILA</v>
      </c>
      <c r="M711" s="14" t="str">
        <f>'[1]V, inciso p) (OP)'!W366</f>
        <v>FUTUROBRAS, S.A. DE C.V.</v>
      </c>
      <c r="N711" s="14" t="str">
        <f>'[1]V, inciso p) (OP)'!X366</f>
        <v>FUT1110275V9</v>
      </c>
      <c r="O711" s="15">
        <f t="shared" si="20"/>
        <v>2533967.48</v>
      </c>
      <c r="P711" s="15">
        <f t="shared" si="21"/>
        <v>2533967.48</v>
      </c>
      <c r="Q711" s="23" t="s">
        <v>1254</v>
      </c>
      <c r="R711" s="22">
        <f>O711/418</f>
        <v>6062.1231578947372</v>
      </c>
      <c r="S711" s="12" t="s">
        <v>42</v>
      </c>
      <c r="T711" s="17">
        <v>1122</v>
      </c>
      <c r="U711" s="14" t="s">
        <v>43</v>
      </c>
      <c r="V711" s="12" t="s">
        <v>378</v>
      </c>
      <c r="W711" s="13">
        <f>'[1]V, inciso p) (OP)'!AM366</f>
        <v>43248</v>
      </c>
      <c r="X711" s="13">
        <f>'[1]V, inciso p) (OP)'!AN366</f>
        <v>43337</v>
      </c>
      <c r="Y711" s="12" t="s">
        <v>875</v>
      </c>
      <c r="Z711" s="12" t="s">
        <v>876</v>
      </c>
      <c r="AA711" s="12" t="s">
        <v>877</v>
      </c>
      <c r="AB711" s="14" t="s">
        <v>48</v>
      </c>
      <c r="AC711" s="14" t="s">
        <v>48</v>
      </c>
      <c r="AD711" s="14" t="s">
        <v>1571</v>
      </c>
    </row>
    <row r="712" spans="1:30" ht="80.099999999999994" customHeight="1">
      <c r="A712" s="5">
        <v>70</v>
      </c>
      <c r="B712" s="12">
        <v>2018</v>
      </c>
      <c r="C712" s="14" t="str">
        <f>'[1]V, inciso p) (OP)'!B367</f>
        <v>Licitación por Invitación Restringida</v>
      </c>
      <c r="D712" s="14" t="str">
        <f>'[1]V, inciso p) (OP)'!D367</f>
        <v>DOPI-MUN-R33-APDS-CI-070-2018</v>
      </c>
      <c r="E712" s="13">
        <f>'[1]V, inciso p) (OP)'!AD367</f>
        <v>43248</v>
      </c>
      <c r="F712" s="14" t="str">
        <f>'[1]V, inciso p) (OP)'!AL367</f>
        <v>Construcción de la tercera etapa de red de agua potable y drenaje en la colonia Lomas del Centinela II, municipio de Zapopan, Jalisco, frente 1.</v>
      </c>
      <c r="G712" s="14" t="str">
        <f>'[1]V, inciso p) (OP)'!AR367</f>
        <v>Fondo para la Infraestructura Social Municipal 2018</v>
      </c>
      <c r="H712" s="15">
        <f>'[1]V, inciso p) (OP)'!AJ367</f>
        <v>3372619.43</v>
      </c>
      <c r="I712" s="14" t="str">
        <f>'[1]V, inciso p) (OP)'!AS367</f>
        <v>Colonia Lomas del Centinela II</v>
      </c>
      <c r="J712" s="14" t="str">
        <f>'[1]V, inciso p) (OP)'!T367</f>
        <v xml:space="preserve"> BERNARDO </v>
      </c>
      <c r="K712" s="14" t="str">
        <f>'[1]V, inciso p) (OP)'!U367</f>
        <v xml:space="preserve">SAENZ </v>
      </c>
      <c r="L712" s="14" t="str">
        <f>'[1]V, inciso p) (OP)'!V367</f>
        <v>BARBA</v>
      </c>
      <c r="M712" s="14" t="str">
        <f>'[1]V, inciso p) (OP)'!W367</f>
        <v>GRUPO EDIFICADOR MAYAB, S.A. DE C.V.</v>
      </c>
      <c r="N712" s="14" t="str">
        <f>'[1]V, inciso p) (OP)'!X367</f>
        <v>GEM070112PX8</v>
      </c>
      <c r="O712" s="15">
        <f t="shared" si="20"/>
        <v>3372619.43</v>
      </c>
      <c r="P712" s="15">
        <f t="shared" si="21"/>
        <v>3372619.43</v>
      </c>
      <c r="Q712" s="23" t="s">
        <v>1255</v>
      </c>
      <c r="R712" s="22">
        <f>O712/390</f>
        <v>8647.7421282051291</v>
      </c>
      <c r="S712" s="12" t="s">
        <v>42</v>
      </c>
      <c r="T712" s="17">
        <v>291</v>
      </c>
      <c r="U712" s="14" t="s">
        <v>43</v>
      </c>
      <c r="V712" s="12" t="s">
        <v>378</v>
      </c>
      <c r="W712" s="13">
        <f>'[1]V, inciso p) (OP)'!AM367</f>
        <v>43248</v>
      </c>
      <c r="X712" s="13">
        <f>'[1]V, inciso p) (OP)'!AN367</f>
        <v>43352</v>
      </c>
      <c r="Y712" s="12" t="s">
        <v>767</v>
      </c>
      <c r="Z712" s="12" t="s">
        <v>843</v>
      </c>
      <c r="AA712" s="12" t="s">
        <v>769</v>
      </c>
      <c r="AB712" s="8" t="s">
        <v>1813</v>
      </c>
      <c r="AC712" s="14" t="s">
        <v>48</v>
      </c>
      <c r="AD712" s="14" t="s">
        <v>1571</v>
      </c>
    </row>
    <row r="713" spans="1:30" ht="80.099999999999994" customHeight="1">
      <c r="A713" s="5">
        <v>71</v>
      </c>
      <c r="B713" s="12">
        <v>2018</v>
      </c>
      <c r="C713" s="14" t="str">
        <f>'[1]V, inciso p) (OP)'!B368</f>
        <v>Licitación por Invitación Restringida</v>
      </c>
      <c r="D713" s="14" t="str">
        <f>'[1]V, inciso p) (OP)'!D368</f>
        <v>DOPI-MUN-R33-APDS-CI-071-2018</v>
      </c>
      <c r="E713" s="13">
        <f>'[1]V, inciso p) (OP)'!AD368</f>
        <v>43248</v>
      </c>
      <c r="F713" s="14" t="str">
        <f>'[1]V, inciso p) (OP)'!AL368</f>
        <v>Construcción de la tercera etapa de red de agua potable y drenaje en la colonia Lomas del Centinela II, municipio de Zapopan, Jalisco, frente 2.</v>
      </c>
      <c r="G713" s="14" t="str">
        <f>'[1]V, inciso p) (OP)'!AR368</f>
        <v>Fondo para la Infraestructura Social Municipal 2018</v>
      </c>
      <c r="H713" s="15">
        <f>'[1]V, inciso p) (OP)'!AJ368</f>
        <v>3114032.1</v>
      </c>
      <c r="I713" s="14" t="str">
        <f>'[1]V, inciso p) (OP)'!AS368</f>
        <v>Colonia Lomas del Centinela II</v>
      </c>
      <c r="J713" s="14" t="str">
        <f>'[1]V, inciso p) (OP)'!T368</f>
        <v>MARTÍN ALEJANDRO</v>
      </c>
      <c r="K713" s="14" t="str">
        <f>'[1]V, inciso p) (OP)'!U368</f>
        <v>DIEZ MARINA</v>
      </c>
      <c r="L713" s="14" t="str">
        <f>'[1]V, inciso p) (OP)'!V368</f>
        <v>INZUNZA</v>
      </c>
      <c r="M713" s="14" t="str">
        <f>'[1]V, inciso p) (OP)'!W368</f>
        <v>URBANIZACIONES INZUNZA, S.A. DE C.V.</v>
      </c>
      <c r="N713" s="14" t="str">
        <f>'[1]V, inciso p) (OP)'!X368</f>
        <v>UNI1201115M6</v>
      </c>
      <c r="O713" s="15">
        <f t="shared" si="20"/>
        <v>3114032.1</v>
      </c>
      <c r="P713" s="15">
        <f t="shared" si="21"/>
        <v>3114032.1</v>
      </c>
      <c r="Q713" s="23" t="s">
        <v>1256</v>
      </c>
      <c r="R713" s="22">
        <f>O713/273</f>
        <v>11406.71098901099</v>
      </c>
      <c r="S713" s="12" t="s">
        <v>42</v>
      </c>
      <c r="T713" s="17">
        <v>291</v>
      </c>
      <c r="U713" s="14" t="s">
        <v>43</v>
      </c>
      <c r="V713" s="12" t="s">
        <v>378</v>
      </c>
      <c r="W713" s="13">
        <f>'[1]V, inciso p) (OP)'!AM368</f>
        <v>43248</v>
      </c>
      <c r="X713" s="13">
        <f>'[1]V, inciso p) (OP)'!AN368</f>
        <v>43352</v>
      </c>
      <c r="Y713" s="12" t="s">
        <v>767</v>
      </c>
      <c r="Z713" s="12" t="s">
        <v>843</v>
      </c>
      <c r="AA713" s="12" t="s">
        <v>769</v>
      </c>
      <c r="AB713" s="8" t="s">
        <v>1814</v>
      </c>
      <c r="AC713" s="14" t="s">
        <v>48</v>
      </c>
      <c r="AD713" s="14" t="s">
        <v>1571</v>
      </c>
    </row>
    <row r="714" spans="1:30" ht="80.099999999999994" customHeight="1">
      <c r="A714" s="5">
        <v>72</v>
      </c>
      <c r="B714" s="12">
        <v>2018</v>
      </c>
      <c r="C714" s="14" t="str">
        <f>'[1]V, inciso p) (OP)'!B369</f>
        <v>Licitación por Invitación Restringida</v>
      </c>
      <c r="D714" s="14" t="str">
        <f>'[1]V, inciso p) (OP)'!D369</f>
        <v>DOPI-MUN-R33-PAV-CI-072-2018</v>
      </c>
      <c r="E714" s="13">
        <f>'[1]V, inciso p) (OP)'!AD369</f>
        <v>43248</v>
      </c>
      <c r="F714" s="14" t="str">
        <f>'[1]V, inciso p) (OP)'!AL369</f>
        <v>Pavimentación con concreto hidráulico en la colonia El Zapote II, segunda etapa, municipio de Zapopan, Jalisco.</v>
      </c>
      <c r="G714" s="14" t="str">
        <f>'[1]V, inciso p) (OP)'!AR369</f>
        <v>Fondo para la Infraestructura Social Municipal 2018</v>
      </c>
      <c r="H714" s="15">
        <f>'[1]V, inciso p) (OP)'!AJ369</f>
        <v>3526999.86</v>
      </c>
      <c r="I714" s="14" t="str">
        <f>'[1]V, inciso p) (OP)'!AS369</f>
        <v>Colonia El Zapote II</v>
      </c>
      <c r="J714" s="14" t="str">
        <f>'[1]V, inciso p) (OP)'!T369</f>
        <v>PAOLA ALEJANDRA</v>
      </c>
      <c r="K714" s="14" t="str">
        <f>'[1]V, inciso p) (OP)'!U369</f>
        <v>DIAZ</v>
      </c>
      <c r="L714" s="14" t="str">
        <f>'[1]V, inciso p) (OP)'!V369</f>
        <v>RUIZ</v>
      </c>
      <c r="M714" s="14" t="str">
        <f>'[1]V, inciso p) (OP)'!W369</f>
        <v>OBRAS CIVILES ACUARIO, S.A. DE C.V.</v>
      </c>
      <c r="N714" s="14" t="str">
        <f>'[1]V, inciso p) (OP)'!X369</f>
        <v>OCA080707FG8</v>
      </c>
      <c r="O714" s="15">
        <f t="shared" si="20"/>
        <v>3526999.86</v>
      </c>
      <c r="P714" s="15">
        <f t="shared" si="21"/>
        <v>3526999.86</v>
      </c>
      <c r="Q714" s="23" t="s">
        <v>1257</v>
      </c>
      <c r="R714" s="22">
        <f>O714/1820</f>
        <v>1937.9120109890109</v>
      </c>
      <c r="S714" s="12" t="s">
        <v>42</v>
      </c>
      <c r="T714" s="17">
        <v>699</v>
      </c>
      <c r="U714" s="14" t="s">
        <v>43</v>
      </c>
      <c r="V714" s="12" t="s">
        <v>378</v>
      </c>
      <c r="W714" s="13">
        <f>'[1]V, inciso p) (OP)'!AM369</f>
        <v>43248</v>
      </c>
      <c r="X714" s="13">
        <f>'[1]V, inciso p) (OP)'!AN369</f>
        <v>43347</v>
      </c>
      <c r="Y714" s="12" t="s">
        <v>830</v>
      </c>
      <c r="Z714" s="12" t="s">
        <v>1251</v>
      </c>
      <c r="AA714" s="12" t="s">
        <v>471</v>
      </c>
      <c r="AB714" s="8" t="s">
        <v>1815</v>
      </c>
      <c r="AC714" s="14" t="s">
        <v>48</v>
      </c>
      <c r="AD714" s="14" t="s">
        <v>1571</v>
      </c>
    </row>
    <row r="715" spans="1:30" ht="80.099999999999994" customHeight="1">
      <c r="A715" s="5">
        <v>74</v>
      </c>
      <c r="B715" s="12">
        <v>2018</v>
      </c>
      <c r="C715" s="14" t="str">
        <f>'[1]V, inciso p) (OP)'!B370</f>
        <v>Licitación por Invitación Restringida</v>
      </c>
      <c r="D715" s="14" t="str">
        <f>'[1]V, inciso p) (OP)'!D370</f>
        <v>DOPI-MUN-R33-PAV-CI-074-2018</v>
      </c>
      <c r="E715" s="13">
        <f>'[1]V, inciso p) (OP)'!AD370</f>
        <v>43248</v>
      </c>
      <c r="F715" s="14" t="str">
        <f>'[1]V, inciso p) (OP)'!AL370</f>
        <v>Pavimentación con concreto hidráulico en la colonia Palmira (calle Miguel Alemán de Av. Palmira a calle Fresno), municipio de Zapopan, Jalisco, frente 1.</v>
      </c>
      <c r="G715" s="14" t="str">
        <f>'[1]V, inciso p) (OP)'!AR370</f>
        <v>Fondo para la Infraestructura Social Municipal 2018</v>
      </c>
      <c r="H715" s="15">
        <f>'[1]V, inciso p) (OP)'!AJ370</f>
        <v>2862961.14</v>
      </c>
      <c r="I715" s="14" t="str">
        <f>'[1]V, inciso p) (OP)'!AS370</f>
        <v>Colonia Palmira</v>
      </c>
      <c r="J715" s="14" t="str">
        <f>'[1]V, inciso p) (OP)'!T370</f>
        <v>ALEX</v>
      </c>
      <c r="K715" s="14" t="str">
        <f>'[1]V, inciso p) (OP)'!U370</f>
        <v>MEDINA</v>
      </c>
      <c r="L715" s="14" t="str">
        <f>'[1]V, inciso p) (OP)'!V370</f>
        <v>GÓMEZ</v>
      </c>
      <c r="M715" s="14" t="str">
        <f>'[1]V, inciso p) (OP)'!W370</f>
        <v>MEDGAR CONSTRUCCIONES, S.A. DE C.V.</v>
      </c>
      <c r="N715" s="14" t="str">
        <f>'[1]V, inciso p) (OP)'!X370</f>
        <v>MCO150527NY3</v>
      </c>
      <c r="O715" s="15">
        <f t="shared" si="20"/>
        <v>2862961.14</v>
      </c>
      <c r="P715" s="15">
        <f t="shared" si="21"/>
        <v>2862961.14</v>
      </c>
      <c r="Q715" s="23" t="s">
        <v>1258</v>
      </c>
      <c r="R715" s="22">
        <f>O715/1635</f>
        <v>1751.0465688073396</v>
      </c>
      <c r="S715" s="12" t="s">
        <v>42</v>
      </c>
      <c r="T715" s="17">
        <v>876</v>
      </c>
      <c r="U715" s="14" t="s">
        <v>43</v>
      </c>
      <c r="V715" s="12" t="s">
        <v>378</v>
      </c>
      <c r="W715" s="13">
        <f>'[1]V, inciso p) (OP)'!AM370</f>
        <v>43248</v>
      </c>
      <c r="X715" s="13">
        <f>'[1]V, inciso p) (OP)'!AN370</f>
        <v>43337</v>
      </c>
      <c r="Y715" s="12" t="s">
        <v>735</v>
      </c>
      <c r="Z715" s="12" t="s">
        <v>236</v>
      </c>
      <c r="AA715" s="12" t="s">
        <v>147</v>
      </c>
      <c r="AB715" s="8" t="s">
        <v>1816</v>
      </c>
      <c r="AC715" s="14" t="s">
        <v>48</v>
      </c>
      <c r="AD715" s="14" t="s">
        <v>1571</v>
      </c>
    </row>
    <row r="716" spans="1:30" ht="80.099999999999994" customHeight="1">
      <c r="A716" s="5">
        <v>75</v>
      </c>
      <c r="B716" s="12">
        <v>2018</v>
      </c>
      <c r="C716" s="14" t="str">
        <f>'[1]V, inciso p) (OP)'!B371</f>
        <v>Licitación por Invitación Restringida</v>
      </c>
      <c r="D716" s="14" t="str">
        <f>'[1]V, inciso p) (OP)'!D371</f>
        <v>DOPI-MUN-R33-PAV-CI-075-2018</v>
      </c>
      <c r="E716" s="13">
        <f>'[1]V, inciso p) (OP)'!AD371</f>
        <v>43248</v>
      </c>
      <c r="F716" s="14" t="str">
        <f>'[1]V, inciso p) (OP)'!AL371</f>
        <v>Pavimentación con concreto hidráulico en la colonia Palmira (calle Miguel Alemán de Av. Palmira a calle Fresno), municipio de Zapopan, Jalisco, frente 2.</v>
      </c>
      <c r="G716" s="14" t="str">
        <f>'[1]V, inciso p) (OP)'!AR371</f>
        <v>Fondo para la Infraestructura Social Municipal 2018</v>
      </c>
      <c r="H716" s="15">
        <f>'[1]V, inciso p) (OP)'!AJ371</f>
        <v>2637972.83</v>
      </c>
      <c r="I716" s="14" t="str">
        <f>'[1]V, inciso p) (OP)'!AS371</f>
        <v>Colonia Palmira</v>
      </c>
      <c r="J716" s="14" t="str">
        <f>'[1]V, inciso p) (OP)'!T371</f>
        <v>HAYDEE LILIANA</v>
      </c>
      <c r="K716" s="14" t="str">
        <f>'[1]V, inciso p) (OP)'!U371</f>
        <v>AGUILAR</v>
      </c>
      <c r="L716" s="14" t="str">
        <f>'[1]V, inciso p) (OP)'!V371</f>
        <v>CASSIAN</v>
      </c>
      <c r="M716" s="14" t="str">
        <f>'[1]V, inciso p) (OP)'!W371</f>
        <v>EDIFICA 2001, S.A. DE C.V.</v>
      </c>
      <c r="N716" s="14" t="str">
        <f>'[1]V, inciso p) (OP)'!X371</f>
        <v>EDM970225I68</v>
      </c>
      <c r="O716" s="15">
        <f t="shared" si="20"/>
        <v>2637972.83</v>
      </c>
      <c r="P716" s="15">
        <f t="shared" si="21"/>
        <v>2637972.83</v>
      </c>
      <c r="Q716" s="23" t="s">
        <v>1259</v>
      </c>
      <c r="R716" s="22">
        <f>O716/1367</f>
        <v>1929.7533504023409</v>
      </c>
      <c r="S716" s="12" t="s">
        <v>42</v>
      </c>
      <c r="T716" s="17">
        <v>876</v>
      </c>
      <c r="U716" s="14" t="s">
        <v>43</v>
      </c>
      <c r="V716" s="12" t="s">
        <v>378</v>
      </c>
      <c r="W716" s="13">
        <f>'[1]V, inciso p) (OP)'!AM371</f>
        <v>43248</v>
      </c>
      <c r="X716" s="13">
        <f>'[1]V, inciso p) (OP)'!AN371</f>
        <v>43337</v>
      </c>
      <c r="Y716" s="12" t="s">
        <v>735</v>
      </c>
      <c r="Z716" s="12" t="s">
        <v>236</v>
      </c>
      <c r="AA716" s="12" t="s">
        <v>147</v>
      </c>
      <c r="AB716" s="8" t="s">
        <v>1817</v>
      </c>
      <c r="AC716" s="14" t="s">
        <v>48</v>
      </c>
      <c r="AD716" s="14" t="s">
        <v>1571</v>
      </c>
    </row>
    <row r="717" spans="1:30" ht="80.099999999999994" customHeight="1">
      <c r="A717" s="5">
        <v>76</v>
      </c>
      <c r="B717" s="12">
        <v>2018</v>
      </c>
      <c r="C717" s="14" t="str">
        <f>'[1]V, inciso p) (OP)'!B372</f>
        <v>Licitación por Invitación Restringida</v>
      </c>
      <c r="D717" s="14" t="str">
        <f>'[1]V, inciso p) (OP)'!D372</f>
        <v>DOPI-MUN-R33-APDS-CI-076-2018</v>
      </c>
      <c r="E717" s="13">
        <f>'[1]V, inciso p) (OP)'!AD372</f>
        <v>43248</v>
      </c>
      <c r="F717" s="14" t="str">
        <f>'[1]V, inciso p) (OP)'!AL372</f>
        <v>Construcción de colector pluvial y sustitución de redes de agua potable y drenaje sanitario, en la colonia La Magdalena (calle Bugambilias de Tulipán a Hidalgo), municipio de Zapopan, Jalisco.</v>
      </c>
      <c r="G717" s="14" t="str">
        <f>'[1]V, inciso p) (OP)'!AR372</f>
        <v>Fondo para la Infraestructura Social Municipal 2018</v>
      </c>
      <c r="H717" s="15">
        <f>'[1]V, inciso p) (OP)'!AJ372</f>
        <v>3153474.35</v>
      </c>
      <c r="I717" s="14" t="str">
        <f>'[1]V, inciso p) (OP)'!AS372</f>
        <v>Colonia La Magdalena</v>
      </c>
      <c r="J717" s="14" t="str">
        <f>'[1]V, inciso p) (OP)'!T372</f>
        <v>ANA KARINA</v>
      </c>
      <c r="K717" s="14" t="str">
        <f>'[1]V, inciso p) (OP)'!U372</f>
        <v>OJEDA</v>
      </c>
      <c r="L717" s="14" t="str">
        <f>'[1]V, inciso p) (OP)'!V372</f>
        <v>FERRELL</v>
      </c>
      <c r="M717" s="14" t="str">
        <f>'[1]V, inciso p) (OP)'!W372</f>
        <v>KP CONSTRUCTORA E INMOBILIARIA, S.A. DE C.V.</v>
      </c>
      <c r="N717" s="14" t="str">
        <f>'[1]V, inciso p) (OP)'!X372</f>
        <v>KCI120928CD5</v>
      </c>
      <c r="O717" s="15">
        <f t="shared" si="20"/>
        <v>3153474.35</v>
      </c>
      <c r="P717" s="15">
        <f t="shared" si="21"/>
        <v>3153474.35</v>
      </c>
      <c r="Q717" s="23" t="s">
        <v>1260</v>
      </c>
      <c r="R717" s="22">
        <f>O717/320</f>
        <v>9854.6073437499999</v>
      </c>
      <c r="S717" s="12" t="s">
        <v>42</v>
      </c>
      <c r="T717" s="17">
        <v>301</v>
      </c>
      <c r="U717" s="14" t="s">
        <v>43</v>
      </c>
      <c r="V717" s="12" t="s">
        <v>378</v>
      </c>
      <c r="W717" s="13">
        <f>'[1]V, inciso p) (OP)'!AM372</f>
        <v>43248</v>
      </c>
      <c r="X717" s="13">
        <f>'[1]V, inciso p) (OP)'!AN372</f>
        <v>43317</v>
      </c>
      <c r="Y717" s="12" t="s">
        <v>830</v>
      </c>
      <c r="Z717" s="12" t="s">
        <v>1251</v>
      </c>
      <c r="AA717" s="12" t="s">
        <v>471</v>
      </c>
      <c r="AB717" s="8" t="s">
        <v>1818</v>
      </c>
      <c r="AC717" s="14" t="s">
        <v>48</v>
      </c>
      <c r="AD717" s="14" t="s">
        <v>1571</v>
      </c>
    </row>
    <row r="718" spans="1:30" ht="80.099999999999994" customHeight="1">
      <c r="A718" s="5">
        <v>77</v>
      </c>
      <c r="B718" s="12">
        <v>2018</v>
      </c>
      <c r="C718" s="14" t="str">
        <f>'[1]V, inciso p) (OP)'!B373</f>
        <v>Licitación por Invitación Restringida</v>
      </c>
      <c r="D718" s="14" t="str">
        <f>'[1]V, inciso p) (OP)'!D373</f>
        <v>DOPI-MUN-R33-PAV-CI-077-2018</v>
      </c>
      <c r="E718" s="13">
        <f>'[1]V, inciso p) (OP)'!AD373</f>
        <v>43248</v>
      </c>
      <c r="F718" s="14" t="str">
        <f>'[1]V, inciso p) (OP)'!AL373</f>
        <v>Pavimentación con concreto hidráulico en la colonia La Magdalena (calle Bugambilias de Tulipán a Hidalgo), municipio de Zapopan, Jalisco, frente 1.</v>
      </c>
      <c r="G718" s="14" t="str">
        <f>'[1]V, inciso p) (OP)'!AR373</f>
        <v>Fondo para la Infraestructura Social Municipal 2018</v>
      </c>
      <c r="H718" s="15">
        <f>'[1]V, inciso p) (OP)'!AJ373</f>
        <v>3093567.18</v>
      </c>
      <c r="I718" s="14" t="str">
        <f>'[1]V, inciso p) (OP)'!AS373</f>
        <v>Colonia La Magdalena</v>
      </c>
      <c r="J718" s="14" t="str">
        <f>'[1]V, inciso p) (OP)'!T373</f>
        <v>MARIO</v>
      </c>
      <c r="K718" s="14" t="str">
        <f>'[1]V, inciso p) (OP)'!U373</f>
        <v>BELTRÁN</v>
      </c>
      <c r="L718" s="14" t="str">
        <f>'[1]V, inciso p) (OP)'!V373</f>
        <v>RODRÍGUEZ Y SUSARREY</v>
      </c>
      <c r="M718" s="14" t="str">
        <f>'[1]V, inciso p) (OP)'!W373</f>
        <v>CONSTRUCTORA Y DESARROLLADORA BARBA Y ASOCIADOS, S.A. DE C.V.</v>
      </c>
      <c r="N718" s="14" t="str">
        <f>'[1]V, inciso p) (OP)'!X373</f>
        <v>CDB0506068Z4</v>
      </c>
      <c r="O718" s="15">
        <f t="shared" si="20"/>
        <v>3093567.18</v>
      </c>
      <c r="P718" s="15">
        <f t="shared" si="21"/>
        <v>3093567.18</v>
      </c>
      <c r="Q718" s="23" t="s">
        <v>435</v>
      </c>
      <c r="R718" s="22">
        <f>O718/1240</f>
        <v>2494.8122419354841</v>
      </c>
      <c r="S718" s="12" t="s">
        <v>42</v>
      </c>
      <c r="T718" s="17">
        <v>301</v>
      </c>
      <c r="U718" s="14" t="s">
        <v>43</v>
      </c>
      <c r="V718" s="12" t="s">
        <v>378</v>
      </c>
      <c r="W718" s="13">
        <f>'[1]V, inciso p) (OP)'!AM373</f>
        <v>43248</v>
      </c>
      <c r="X718" s="13">
        <f>'[1]V, inciso p) (OP)'!AN373</f>
        <v>43347</v>
      </c>
      <c r="Y718" s="12" t="s">
        <v>830</v>
      </c>
      <c r="Z718" s="12" t="s">
        <v>1251</v>
      </c>
      <c r="AA718" s="12" t="s">
        <v>471</v>
      </c>
      <c r="AB718" s="8" t="s">
        <v>1819</v>
      </c>
      <c r="AC718" s="14" t="s">
        <v>48</v>
      </c>
      <c r="AD718" s="14" t="s">
        <v>1571</v>
      </c>
    </row>
    <row r="719" spans="1:30" ht="80.099999999999994" customHeight="1">
      <c r="A719" s="5">
        <v>78</v>
      </c>
      <c r="B719" s="12">
        <v>2018</v>
      </c>
      <c r="C719" s="14" t="str">
        <f>'[1]V, inciso p) (OP)'!B374</f>
        <v>Licitación por Invitación Restringida</v>
      </c>
      <c r="D719" s="14" t="str">
        <f>'[1]V, inciso p) (OP)'!D374</f>
        <v>DOPI-MUN-R33-PAV-CI-078-2018</v>
      </c>
      <c r="E719" s="13">
        <f>'[1]V, inciso p) (OP)'!AD374</f>
        <v>43248</v>
      </c>
      <c r="F719" s="14" t="str">
        <f>'[1]V, inciso p) (OP)'!AL374</f>
        <v>Pavimentación con concreto hidráulico en la colonia La Magdalena (calle Bugambilias de Tulipán a Hidalgo), municipio de Zapopan, Jalisco, frente 2.</v>
      </c>
      <c r="G719" s="14" t="str">
        <f>'[1]V, inciso p) (OP)'!AR374</f>
        <v>Fondo para la Infraestructura Social Municipal 2018</v>
      </c>
      <c r="H719" s="15">
        <f>'[1]V, inciso p) (OP)'!AJ374</f>
        <v>3023327.58</v>
      </c>
      <c r="I719" s="14" t="str">
        <f>'[1]V, inciso p) (OP)'!AS374</f>
        <v>Colonia La Magdalena</v>
      </c>
      <c r="J719" s="14" t="str">
        <f>'[1]V, inciso p) (OP)'!T374</f>
        <v>DANIEL</v>
      </c>
      <c r="K719" s="14" t="str">
        <f>'[1]V, inciso p) (OP)'!U374</f>
        <v>PARRA</v>
      </c>
      <c r="L719" s="14" t="str">
        <f>'[1]V, inciso p) (OP)'!V374</f>
        <v>RIVERA</v>
      </c>
      <c r="M719" s="14" t="str">
        <f>'[1]V, inciso p) (OP)'!W374</f>
        <v>CONSTRUMAQ, S.A. DE C.V.</v>
      </c>
      <c r="N719" s="14" t="str">
        <f>'[1]V, inciso p) (OP)'!X374</f>
        <v>CON970514LY1</v>
      </c>
      <c r="O719" s="15">
        <f t="shared" si="20"/>
        <v>3023327.58</v>
      </c>
      <c r="P719" s="15">
        <f t="shared" si="21"/>
        <v>3023327.58</v>
      </c>
      <c r="Q719" s="23" t="s">
        <v>435</v>
      </c>
      <c r="R719" s="22">
        <f>O719/1240</f>
        <v>2438.1674032258065</v>
      </c>
      <c r="S719" s="12" t="s">
        <v>42</v>
      </c>
      <c r="T719" s="17">
        <v>301</v>
      </c>
      <c r="U719" s="14" t="s">
        <v>43</v>
      </c>
      <c r="V719" s="12" t="s">
        <v>378</v>
      </c>
      <c r="W719" s="13">
        <f>'[1]V, inciso p) (OP)'!AM374</f>
        <v>43248</v>
      </c>
      <c r="X719" s="13">
        <f>'[1]V, inciso p) (OP)'!AN374</f>
        <v>43347</v>
      </c>
      <c r="Y719" s="12" t="s">
        <v>830</v>
      </c>
      <c r="Z719" s="12" t="s">
        <v>1251</v>
      </c>
      <c r="AA719" s="12" t="s">
        <v>471</v>
      </c>
      <c r="AB719" s="8" t="s">
        <v>1820</v>
      </c>
      <c r="AC719" s="14" t="s">
        <v>48</v>
      </c>
      <c r="AD719" s="14" t="s">
        <v>1571</v>
      </c>
    </row>
    <row r="720" spans="1:30" ht="80.099999999999994" customHeight="1">
      <c r="A720" s="5">
        <v>79</v>
      </c>
      <c r="B720" s="12">
        <v>2018</v>
      </c>
      <c r="C720" s="14" t="str">
        <f>'[1]V, inciso p) (OP)'!B375</f>
        <v>Licitación por Invitación Restringida</v>
      </c>
      <c r="D720" s="14" t="str">
        <f>'[1]V, inciso p) (OP)'!D375</f>
        <v>DOPI-MUN-FORTA-ID-CI-079-2018</v>
      </c>
      <c r="E720" s="13">
        <f>'[1]V, inciso p) (OP)'!AD375</f>
        <v>43248</v>
      </c>
      <c r="F720" s="14" t="str">
        <f>'[1]V, inciso p) (OP)'!AL375</f>
        <v>Construcción de ingreso principal, estructura con lonaria, rehabilitación de canchas de usos múltiples, andadores y alumbrado en el Parque de la Estrella, ubicado en la colonia Arcos de Zapopan, municipio de Zapopan, Jalisco.</v>
      </c>
      <c r="G720" s="14" t="str">
        <f>'[1]V, inciso p) (OP)'!AR375</f>
        <v>Fortamun 2018</v>
      </c>
      <c r="H720" s="15">
        <f>'[1]V, inciso p) (OP)'!AJ375</f>
        <v>6995751.1699999999</v>
      </c>
      <c r="I720" s="14" t="str">
        <f>'[1]V, inciso p) (OP)'!AS375</f>
        <v>Colonia Arcos de Zapopan</v>
      </c>
      <c r="J720" s="14" t="str">
        <f>'[1]V, inciso p) (OP)'!T375</f>
        <v>JAIME FERNANDO</v>
      </c>
      <c r="K720" s="14" t="str">
        <f>'[1]V, inciso p) (OP)'!U375</f>
        <v>ÁLVAREZ</v>
      </c>
      <c r="L720" s="14" t="str">
        <f>'[1]V, inciso p) (OP)'!V375</f>
        <v>LOZANO</v>
      </c>
      <c r="M720" s="14" t="str">
        <f>'[1]V, inciso p) (OP)'!W375</f>
        <v>INOVACIONES EN MOBILIARIO URBANO S.A. DE C.V.</v>
      </c>
      <c r="N720" s="14" t="str">
        <f>'[1]V, inciso p) (OP)'!X375</f>
        <v>IMU120820NM7</v>
      </c>
      <c r="O720" s="15">
        <f t="shared" si="20"/>
        <v>6995751.1699999999</v>
      </c>
      <c r="P720" s="15">
        <f t="shared" si="21"/>
        <v>6995751.1699999999</v>
      </c>
      <c r="Q720" s="23" t="s">
        <v>1261</v>
      </c>
      <c r="R720" s="22">
        <f>O720/900</f>
        <v>7773.0568555555556</v>
      </c>
      <c r="S720" s="12" t="s">
        <v>42</v>
      </c>
      <c r="T720" s="17">
        <v>3122</v>
      </c>
      <c r="U720" s="14" t="s">
        <v>43</v>
      </c>
      <c r="V720" s="12" t="s">
        <v>378</v>
      </c>
      <c r="W720" s="13">
        <f>'[1]V, inciso p) (OP)'!AM375</f>
        <v>43248</v>
      </c>
      <c r="X720" s="13">
        <f>'[1]V, inciso p) (OP)'!AN375</f>
        <v>43337</v>
      </c>
      <c r="Y720" s="12" t="s">
        <v>436</v>
      </c>
      <c r="Z720" s="12" t="s">
        <v>75</v>
      </c>
      <c r="AA720" s="12" t="s">
        <v>567</v>
      </c>
      <c r="AB720" s="8" t="s">
        <v>1821</v>
      </c>
      <c r="AC720" s="14" t="s">
        <v>48</v>
      </c>
      <c r="AD720" s="14" t="s">
        <v>1571</v>
      </c>
    </row>
    <row r="721" spans="1:30" ht="80.099999999999994" customHeight="1">
      <c r="A721" s="5">
        <v>80</v>
      </c>
      <c r="B721" s="12">
        <v>2018</v>
      </c>
      <c r="C721" s="14" t="str">
        <f>'[1]V, inciso p) (OP)'!B376</f>
        <v>Licitación por Invitación Restringida</v>
      </c>
      <c r="D721" s="14" t="str">
        <f>'[1]V, inciso p) (OP)'!D376</f>
        <v>DOPI-MUN-FORTA-ID-CI-080-2018</v>
      </c>
      <c r="E721" s="13">
        <f>'[1]V, inciso p) (OP)'!AD376</f>
        <v>43248</v>
      </c>
      <c r="F721" s="14" t="str">
        <f>'[1]V, inciso p) (OP)'!AL376</f>
        <v>Unidad Deportiva Tecolandia (rehabilitación de cancha de pasto sintético, construcción de cancha de futbol 7, cercado perimetral y construcción de barda, reparación de banquetas), municipio de Zapopan, Jalisco.</v>
      </c>
      <c r="G721" s="14" t="str">
        <f>'[1]V, inciso p) (OP)'!AR376</f>
        <v>Fortamun 2018</v>
      </c>
      <c r="H721" s="15">
        <f>'[1]V, inciso p) (OP)'!AJ376</f>
        <v>7790298.79</v>
      </c>
      <c r="I721" s="14" t="str">
        <f>'[1]V, inciso p) (OP)'!AS376</f>
        <v>Colonia Real del Parque</v>
      </c>
      <c r="J721" s="14" t="str">
        <f>'[1]V, inciso p) (OP)'!T376</f>
        <v>HÉCTOR MAURICIO</v>
      </c>
      <c r="K721" s="14" t="str">
        <f>'[1]V, inciso p) (OP)'!U376</f>
        <v>GRAMILLO</v>
      </c>
      <c r="L721" s="14" t="str">
        <f>'[1]V, inciso p) (OP)'!V376</f>
        <v>GONZÁLEZ</v>
      </c>
      <c r="M721" s="14" t="str">
        <f>'[1]V, inciso p) (OP)'!W376</f>
        <v>DESARROLLOS ECOLÓGICOS DE MÉXICO, S.A. DE C.V.</v>
      </c>
      <c r="N721" s="14" t="str">
        <f>'[1]V, inciso p) (OP)'!X376</f>
        <v>DED100816GB1</v>
      </c>
      <c r="O721" s="15">
        <f t="shared" si="20"/>
        <v>7790298.79</v>
      </c>
      <c r="P721" s="15">
        <f t="shared" si="21"/>
        <v>7790298.79</v>
      </c>
      <c r="Q721" s="23" t="s">
        <v>1262</v>
      </c>
      <c r="R721" s="22">
        <f>O721/3400</f>
        <v>2291.2643499999999</v>
      </c>
      <c r="S721" s="12" t="s">
        <v>42</v>
      </c>
      <c r="T721" s="17">
        <v>4069</v>
      </c>
      <c r="U721" s="14" t="s">
        <v>43</v>
      </c>
      <c r="V721" s="12" t="s">
        <v>378</v>
      </c>
      <c r="W721" s="13">
        <f>'[1]V, inciso p) (OP)'!AM376</f>
        <v>43248</v>
      </c>
      <c r="X721" s="13">
        <f>'[1]V, inciso p) (OP)'!AN376</f>
        <v>43353</v>
      </c>
      <c r="Y721" s="12" t="s">
        <v>875</v>
      </c>
      <c r="Z721" s="12" t="s">
        <v>876</v>
      </c>
      <c r="AA721" s="12" t="s">
        <v>877</v>
      </c>
      <c r="AB721" s="8" t="s">
        <v>1822</v>
      </c>
      <c r="AC721" s="14" t="s">
        <v>48</v>
      </c>
      <c r="AD721" s="14" t="s">
        <v>1571</v>
      </c>
    </row>
    <row r="722" spans="1:30" ht="80.099999999999994" customHeight="1">
      <c r="A722" s="5">
        <v>81</v>
      </c>
      <c r="B722" s="12">
        <v>2018</v>
      </c>
      <c r="C722" s="14" t="str">
        <f>'[1]V, inciso p) (OP)'!B377</f>
        <v>Licitación por Invitación Restringida</v>
      </c>
      <c r="D722" s="14" t="str">
        <f>'[1]V, inciso p) (OP)'!D377</f>
        <v>DOPI-MUN-FORTA-ID-CI-081-2018</v>
      </c>
      <c r="E722" s="13">
        <f>'[1]V, inciso p) (OP)'!AD377</f>
        <v>43248</v>
      </c>
      <c r="F722" s="14" t="str">
        <f>'[1]V, inciso p) (OP)'!AL377</f>
        <v>Unidad Deportiva Tecolandia (rehabilitación de 6 canchas de usos múltiples, techado de cancha de usos múltiples y construcción de centro de usos múltiples en la planta alta), municipio de Zapopan, Jalisco.</v>
      </c>
      <c r="G722" s="14" t="str">
        <f>'[1]V, inciso p) (OP)'!AR377</f>
        <v>Fortamun 2018</v>
      </c>
      <c r="H722" s="15">
        <f>'[1]V, inciso p) (OP)'!AJ377</f>
        <v>7150930.79</v>
      </c>
      <c r="I722" s="14" t="str">
        <f>'[1]V, inciso p) (OP)'!AS377</f>
        <v>Colonia Real del Parque</v>
      </c>
      <c r="J722" s="14" t="str">
        <f>'[1]V, inciso p) (OP)'!T377</f>
        <v>LUIS ARMANDO</v>
      </c>
      <c r="K722" s="14" t="str">
        <f>'[1]V, inciso p) (OP)'!U377</f>
        <v>LINARES</v>
      </c>
      <c r="L722" s="14" t="str">
        <f>'[1]V, inciso p) (OP)'!V377</f>
        <v>CACHO</v>
      </c>
      <c r="M722" s="14" t="str">
        <f>'[1]V, inciso p) (OP)'!W377</f>
        <v>EDIFICACIONES CALIA, S.A. DE C.V.</v>
      </c>
      <c r="N722" s="14" t="str">
        <f>'[1]V, inciso p) (OP)'!X377</f>
        <v>ECA170620KA6</v>
      </c>
      <c r="O722" s="15">
        <f t="shared" si="20"/>
        <v>7150930.79</v>
      </c>
      <c r="P722" s="15">
        <f t="shared" si="21"/>
        <v>7150930.79</v>
      </c>
      <c r="Q722" s="23" t="s">
        <v>1263</v>
      </c>
      <c r="R722" s="22">
        <f>O722/990</f>
        <v>7223.162414141414</v>
      </c>
      <c r="S722" s="12" t="s">
        <v>42</v>
      </c>
      <c r="T722" s="17">
        <v>4069</v>
      </c>
      <c r="U722" s="14" t="s">
        <v>43</v>
      </c>
      <c r="V722" s="12" t="s">
        <v>378</v>
      </c>
      <c r="W722" s="13">
        <f>'[1]V, inciso p) (OP)'!AM377</f>
        <v>43248</v>
      </c>
      <c r="X722" s="13">
        <f>'[1]V, inciso p) (OP)'!AN377</f>
        <v>43353</v>
      </c>
      <c r="Y722" s="12" t="s">
        <v>875</v>
      </c>
      <c r="Z722" s="12" t="s">
        <v>876</v>
      </c>
      <c r="AA722" s="12" t="s">
        <v>877</v>
      </c>
      <c r="AB722" s="8" t="s">
        <v>1823</v>
      </c>
      <c r="AC722" s="14" t="s">
        <v>48</v>
      </c>
      <c r="AD722" s="14" t="s">
        <v>1571</v>
      </c>
    </row>
    <row r="723" spans="1:30" ht="80.099999999999994" customHeight="1">
      <c r="A723" s="5">
        <v>82</v>
      </c>
      <c r="B723" s="12">
        <v>2018</v>
      </c>
      <c r="C723" s="14" t="str">
        <f>'[1]V, inciso p) (OP)'!B378</f>
        <v>Licitación por Invitación Restringida</v>
      </c>
      <c r="D723" s="14" t="str">
        <f>'[1]V, inciso p) (OP)'!D378</f>
        <v>DOPI-MUN-FORTA-BAN-CI-082-2018</v>
      </c>
      <c r="E723" s="13">
        <f>'[1]V, inciso p) (OP)'!AD378</f>
        <v>43248</v>
      </c>
      <c r="F723" s="14" t="str">
        <f>'[1]V, inciso p) (OP)'!AL378</f>
        <v>Remozamiento de camellón en la intersección de Av. Vallarta y Calzada Lázaro Cárdenas, en el nodo víal Los Cubos, colonia Prados Vallarta, municipio de Zapopan, Jalisco.</v>
      </c>
      <c r="G723" s="14" t="str">
        <f>'[1]V, inciso p) (OP)'!AR378</f>
        <v>Fortamun 2018</v>
      </c>
      <c r="H723" s="15">
        <f>'[1]V, inciso p) (OP)'!AJ378</f>
        <v>3604330.24</v>
      </c>
      <c r="I723" s="14" t="str">
        <f>'[1]V, inciso p) (OP)'!AS378</f>
        <v>Colonia Prados Vallarta</v>
      </c>
      <c r="J723" s="14" t="str">
        <f>'[1]V, inciso p) (OP)'!T378</f>
        <v>CLAUDIA NOEMI</v>
      </c>
      <c r="K723" s="14" t="str">
        <f>'[1]V, inciso p) (OP)'!U378</f>
        <v>GARCÍA</v>
      </c>
      <c r="L723" s="14" t="str">
        <f>'[1]V, inciso p) (OP)'!V378</f>
        <v>CASILLAS</v>
      </c>
      <c r="M723" s="14" t="str">
        <f>'[1]V, inciso p) (OP)'!W378</f>
        <v>PARQUES Y JARDINES URBANOS, S.A. DE C.V.</v>
      </c>
      <c r="N723" s="14" t="str">
        <f>'[1]V, inciso p) (OP)'!X378</f>
        <v>PJU150305K8A</v>
      </c>
      <c r="O723" s="15">
        <f t="shared" si="20"/>
        <v>3604330.24</v>
      </c>
      <c r="P723" s="15">
        <f t="shared" si="21"/>
        <v>3604330.24</v>
      </c>
      <c r="Q723" s="23" t="s">
        <v>1264</v>
      </c>
      <c r="R723" s="22">
        <f>O723/27919</f>
        <v>129.09954654536338</v>
      </c>
      <c r="S723" s="12" t="s">
        <v>42</v>
      </c>
      <c r="T723" s="17">
        <v>1332272</v>
      </c>
      <c r="U723" s="14" t="s">
        <v>43</v>
      </c>
      <c r="V723" s="12" t="s">
        <v>378</v>
      </c>
      <c r="W723" s="13">
        <f>'[1]V, inciso p) (OP)'!AM378</f>
        <v>43248</v>
      </c>
      <c r="X723" s="13">
        <f>'[1]V, inciso p) (OP)'!AN378</f>
        <v>43337</v>
      </c>
      <c r="Y723" s="12" t="s">
        <v>562</v>
      </c>
      <c r="Z723" s="12" t="s">
        <v>1265</v>
      </c>
      <c r="AA723" s="12" t="s">
        <v>197</v>
      </c>
      <c r="AB723" s="8" t="s">
        <v>1824</v>
      </c>
      <c r="AC723" s="14" t="s">
        <v>48</v>
      </c>
      <c r="AD723" s="14" t="s">
        <v>1571</v>
      </c>
    </row>
    <row r="724" spans="1:30" ht="80.099999999999994" customHeight="1">
      <c r="A724" s="5">
        <v>83</v>
      </c>
      <c r="B724" s="12">
        <v>2018</v>
      </c>
      <c r="C724" s="14" t="str">
        <f>'[1]V, inciso p) (OP)'!B379</f>
        <v>Licitación por Invitación Restringida</v>
      </c>
      <c r="D724" s="14" t="str">
        <f>'[1]V, inciso p) (OP)'!D379</f>
        <v>DOPI-MUN-FORTA-IE-CI-083-2018</v>
      </c>
      <c r="E724" s="13">
        <f>'[1]V, inciso p) (OP)'!AD379</f>
        <v>43248</v>
      </c>
      <c r="F724" s="14" t="str">
        <f>'[1]V, inciso p) (OP)'!AL379</f>
        <v>Estructuras con lonaria, rehabilitación de cancha de usos múltiples, peatonalización y obra complementaria en la Escuela Primaria Urbana 1249 Antonio Gómez Robledo, ubicada en Marina Vallarta S/N, Colonia Residencial Santa Margarita, Clave: 14EPR1425K, y en la Escuela Primaria Elena Poniatowska Amor, ubicada en Valle De Atemajac, Col. Valle de Los Molinos, Clave: 14EPR1617Z municipio de Zapopan, Jalisco.</v>
      </c>
      <c r="G724" s="14" t="str">
        <f>'[1]V, inciso p) (OP)'!AR379</f>
        <v>Fortamun 2018</v>
      </c>
      <c r="H724" s="15">
        <f>'[1]V, inciso p) (OP)'!AJ379</f>
        <v>2729400.56</v>
      </c>
      <c r="I724" s="14" t="str">
        <f>'[1]V, inciso p) (OP)'!AS379</f>
        <v>Colonias Resindencial Santa Margarita y Valle de los Molinos</v>
      </c>
      <c r="J724" s="14" t="str">
        <f>'[1]V, inciso p) (OP)'!T379</f>
        <v>DAVID</v>
      </c>
      <c r="K724" s="14" t="str">
        <f>'[1]V, inciso p) (OP)'!U379</f>
        <v>PENILLA</v>
      </c>
      <c r="L724" s="14" t="str">
        <f>'[1]V, inciso p) (OP)'!V379</f>
        <v>GONZÁLEZ</v>
      </c>
      <c r="M724" s="14" t="str">
        <f>'[1]V, inciso p) (OP)'!W379</f>
        <v>CONSORCIO CONSTRUCTOR CACEB, S.A. DE C.V.</v>
      </c>
      <c r="N724" s="14" t="str">
        <f>'[1]V, inciso p) (OP)'!X379</f>
        <v>CCC050411DA3</v>
      </c>
      <c r="O724" s="15">
        <f t="shared" si="20"/>
        <v>2729400.56</v>
      </c>
      <c r="P724" s="15">
        <f t="shared" si="21"/>
        <v>2729400.56</v>
      </c>
      <c r="Q724" s="23" t="s">
        <v>1266</v>
      </c>
      <c r="R724" s="22">
        <f>O724/421</f>
        <v>6483.1367220902612</v>
      </c>
      <c r="S724" s="12" t="s">
        <v>42</v>
      </c>
      <c r="T724" s="17">
        <v>1036</v>
      </c>
      <c r="U724" s="14" t="s">
        <v>43</v>
      </c>
      <c r="V724" s="12" t="s">
        <v>378</v>
      </c>
      <c r="W724" s="13">
        <f>'[1]V, inciso p) (OP)'!AM379</f>
        <v>43248</v>
      </c>
      <c r="X724" s="13">
        <f>'[1]V, inciso p) (OP)'!AN379</f>
        <v>43337</v>
      </c>
      <c r="Y724" s="12" t="s">
        <v>854</v>
      </c>
      <c r="Z724" s="12" t="s">
        <v>455</v>
      </c>
      <c r="AA724" s="12" t="s">
        <v>456</v>
      </c>
      <c r="AB724" s="8" t="s">
        <v>1825</v>
      </c>
      <c r="AC724" s="14" t="s">
        <v>48</v>
      </c>
      <c r="AD724" s="14" t="s">
        <v>1571</v>
      </c>
    </row>
    <row r="725" spans="1:30" ht="80.099999999999994" customHeight="1">
      <c r="A725" s="5">
        <v>84</v>
      </c>
      <c r="B725" s="12">
        <v>2018</v>
      </c>
      <c r="C725" s="14" t="str">
        <f>'[1]V, inciso p) (OP)'!B380</f>
        <v>Licitación por Invitación Restringida</v>
      </c>
      <c r="D725" s="14" t="str">
        <f>'[1]V, inciso p) (OP)'!D380</f>
        <v>DOPI-MUN-FORTA-IE-CI-084-2018</v>
      </c>
      <c r="E725" s="13">
        <f>'[1]V, inciso p) (OP)'!AD380</f>
        <v>43248</v>
      </c>
      <c r="F725" s="14" t="str">
        <f>'[1]V, inciso p) (OP)'!AL380</f>
        <v>Estructuras con lonaria, rehabilitación de cancha de usos múltiples, peatonalización y obra complementaria en la Escuela Primaria José López Portillo y Rojas, ubicada en Calle Río Cihuatlán No.2763, Colonia Las Águilas, Clave: 14DPR2452P, y en la Escuela Primaria Federal Francisco I. Madero, ubicada en Av. Prolongación Gpe. No. 23, Colonia Arenales Tapatíos, Clave: 14DPR0083W, municipio de Zapopan, Jalisco.</v>
      </c>
      <c r="G725" s="14" t="str">
        <f>'[1]V, inciso p) (OP)'!AR380</f>
        <v>Fortamun 2018</v>
      </c>
      <c r="H725" s="15">
        <f>'[1]V, inciso p) (OP)'!AJ380</f>
        <v>4080048.8</v>
      </c>
      <c r="I725" s="14" t="str">
        <f>'[1]V, inciso p) (OP)'!AS380</f>
        <v>Colonias Las Aguilas y Arenales Tapatios</v>
      </c>
      <c r="J725" s="14" t="str">
        <f>'[1]V, inciso p) (OP)'!T380</f>
        <v>MARIA NELBA</v>
      </c>
      <c r="K725" s="14" t="str">
        <f>'[1]V, inciso p) (OP)'!U380</f>
        <v xml:space="preserve">FONSECA </v>
      </c>
      <c r="L725" s="14" t="str">
        <f>'[1]V, inciso p) (OP)'!V380</f>
        <v>GUTIERREZ</v>
      </c>
      <c r="M725" s="14" t="str">
        <f>'[1]V, inciso p) (OP)'!W380</f>
        <v>FG CONSTRUCCIONES Y PAVIMENTACIONES, S.A. DE C.V.</v>
      </c>
      <c r="N725" s="14" t="str">
        <f>'[1]V, inciso p) (OP)'!X380</f>
        <v>FCP100909B70</v>
      </c>
      <c r="O725" s="15">
        <f t="shared" si="20"/>
        <v>4080048.8</v>
      </c>
      <c r="P725" s="15">
        <f t="shared" si="21"/>
        <v>4080048.8</v>
      </c>
      <c r="Q725" s="23" t="s">
        <v>1267</v>
      </c>
      <c r="R725" s="22">
        <f>O725/970</f>
        <v>4206.2358762886597</v>
      </c>
      <c r="S725" s="12" t="s">
        <v>42</v>
      </c>
      <c r="T725" s="17">
        <v>2611</v>
      </c>
      <c r="U725" s="14" t="s">
        <v>43</v>
      </c>
      <c r="V725" s="12" t="s">
        <v>378</v>
      </c>
      <c r="W725" s="13">
        <f>'[1]V, inciso p) (OP)'!AM380</f>
        <v>43248</v>
      </c>
      <c r="X725" s="13">
        <f>'[1]V, inciso p) (OP)'!AN380</f>
        <v>43337</v>
      </c>
      <c r="Y725" s="12" t="s">
        <v>436</v>
      </c>
      <c r="Z725" s="12" t="s">
        <v>75</v>
      </c>
      <c r="AA725" s="12" t="s">
        <v>567</v>
      </c>
      <c r="AB725" s="8" t="s">
        <v>1826</v>
      </c>
      <c r="AC725" s="14" t="s">
        <v>48</v>
      </c>
      <c r="AD725" s="14" t="s">
        <v>1571</v>
      </c>
    </row>
    <row r="726" spans="1:30" ht="80.099999999999994" customHeight="1">
      <c r="A726" s="5">
        <v>85</v>
      </c>
      <c r="B726" s="12">
        <v>2018</v>
      </c>
      <c r="C726" s="14" t="str">
        <f>'[1]V, inciso p) (OP)'!B381</f>
        <v>Licitación por Invitación Restringida</v>
      </c>
      <c r="D726" s="14" t="str">
        <f>'[1]V, inciso p) (OP)'!D381</f>
        <v>DOPI-MUN-FORTA-IE-CI-085-2018</v>
      </c>
      <c r="E726" s="13">
        <f>'[1]V, inciso p) (OP)'!AD381</f>
        <v>43248</v>
      </c>
      <c r="F726" s="14" t="str">
        <f>'[1]V, inciso p) (OP)'!AL381</f>
        <v>Estructuras con lonaria, rehabilitación de cancha de usos múltiples, peatonalización y obra complementaria en la Escuela Primaria Pensador Mexicano, ubicada en la Calle San Miguel No. 2005, Colonia La Palmira, Clave: 14DPR4072U, y en la Escuela Primaria Urbana 1248, Benemérito de las Américas, ubicada en la Calle Palmas, Colonia El Fresno, Clave: 14DPR1283C municipio de Zapopan, Jalisco.</v>
      </c>
      <c r="G726" s="14" t="str">
        <f>'[1]V, inciso p) (OP)'!AR381</f>
        <v>Fortamun 2018</v>
      </c>
      <c r="H726" s="15">
        <f>'[1]V, inciso p) (OP)'!AJ381</f>
        <v>4990994.08</v>
      </c>
      <c r="I726" s="14" t="str">
        <f>'[1]V, inciso p) (OP)'!AS381</f>
        <v>Colonias La Palmira y El Fresno</v>
      </c>
      <c r="J726" s="14" t="str">
        <f>'[1]V, inciso p) (OP)'!T381</f>
        <v>CLARISSA GABRIELA</v>
      </c>
      <c r="K726" s="14" t="str">
        <f>'[1]V, inciso p) (OP)'!U381</f>
        <v>VALDEZ</v>
      </c>
      <c r="L726" s="14" t="str">
        <f>'[1]V, inciso p) (OP)'!V381</f>
        <v>MANJARREZ</v>
      </c>
      <c r="M726" s="14" t="str">
        <f>'[1]V, inciso p) (OP)'!W381</f>
        <v>TEKTON GRUPO EMPRESARIAL, S.A. DE C.V.</v>
      </c>
      <c r="N726" s="14" t="str">
        <f>'[1]V, inciso p) (OP)'!X381</f>
        <v>TGE101215JI6</v>
      </c>
      <c r="O726" s="15">
        <f t="shared" si="20"/>
        <v>4990994.08</v>
      </c>
      <c r="P726" s="15">
        <f t="shared" si="21"/>
        <v>4990994.08</v>
      </c>
      <c r="Q726" s="23" t="s">
        <v>1263</v>
      </c>
      <c r="R726" s="22">
        <f>O726/990</f>
        <v>5041.408161616162</v>
      </c>
      <c r="S726" s="12" t="s">
        <v>42</v>
      </c>
      <c r="T726" s="17">
        <v>2096</v>
      </c>
      <c r="U726" s="14" t="s">
        <v>43</v>
      </c>
      <c r="V726" s="12" t="s">
        <v>378</v>
      </c>
      <c r="W726" s="13">
        <f>'[1]V, inciso p) (OP)'!AM381</f>
        <v>43248</v>
      </c>
      <c r="X726" s="13">
        <f>'[1]V, inciso p) (OP)'!AN381</f>
        <v>43337</v>
      </c>
      <c r="Y726" s="12" t="s">
        <v>470</v>
      </c>
      <c r="Z726" s="12" t="s">
        <v>315</v>
      </c>
      <c r="AA726" s="12" t="s">
        <v>134</v>
      </c>
      <c r="AB726" s="8" t="s">
        <v>1827</v>
      </c>
      <c r="AC726" s="14" t="s">
        <v>48</v>
      </c>
      <c r="AD726" s="14" t="s">
        <v>1571</v>
      </c>
    </row>
    <row r="727" spans="1:30" ht="80.099999999999994" customHeight="1">
      <c r="A727" s="5">
        <v>86</v>
      </c>
      <c r="B727" s="12">
        <v>2018</v>
      </c>
      <c r="C727" s="14" t="str">
        <f>'[1]V, inciso p) (OP)'!B382</f>
        <v>Licitación por Invitación Restringida</v>
      </c>
      <c r="D727" s="14" t="str">
        <f>'[1]V, inciso p) (OP)'!D382</f>
        <v>DOPI-MUN-FORTA-IE-CI-086-2018</v>
      </c>
      <c r="E727" s="13">
        <f>'[1]V, inciso p) (OP)'!AD382</f>
        <v>43248</v>
      </c>
      <c r="F727" s="14" t="str">
        <f>'[1]V, inciso p) (OP)'!AL382</f>
        <v>Estructuras con lonaria, rehabilitación de cancha de usos múltiples, peatonalización y obra complementaria en el Preescolar Jardín De Niños María Guadalupe Palafox Ornelas, ubicado en la Calle López Portillo, Colonia Jardines Del Ixtepete, Clave: 14DJN1398O, y en la Escuela Primaria Juan Rulfo, ubicada en la Calle Viña del Mar, Colonia Miramar, Clave: 14EPR1546W municipio de Zapopan, Jalisco.</v>
      </c>
      <c r="G727" s="14" t="str">
        <f>'[1]V, inciso p) (OP)'!AR382</f>
        <v>Fortamun 2018</v>
      </c>
      <c r="H727" s="15">
        <f>'[1]V, inciso p) (OP)'!AJ382</f>
        <v>2392648.62</v>
      </c>
      <c r="I727" s="14" t="str">
        <f>'[1]V, inciso p) (OP)'!AS382</f>
        <v>Colonias Jardines del Ixtepete y Miramar</v>
      </c>
      <c r="J727" s="14" t="str">
        <f>'[1]V, inciso p) (OP)'!T382</f>
        <v>EDWIN</v>
      </c>
      <c r="K727" s="14" t="str">
        <f>'[1]V, inciso p) (OP)'!U382</f>
        <v>AGUIAR</v>
      </c>
      <c r="L727" s="14" t="str">
        <f>'[1]V, inciso p) (OP)'!V382</f>
        <v>ESCATEL</v>
      </c>
      <c r="M727" s="14" t="str">
        <f>'[1]V, inciso p) (OP)'!W382</f>
        <v>MANJARREZ URBANIZACIONES, S.A. DE C.V.</v>
      </c>
      <c r="N727" s="14" t="str">
        <f>'[1]V, inciso p) (OP)'!X382</f>
        <v>MUR090325P33</v>
      </c>
      <c r="O727" s="15">
        <f t="shared" si="20"/>
        <v>2392648.62</v>
      </c>
      <c r="P727" s="15">
        <f t="shared" si="21"/>
        <v>2392648.62</v>
      </c>
      <c r="Q727" s="23" t="s">
        <v>599</v>
      </c>
      <c r="R727" s="22">
        <f>O727/426</f>
        <v>5616.5460563380284</v>
      </c>
      <c r="S727" s="12" t="s">
        <v>42</v>
      </c>
      <c r="T727" s="17">
        <v>1678</v>
      </c>
      <c r="U727" s="14" t="s">
        <v>43</v>
      </c>
      <c r="V727" s="12" t="s">
        <v>378</v>
      </c>
      <c r="W727" s="13">
        <f>'[1]V, inciso p) (OP)'!AM382</f>
        <v>43248</v>
      </c>
      <c r="X727" s="13">
        <f>'[1]V, inciso p) (OP)'!AN382</f>
        <v>43337</v>
      </c>
      <c r="Y727" s="12" t="s">
        <v>436</v>
      </c>
      <c r="Z727" s="12" t="s">
        <v>75</v>
      </c>
      <c r="AA727" s="12" t="s">
        <v>567</v>
      </c>
      <c r="AB727" s="8" t="s">
        <v>1828</v>
      </c>
      <c r="AC727" s="14" t="s">
        <v>48</v>
      </c>
      <c r="AD727" s="14" t="s">
        <v>1571</v>
      </c>
    </row>
    <row r="728" spans="1:30" ht="80.099999999999994" customHeight="1">
      <c r="A728" s="5">
        <v>87</v>
      </c>
      <c r="B728" s="12">
        <v>2018</v>
      </c>
      <c r="C728" s="14" t="str">
        <f>'[1]V, inciso p) (OP)'!B383</f>
        <v>Licitación por Invitación Restringida</v>
      </c>
      <c r="D728" s="14" t="str">
        <f>'[1]V, inciso p) (OP)'!D383</f>
        <v>DOPI-MUN-FORTA-IE-CI-087-2018</v>
      </c>
      <c r="E728" s="13">
        <f>'[1]V, inciso p) (OP)'!AD383</f>
        <v>43248</v>
      </c>
      <c r="F728" s="14" t="str">
        <f>'[1]V, inciso p) (OP)'!AL383</f>
        <v>Estructuras con lonaria, rehabilitación de cancha de usos múltiples, peatonalización y obra complementaria en la Escuela Primaria J. Jesús González Gallo, ubicada en la Calle Sayil, Colonia Jardines del Sol, Clave: 14DPR1388Y, municipio de Zapopan, Jalisco.</v>
      </c>
      <c r="G728" s="14" t="str">
        <f>'[1]V, inciso p) (OP)'!AR383</f>
        <v>Fortamun 2018</v>
      </c>
      <c r="H728" s="15">
        <f>'[1]V, inciso p) (OP)'!AJ383</f>
        <v>2686219.06</v>
      </c>
      <c r="I728" s="14" t="str">
        <f>'[1]V, inciso p) (OP)'!AS383</f>
        <v>Colonia Jardines del Sol</v>
      </c>
      <c r="J728" s="14" t="str">
        <f>'[1]V, inciso p) (OP)'!T383</f>
        <v>HÉCTOR MARIO</v>
      </c>
      <c r="K728" s="14" t="str">
        <f>'[1]V, inciso p) (OP)'!U383</f>
        <v>GÓMEZ</v>
      </c>
      <c r="L728" s="14" t="str">
        <f>'[1]V, inciso p) (OP)'!V383</f>
        <v>GALVARRIATO FREER</v>
      </c>
      <c r="M728" s="14" t="str">
        <f>'[1]V, inciso p) (OP)'!W383</f>
        <v>ESPECIALISTAS EN ACABADOS PROFESIONALES, S.A DE C.V.</v>
      </c>
      <c r="N728" s="14" t="str">
        <f>'[1]V, inciso p) (OP)'!X383</f>
        <v>EAP000106BW7</v>
      </c>
      <c r="O728" s="15">
        <f t="shared" si="20"/>
        <v>2686219.06</v>
      </c>
      <c r="P728" s="15">
        <f t="shared" si="21"/>
        <v>2686219.06</v>
      </c>
      <c r="Q728" s="23" t="s">
        <v>1207</v>
      </c>
      <c r="R728" s="22">
        <f>O728/700</f>
        <v>3837.4558000000002</v>
      </c>
      <c r="S728" s="12" t="s">
        <v>42</v>
      </c>
      <c r="T728" s="17">
        <v>2215</v>
      </c>
      <c r="U728" s="14" t="s">
        <v>43</v>
      </c>
      <c r="V728" s="12" t="s">
        <v>378</v>
      </c>
      <c r="W728" s="13">
        <f>'[1]V, inciso p) (OP)'!AM383</f>
        <v>43248</v>
      </c>
      <c r="X728" s="13">
        <f>'[1]V, inciso p) (OP)'!AN383</f>
        <v>43337</v>
      </c>
      <c r="Y728" s="12" t="s">
        <v>615</v>
      </c>
      <c r="Z728" s="12" t="s">
        <v>616</v>
      </c>
      <c r="AA728" s="12" t="s">
        <v>617</v>
      </c>
      <c r="AB728" s="8"/>
      <c r="AC728" s="14" t="s">
        <v>48</v>
      </c>
      <c r="AD728" s="14" t="s">
        <v>1571</v>
      </c>
    </row>
    <row r="729" spans="1:30" ht="80.099999999999994" customHeight="1">
      <c r="A729" s="5">
        <v>88</v>
      </c>
      <c r="B729" s="12">
        <v>2018</v>
      </c>
      <c r="C729" s="14" t="str">
        <f>'[1]V, inciso p) (OP)'!B384</f>
        <v>Licitación por Invitación Restringida</v>
      </c>
      <c r="D729" s="14" t="str">
        <f>'[1]V, inciso p) (OP)'!D384</f>
        <v>DOPI-MUN-RM-PAV-CI-088-2018</v>
      </c>
      <c r="E729" s="13">
        <f>'[1]V, inciso p) (OP)'!AD384</f>
        <v>43248</v>
      </c>
      <c r="F729" s="14" t="str">
        <f>'[1]V, inciso p) (OP)'!AL384</f>
        <v>Pavimentación con concreto hidráulico de calle Juan del Carmen, de calle Urano a Periférico, incluye agua potable, drenaje, guarniciones, banquetas, alumbrado y señalética, en la colonia La Palmita, Municipio de Zapopan, Jalisco, Primera Etapa.</v>
      </c>
      <c r="G729" s="14" t="str">
        <f>'[1]V, inciso p) (OP)'!AR384</f>
        <v>Recurso Propio</v>
      </c>
      <c r="H729" s="15">
        <f>'[1]V, inciso p) (OP)'!AJ384</f>
        <v>1991563.49</v>
      </c>
      <c r="I729" s="14" t="str">
        <f>'[1]V, inciso p) (OP)'!AS384</f>
        <v>Colonia La Palmita</v>
      </c>
      <c r="J729" s="14" t="str">
        <f>'[1]V, inciso p) (OP)'!T384</f>
        <v>LAURA LILIA</v>
      </c>
      <c r="K729" s="14" t="str">
        <f>'[1]V, inciso p) (OP)'!U384</f>
        <v>ARELLANO</v>
      </c>
      <c r="L729" s="14" t="str">
        <f>'[1]V, inciso p) (OP)'!V384</f>
        <v>CERNA</v>
      </c>
      <c r="M729" s="14" t="str">
        <f>'[1]V, inciso p) (OP)'!W384</f>
        <v>CONSTRUCCIÓNES E INGENIERIA EL CIPRES, S.A. DE C.V.</v>
      </c>
      <c r="N729" s="14" t="str">
        <f>'[1]V, inciso p) (OP)'!X384</f>
        <v>CEI120724PR2</v>
      </c>
      <c r="O729" s="15">
        <f t="shared" si="20"/>
        <v>1991563.49</v>
      </c>
      <c r="P729" s="15">
        <f t="shared" ref="P729:P748" si="22">O729</f>
        <v>1991563.49</v>
      </c>
      <c r="Q729" s="23" t="s">
        <v>1268</v>
      </c>
      <c r="R729" s="22">
        <f>O729/815</f>
        <v>2443.6361840490799</v>
      </c>
      <c r="S729" s="12" t="s">
        <v>42</v>
      </c>
      <c r="T729" s="17">
        <v>638</v>
      </c>
      <c r="U729" s="14" t="s">
        <v>43</v>
      </c>
      <c r="V729" s="12" t="s">
        <v>378</v>
      </c>
      <c r="W729" s="13">
        <f>'[1]V, inciso p) (OP)'!AM384</f>
        <v>43248</v>
      </c>
      <c r="X729" s="13">
        <f>'[1]V, inciso p) (OP)'!AN384</f>
        <v>43307</v>
      </c>
      <c r="Y729" s="12" t="s">
        <v>365</v>
      </c>
      <c r="Z729" s="12" t="s">
        <v>265</v>
      </c>
      <c r="AA729" s="12" t="s">
        <v>1269</v>
      </c>
      <c r="AB729" s="8" t="s">
        <v>1829</v>
      </c>
      <c r="AC729" s="14" t="s">
        <v>48</v>
      </c>
      <c r="AD729" s="14" t="s">
        <v>1571</v>
      </c>
    </row>
    <row r="730" spans="1:30" ht="80.099999999999994" customHeight="1">
      <c r="A730" s="5">
        <v>89</v>
      </c>
      <c r="B730" s="12">
        <v>2018</v>
      </c>
      <c r="C730" s="14" t="str">
        <f>'[1]V, inciso p) (OP)'!B385</f>
        <v>Licitación por Invitación Restringida</v>
      </c>
      <c r="D730" s="14" t="str">
        <f>'[1]V, inciso p) (OP)'!D385</f>
        <v>DOPI-MUN-RM-PAV-CI-089-2018</v>
      </c>
      <c r="E730" s="13">
        <f>'[1]V, inciso p) (OP)'!AD385</f>
        <v>43248</v>
      </c>
      <c r="F730" s="14" t="str">
        <f>'[1]V, inciso p) (OP)'!AL385</f>
        <v>Pavimentación con mezcla asfáltica de calle Víctor Hugo, de calle Corpeña a calle Del Canal, incluye agua potable, drenaje, guarniciones, banquetas, alumbrado y señalética, en la colonia Víctor Hugo, Municipio de Zapopan, Jalisco, frente 1.</v>
      </c>
      <c r="G730" s="14" t="str">
        <f>'[1]V, inciso p) (OP)'!AR385</f>
        <v>Recurso Propio</v>
      </c>
      <c r="H730" s="15">
        <f>'[1]V, inciso p) (OP)'!AJ385</f>
        <v>2586820.56</v>
      </c>
      <c r="I730" s="14" t="str">
        <f>'[1]V, inciso p) (OP)'!AS385</f>
        <v>Colonia Víctor Hugo</v>
      </c>
      <c r="J730" s="14" t="str">
        <f>'[1]V, inciso p) (OP)'!T385</f>
        <v>VICTOR MANUEL</v>
      </c>
      <c r="K730" s="14" t="str">
        <f>'[1]V, inciso p) (OP)'!U385</f>
        <v>JAUREGUI</v>
      </c>
      <c r="L730" s="14" t="str">
        <f>'[1]V, inciso p) (OP)'!V385</f>
        <v>TORRES</v>
      </c>
      <c r="M730" s="14" t="str">
        <f>'[1]V, inciso p) (OP)'!W385</f>
        <v>CONSTRUCTORA ERLORT Y ASOCIADOS, S.A. DE C.V.</v>
      </c>
      <c r="N730" s="14" t="str">
        <f>'[1]V, inciso p) (OP)'!X385</f>
        <v>CEA070208SB1</v>
      </c>
      <c r="O730" s="15">
        <f t="shared" si="20"/>
        <v>2586820.56</v>
      </c>
      <c r="P730" s="15">
        <f t="shared" si="22"/>
        <v>2586820.56</v>
      </c>
      <c r="Q730" s="23" t="s">
        <v>1270</v>
      </c>
      <c r="R730" s="22">
        <f>O730/1395</f>
        <v>1854.3516559139784</v>
      </c>
      <c r="S730" s="12" t="s">
        <v>42</v>
      </c>
      <c r="T730" s="17">
        <v>4023</v>
      </c>
      <c r="U730" s="14" t="s">
        <v>43</v>
      </c>
      <c r="V730" s="12" t="s">
        <v>378</v>
      </c>
      <c r="W730" s="13">
        <f>'[1]V, inciso p) (OP)'!AM385</f>
        <v>43248</v>
      </c>
      <c r="X730" s="13">
        <f>'[1]V, inciso p) (OP)'!AN385</f>
        <v>43337</v>
      </c>
      <c r="Y730" s="12" t="s">
        <v>449</v>
      </c>
      <c r="Z730" s="12" t="s">
        <v>450</v>
      </c>
      <c r="AA730" s="12" t="s">
        <v>451</v>
      </c>
      <c r="AB730" s="8" t="s">
        <v>1830</v>
      </c>
      <c r="AC730" s="14" t="s">
        <v>48</v>
      </c>
      <c r="AD730" s="14" t="s">
        <v>1571</v>
      </c>
    </row>
    <row r="731" spans="1:30" ht="80.099999999999994" customHeight="1">
      <c r="A731" s="5">
        <v>90</v>
      </c>
      <c r="B731" s="12">
        <v>2018</v>
      </c>
      <c r="C731" s="14" t="str">
        <f>'[1]V, inciso p) (OP)'!B386</f>
        <v>Licitación por Invitación Restringida</v>
      </c>
      <c r="D731" s="14" t="str">
        <f>'[1]V, inciso p) (OP)'!D386</f>
        <v>DOPI-MUN-RM-PAV-CI-090-2018</v>
      </c>
      <c r="E731" s="13">
        <f>'[1]V, inciso p) (OP)'!AD386</f>
        <v>43248</v>
      </c>
      <c r="F731" s="14" t="str">
        <f>'[1]V, inciso p) (OP)'!AL386</f>
        <v>Pavimentación con mezcla asfáltica de calle Víctor Hugo, de calle Corpeña a calle Del Canal, incluye agua potable, drenaje, guarniciones, banquetas, alumbrado y señalética, en la colonia Víctor Hugo, Municipio de Zapopan, Jalisco, frente 2.</v>
      </c>
      <c r="G731" s="14" t="str">
        <f>'[1]V, inciso p) (OP)'!AR386</f>
        <v>Recurso Propio</v>
      </c>
      <c r="H731" s="15">
        <f>'[1]V, inciso p) (OP)'!AJ386</f>
        <v>2203887.4900000002</v>
      </c>
      <c r="I731" s="14" t="str">
        <f>'[1]V, inciso p) (OP)'!AS386</f>
        <v>Colonia Víctor Hugo</v>
      </c>
      <c r="J731" s="14" t="str">
        <f>'[1]V, inciso p) (OP)'!T386</f>
        <v>MAXIMILIANO</v>
      </c>
      <c r="K731" s="14" t="str">
        <f>'[1]V, inciso p) (OP)'!U386</f>
        <v>TORRES</v>
      </c>
      <c r="L731" s="14" t="str">
        <f>'[1]V, inciso p) (OP)'!V386</f>
        <v>LÓPEZ</v>
      </c>
      <c r="M731" s="14" t="str">
        <f>'[1]V, inciso p) (OP)'!W386</f>
        <v>GRUPO CONSTRUCTOR STRADE, S.A. DE C.V.</v>
      </c>
      <c r="N731" s="14" t="str">
        <f>'[1]V, inciso p) (OP)'!X386</f>
        <v>GCS080902S44</v>
      </c>
      <c r="O731" s="15">
        <f t="shared" si="20"/>
        <v>2203887.4900000002</v>
      </c>
      <c r="P731" s="15">
        <f t="shared" si="22"/>
        <v>2203887.4900000002</v>
      </c>
      <c r="Q731" s="23" t="s">
        <v>1271</v>
      </c>
      <c r="R731" s="22">
        <f>O731/1065</f>
        <v>2069.3779248826295</v>
      </c>
      <c r="S731" s="12" t="s">
        <v>42</v>
      </c>
      <c r="T731" s="17">
        <v>4023</v>
      </c>
      <c r="U731" s="14" t="s">
        <v>43</v>
      </c>
      <c r="V731" s="12" t="s">
        <v>378</v>
      </c>
      <c r="W731" s="13">
        <f>'[1]V, inciso p) (OP)'!AM386</f>
        <v>43248</v>
      </c>
      <c r="X731" s="13">
        <f>'[1]V, inciso p) (OP)'!AN386</f>
        <v>43337</v>
      </c>
      <c r="Y731" s="12" t="s">
        <v>449</v>
      </c>
      <c r="Z731" s="12" t="s">
        <v>450</v>
      </c>
      <c r="AA731" s="12" t="s">
        <v>451</v>
      </c>
      <c r="AB731" s="14" t="s">
        <v>48</v>
      </c>
      <c r="AC731" s="14" t="s">
        <v>48</v>
      </c>
      <c r="AD731" s="14" t="s">
        <v>1571</v>
      </c>
    </row>
    <row r="732" spans="1:30" ht="80.099999999999994" customHeight="1">
      <c r="A732" s="5">
        <v>91</v>
      </c>
      <c r="B732" s="12">
        <v>2018</v>
      </c>
      <c r="C732" s="14" t="str">
        <f>'[1]V, inciso p) (OP)'!B387</f>
        <v>Licitación por Invitación Restringida</v>
      </c>
      <c r="D732" s="14" t="str">
        <f>'[1]V, inciso p) (OP)'!D387</f>
        <v>DOPI-MUN-RM-PAV-CI-091-2018</v>
      </c>
      <c r="E732" s="13">
        <f>'[1]V, inciso p) (OP)'!AD387</f>
        <v>43248</v>
      </c>
      <c r="F732" s="14" t="str">
        <f>'[1]V, inciso p) (OP)'!AL387</f>
        <v>Pavimentación con concreto hidráulico de calle Morelos, de coto Rinconada Alcalde al Canal, Incluye agua potable, drenaje, guarniciones, banquetas, alumbrado y señalética, en la colonia Hogares del Batán, Municipio de Zapopan, Jalisco.</v>
      </c>
      <c r="G732" s="14" t="str">
        <f>'[1]V, inciso p) (OP)'!AR387</f>
        <v>Recurso Propio</v>
      </c>
      <c r="H732" s="15">
        <f>'[1]V, inciso p) (OP)'!AJ387</f>
        <v>1610223.34</v>
      </c>
      <c r="I732" s="14" t="str">
        <f>'[1]V, inciso p) (OP)'!AS387</f>
        <v>Colonia Hogares del Batán</v>
      </c>
      <c r="J732" s="14" t="str">
        <f>'[1]V, inciso p) (OP)'!T387</f>
        <v>SERGIO CESAR</v>
      </c>
      <c r="K732" s="14" t="str">
        <f>'[1]V, inciso p) (OP)'!U387</f>
        <v>DÍAZ</v>
      </c>
      <c r="L732" s="14" t="str">
        <f>'[1]V, inciso p) (OP)'!V387</f>
        <v>QUIROZ</v>
      </c>
      <c r="M732" s="14" t="str">
        <f>'[1]V, inciso p) (OP)'!W387</f>
        <v>TRANSCRETO S.A. DE C.V.</v>
      </c>
      <c r="N732" s="14" t="str">
        <f>'[1]V, inciso p) (OP)'!X387</f>
        <v>TRA750528286</v>
      </c>
      <c r="O732" s="15">
        <f t="shared" si="20"/>
        <v>1610223.34</v>
      </c>
      <c r="P732" s="15">
        <f t="shared" si="22"/>
        <v>1610223.34</v>
      </c>
      <c r="Q732" s="23" t="s">
        <v>1272</v>
      </c>
      <c r="R732" s="22">
        <f>O732/610</f>
        <v>2639.7103934426232</v>
      </c>
      <c r="S732" s="12" t="s">
        <v>42</v>
      </c>
      <c r="T732" s="17">
        <v>632</v>
      </c>
      <c r="U732" s="14" t="s">
        <v>43</v>
      </c>
      <c r="V732" s="12" t="s">
        <v>378</v>
      </c>
      <c r="W732" s="13">
        <f>'[1]V, inciso p) (OP)'!AM387</f>
        <v>43248</v>
      </c>
      <c r="X732" s="13">
        <f>'[1]V, inciso p) (OP)'!AN387</f>
        <v>43337</v>
      </c>
      <c r="Y732" s="12" t="s">
        <v>449</v>
      </c>
      <c r="Z732" s="12" t="s">
        <v>450</v>
      </c>
      <c r="AA732" s="12" t="s">
        <v>451</v>
      </c>
      <c r="AB732" s="8" t="s">
        <v>1831</v>
      </c>
      <c r="AC732" s="14" t="s">
        <v>48</v>
      </c>
      <c r="AD732" s="14" t="s">
        <v>1571</v>
      </c>
    </row>
    <row r="733" spans="1:30" ht="80.099999999999994" customHeight="1">
      <c r="A733" s="5">
        <v>92</v>
      </c>
      <c r="B733" s="12">
        <v>2018</v>
      </c>
      <c r="C733" s="14" t="str">
        <f>'[1]V, inciso p) (OP)'!B388</f>
        <v>Licitación por Invitación Restringida</v>
      </c>
      <c r="D733" s="14" t="str">
        <f>'[1]V, inciso p) (OP)'!D388</f>
        <v>DOPI-MUN-RM-PAV-CI-092-2018</v>
      </c>
      <c r="E733" s="13">
        <f>'[1]V, inciso p) (OP)'!AD388</f>
        <v>43248</v>
      </c>
      <c r="F733" s="14" t="str">
        <f>'[1]V, inciso p) (OP)'!AL388</f>
        <v>Pavimentación con mezcla asfáltica de calle Del Conde, de calle Circuito Madrigal a cerrada, incluye: guarniciones, banquetas y señalética, en la colonia Villa Universitaria, municipio de Zapopan, Jalisco.</v>
      </c>
      <c r="G733" s="14" t="str">
        <f>'[1]V, inciso p) (OP)'!AR388</f>
        <v>Recurso Propio</v>
      </c>
      <c r="H733" s="15">
        <f>'[1]V, inciso p) (OP)'!AJ388</f>
        <v>1993897.52</v>
      </c>
      <c r="I733" s="14" t="str">
        <f>'[1]V, inciso p) (OP)'!AS388</f>
        <v>Colonia Villa Universitaria</v>
      </c>
      <c r="J733" s="14" t="str">
        <f>'[1]V, inciso p) (OP)'!T388</f>
        <v>JESÚS DAVID</v>
      </c>
      <c r="K733" s="14" t="str">
        <f>'[1]V, inciso p) (OP)'!U388</f>
        <v xml:space="preserve">GARZA </v>
      </c>
      <c r="L733" s="14" t="str">
        <f>'[1]V, inciso p) (OP)'!V388</f>
        <v>GARCÍA</v>
      </c>
      <c r="M733" s="14" t="str">
        <f>'[1]V, inciso p) (OP)'!W388</f>
        <v>CONSTRUCCIÓN GG, S.A. DE C.V.</v>
      </c>
      <c r="N733" s="14" t="str">
        <f>'[1]V, inciso p) (OP)'!X388</f>
        <v>CGG040518F81</v>
      </c>
      <c r="O733" s="15">
        <f t="shared" si="20"/>
        <v>1993897.52</v>
      </c>
      <c r="P733" s="15">
        <f t="shared" si="22"/>
        <v>1993897.52</v>
      </c>
      <c r="Q733" s="23" t="s">
        <v>950</v>
      </c>
      <c r="R733" s="22">
        <f>O733/2720</f>
        <v>733.0505588235294</v>
      </c>
      <c r="S733" s="12" t="s">
        <v>42</v>
      </c>
      <c r="T733" s="17">
        <v>926</v>
      </c>
      <c r="U733" s="14" t="s">
        <v>43</v>
      </c>
      <c r="V733" s="12" t="s">
        <v>378</v>
      </c>
      <c r="W733" s="13">
        <f>'[1]V, inciso p) (OP)'!AM388</f>
        <v>43248</v>
      </c>
      <c r="X733" s="13">
        <f>'[1]V, inciso p) (OP)'!AN388</f>
        <v>43322</v>
      </c>
      <c r="Y733" s="12" t="s">
        <v>531</v>
      </c>
      <c r="Z733" s="12" t="s">
        <v>532</v>
      </c>
      <c r="AA733" s="12" t="s">
        <v>533</v>
      </c>
      <c r="AB733" s="8" t="s">
        <v>1832</v>
      </c>
      <c r="AC733" s="14" t="s">
        <v>48</v>
      </c>
      <c r="AD733" s="14" t="s">
        <v>1571</v>
      </c>
    </row>
    <row r="734" spans="1:30" ht="80.099999999999994" customHeight="1">
      <c r="A734" s="5">
        <v>94</v>
      </c>
      <c r="B734" s="12">
        <v>2018</v>
      </c>
      <c r="C734" s="14" t="str">
        <f>'[1]V, inciso p) (OP)'!B389</f>
        <v>Licitación por Invitación Restringida</v>
      </c>
      <c r="D734" s="14" t="str">
        <f>'[1]V, inciso p) (OP)'!D389</f>
        <v>DOPI-MUN-RM-PAV-CI-094-2018</v>
      </c>
      <c r="E734" s="13">
        <f>'[1]V, inciso p) (OP)'!AD389</f>
        <v>43248</v>
      </c>
      <c r="F734" s="14" t="str">
        <f>'[1]V, inciso p) (OP)'!AL389</f>
        <v>Pavimentación con mezcla asfáltica de calles Severo Díaz, José María Arreola, Playa Blanca Oriente y Playa Blanca Poniente, en la colonia Residencial Moctezuma, incluye: guarniciones, banquetas y señalética, Municipio de Zapopan, Jalisco, frente 1.</v>
      </c>
      <c r="G734" s="14" t="str">
        <f>'[1]V, inciso p) (OP)'!AR389</f>
        <v>Recurso Propio</v>
      </c>
      <c r="H734" s="15">
        <f>'[1]V, inciso p) (OP)'!AJ389</f>
        <v>3621465.65</v>
      </c>
      <c r="I734" s="14" t="str">
        <f>'[1]V, inciso p) (OP)'!AS389</f>
        <v>Colonia Resindencial Moctezuma</v>
      </c>
      <c r="J734" s="14" t="str">
        <f>'[1]V, inciso p) (OP)'!T389</f>
        <v>OMAR ALFREDO</v>
      </c>
      <c r="K734" s="14" t="str">
        <f>'[1]V, inciso p) (OP)'!U389</f>
        <v>MARTÍNEZ</v>
      </c>
      <c r="L734" s="14" t="str">
        <f>'[1]V, inciso p) (OP)'!V389</f>
        <v>GÓMEZ</v>
      </c>
      <c r="M734" s="14" t="str">
        <f>'[1]V, inciso p) (OP)'!W389</f>
        <v>INGENIERIA EN MECANICA DE SUELOS Y CONTROL DE OCCIDENTE, S.A. DE C.V.</v>
      </c>
      <c r="N734" s="14" t="str">
        <f>'[1]V, inciso p) (OP)'!X389</f>
        <v>IMS060720JX9</v>
      </c>
      <c r="O734" s="15">
        <f t="shared" si="20"/>
        <v>3621465.65</v>
      </c>
      <c r="P734" s="15">
        <f t="shared" si="22"/>
        <v>3621465.65</v>
      </c>
      <c r="Q734" s="23" t="s">
        <v>1273</v>
      </c>
      <c r="R734" s="22">
        <f>O734/4100</f>
        <v>883.28430487804872</v>
      </c>
      <c r="S734" s="12" t="s">
        <v>42</v>
      </c>
      <c r="T734" s="17">
        <v>21056</v>
      </c>
      <c r="U734" s="14" t="s">
        <v>43</v>
      </c>
      <c r="V734" s="12" t="s">
        <v>378</v>
      </c>
      <c r="W734" s="13">
        <f>'[1]V, inciso p) (OP)'!AM389</f>
        <v>43248</v>
      </c>
      <c r="X734" s="13">
        <f>'[1]V, inciso p) (OP)'!AN389</f>
        <v>43337</v>
      </c>
      <c r="Y734" s="12" t="s">
        <v>531</v>
      </c>
      <c r="Z734" s="12" t="s">
        <v>532</v>
      </c>
      <c r="AA734" s="12" t="s">
        <v>533</v>
      </c>
      <c r="AB734" s="14" t="s">
        <v>48</v>
      </c>
      <c r="AC734" s="14" t="s">
        <v>48</v>
      </c>
      <c r="AD734" s="14" t="s">
        <v>1571</v>
      </c>
    </row>
    <row r="735" spans="1:30" ht="80.099999999999994" customHeight="1">
      <c r="A735" s="5">
        <v>95</v>
      </c>
      <c r="B735" s="12">
        <v>2018</v>
      </c>
      <c r="C735" s="14" t="str">
        <f>'[1]V, inciso p) (OP)'!B390</f>
        <v>Licitación por Invitación Restringida</v>
      </c>
      <c r="D735" s="14" t="str">
        <f>'[1]V, inciso p) (OP)'!D390</f>
        <v>DOPI-MUN-RM-PAV-CI-095-2018</v>
      </c>
      <c r="E735" s="13">
        <f>'[1]V, inciso p) (OP)'!AD390</f>
        <v>43248</v>
      </c>
      <c r="F735" s="14" t="str">
        <f>'[1]V, inciso p) (OP)'!AL390</f>
        <v>Pavimentación con mezcla asfáltica de calles Severo Díaz, José María Arreola, Playa Blanca Oriente y Playa Blanca Poniente, en la colonia Residencial Moctezuma, incluye: guarniciones, banquetas y señalética, Municipio de Zapopan, Jalisco, frente 2.</v>
      </c>
      <c r="G735" s="14" t="str">
        <f>'[1]V, inciso p) (OP)'!AR390</f>
        <v>Recurso Propio</v>
      </c>
      <c r="H735" s="15">
        <f>'[1]V, inciso p) (OP)'!AJ390</f>
        <v>3349631.52</v>
      </c>
      <c r="I735" s="14" t="str">
        <f>'[1]V, inciso p) (OP)'!AS390</f>
        <v>Colonia Resindencial Moctezuma</v>
      </c>
      <c r="J735" s="14" t="str">
        <f>'[1]V, inciso p) (OP)'!T390</f>
        <v>OSCAR MELESIO</v>
      </c>
      <c r="K735" s="14" t="str">
        <f>'[1]V, inciso p) (OP)'!U390</f>
        <v>HERNÁNDEZ</v>
      </c>
      <c r="L735" s="14" t="str">
        <f>'[1]V, inciso p) (OP)'!V390</f>
        <v>VALERIANO</v>
      </c>
      <c r="M735" s="14" t="str">
        <f>'[1]V, inciso p) (OP)'!W390</f>
        <v>CONSTRUCTORA GRINA, S.A. DE C.V.</v>
      </c>
      <c r="N735" s="14" t="str">
        <f>'[1]V, inciso p) (OP)'!X390</f>
        <v>CGR120828P29</v>
      </c>
      <c r="O735" s="15">
        <f t="shared" si="20"/>
        <v>3349631.52</v>
      </c>
      <c r="P735" s="15">
        <f t="shared" si="22"/>
        <v>3349631.52</v>
      </c>
      <c r="Q735" s="23" t="s">
        <v>1274</v>
      </c>
      <c r="R735" s="22">
        <f>O735/3650</f>
        <v>917.70726575342462</v>
      </c>
      <c r="S735" s="12" t="s">
        <v>42</v>
      </c>
      <c r="T735" s="17">
        <v>21056</v>
      </c>
      <c r="U735" s="14" t="s">
        <v>43</v>
      </c>
      <c r="V735" s="12" t="s">
        <v>378</v>
      </c>
      <c r="W735" s="13">
        <f>'[1]V, inciso p) (OP)'!AM390</f>
        <v>43248</v>
      </c>
      <c r="X735" s="13">
        <f>'[1]V, inciso p) (OP)'!AN390</f>
        <v>43337</v>
      </c>
      <c r="Y735" s="12" t="s">
        <v>531</v>
      </c>
      <c r="Z735" s="12" t="s">
        <v>532</v>
      </c>
      <c r="AA735" s="12" t="s">
        <v>533</v>
      </c>
      <c r="AB735" s="8" t="s">
        <v>1833</v>
      </c>
      <c r="AC735" s="14" t="s">
        <v>48</v>
      </c>
      <c r="AD735" s="14" t="s">
        <v>1571</v>
      </c>
    </row>
    <row r="736" spans="1:30" ht="80.099999999999994" customHeight="1">
      <c r="A736" s="5">
        <v>96</v>
      </c>
      <c r="B736" s="12">
        <v>2018</v>
      </c>
      <c r="C736" s="14" t="str">
        <f>'[1]V, inciso p) (OP)'!B391</f>
        <v>Licitación por Invitación Restringida</v>
      </c>
      <c r="D736" s="14" t="str">
        <f>'[1]V, inciso p) (OP)'!D391</f>
        <v>DOPI-MUN-RM-PAV-CI-096-2018</v>
      </c>
      <c r="E736" s="13">
        <f>'[1]V, inciso p) (OP)'!AD391</f>
        <v>43248</v>
      </c>
      <c r="F736" s="14" t="str">
        <f>'[1]V, inciso p) (OP)'!AL391</f>
        <v>Pavimentación con mezcla asfáltica de calle Belisario Domínguez - Paseo de la Primavera, de privada Mariano Otero a Av. Guadalupe, en las colonias Mariano Otero y Arenales Tapatíos, segunda etapa, Municipio de Zapopan, Jalisco, frente 1.</v>
      </c>
      <c r="G736" s="14" t="str">
        <f>'[1]V, inciso p) (OP)'!AR391</f>
        <v>Recurso Propio</v>
      </c>
      <c r="H736" s="15">
        <f>'[1]V, inciso p) (OP)'!AJ391</f>
        <v>2793673.85</v>
      </c>
      <c r="I736" s="14" t="str">
        <f>'[1]V, inciso p) (OP)'!AS391</f>
        <v>Colonias Mariano Otero y Arenales Tapatíos</v>
      </c>
      <c r="J736" s="14" t="str">
        <f>'[1]V, inciso p) (OP)'!T391</f>
        <v>ORNELLA CAROLINA</v>
      </c>
      <c r="K736" s="14" t="str">
        <f>'[1]V, inciso p) (OP)'!U391</f>
        <v>LEGASPI</v>
      </c>
      <c r="L736" s="14" t="str">
        <f>'[1]V, inciso p) (OP)'!V391</f>
        <v>MUÑOZ</v>
      </c>
      <c r="M736" s="14" t="str">
        <f>'[1]V, inciso p) (OP)'!W391</f>
        <v>TRIPOLI EMULSIONES, S.A. DE C.V.</v>
      </c>
      <c r="N736" s="14" t="str">
        <f>'[1]V, inciso p) (OP)'!X391</f>
        <v>TEM141021N31</v>
      </c>
      <c r="O736" s="15">
        <f t="shared" si="20"/>
        <v>2793673.85</v>
      </c>
      <c r="P736" s="15">
        <f t="shared" si="22"/>
        <v>2793673.85</v>
      </c>
      <c r="Q736" s="23" t="s">
        <v>1275</v>
      </c>
      <c r="R736" s="22">
        <f>O736/4050</f>
        <v>689.79601234567906</v>
      </c>
      <c r="S736" s="12" t="s">
        <v>42</v>
      </c>
      <c r="T736" s="17">
        <v>1267</v>
      </c>
      <c r="U736" s="14" t="s">
        <v>43</v>
      </c>
      <c r="V736" s="12" t="s">
        <v>378</v>
      </c>
      <c r="W736" s="13">
        <f>'[1]V, inciso p) (OP)'!AM391</f>
        <v>43248</v>
      </c>
      <c r="X736" s="13">
        <f>'[1]V, inciso p) (OP)'!AN391</f>
        <v>43322</v>
      </c>
      <c r="Y736" s="12" t="s">
        <v>380</v>
      </c>
      <c r="Z736" s="12" t="s">
        <v>257</v>
      </c>
      <c r="AA736" s="12" t="s">
        <v>258</v>
      </c>
      <c r="AB736" s="8" t="s">
        <v>1834</v>
      </c>
      <c r="AC736" s="14" t="s">
        <v>48</v>
      </c>
      <c r="AD736" s="14" t="s">
        <v>1571</v>
      </c>
    </row>
    <row r="737" spans="1:30" ht="80.099999999999994" customHeight="1">
      <c r="A737" s="5">
        <v>97</v>
      </c>
      <c r="B737" s="12">
        <v>2018</v>
      </c>
      <c r="C737" s="14" t="str">
        <f>'[1]V, inciso p) (OP)'!B392</f>
        <v>Licitación por Invitación Restringida</v>
      </c>
      <c r="D737" s="14" t="str">
        <f>'[1]V, inciso p) (OP)'!D392</f>
        <v>DOPI-MUN-RM-PAV-CI-097-2018</v>
      </c>
      <c r="E737" s="13">
        <f>'[1]V, inciso p) (OP)'!AD392</f>
        <v>43248</v>
      </c>
      <c r="F737" s="14" t="str">
        <f>'[1]V, inciso p) (OP)'!AL392</f>
        <v>Pavimentación con mezcla asfáltica de calle Belisario Domínguez - Paseo de la Primavera, de privada Mariano Otero a Av. Guadalupe, en las colonias Mariano Otero y Arenales Tapatíos, segunda etapa, Municipio de Zapopan, Jalisco, frente 2.</v>
      </c>
      <c r="G737" s="14" t="str">
        <f>'[1]V, inciso p) (OP)'!AR392</f>
        <v>Recurso Propio</v>
      </c>
      <c r="H737" s="15">
        <f>'[1]V, inciso p) (OP)'!AJ392</f>
        <v>2194570.06</v>
      </c>
      <c r="I737" s="14" t="str">
        <f>'[1]V, inciso p) (OP)'!AS392</f>
        <v>Colonias Mariano Otero y Arenales Tapatíos</v>
      </c>
      <c r="J737" s="14" t="str">
        <f>'[1]V, inciso p) (OP)'!T392</f>
        <v>JOSÉ FRANCISCO</v>
      </c>
      <c r="K737" s="14" t="str">
        <f>'[1]V, inciso p) (OP)'!U392</f>
        <v>LLAGUNO</v>
      </c>
      <c r="L737" s="14" t="str">
        <f>'[1]V, inciso p) (OP)'!V392</f>
        <v>YZABAL</v>
      </c>
      <c r="M737" s="14" t="str">
        <f>'[1]V, inciso p) (OP)'!W392</f>
        <v>EMULSIONES SELLOS Y PAVIMENTOS ASFALTICOS, S.A. DE C.V.</v>
      </c>
      <c r="N737" s="14" t="str">
        <f>'[1]V, inciso p) (OP)'!X392</f>
        <v>ESP940311A26</v>
      </c>
      <c r="O737" s="15">
        <f t="shared" si="20"/>
        <v>2194570.06</v>
      </c>
      <c r="P737" s="15">
        <f t="shared" si="22"/>
        <v>2194570.06</v>
      </c>
      <c r="Q737" s="23" t="s">
        <v>1276</v>
      </c>
      <c r="R737" s="22">
        <f>O737/3890</f>
        <v>564.15682776349615</v>
      </c>
      <c r="S737" s="12" t="s">
        <v>42</v>
      </c>
      <c r="T737" s="17">
        <v>1267</v>
      </c>
      <c r="U737" s="14" t="s">
        <v>43</v>
      </c>
      <c r="V737" s="12" t="s">
        <v>378</v>
      </c>
      <c r="W737" s="13">
        <f>'[1]V, inciso p) (OP)'!AM392</f>
        <v>43248</v>
      </c>
      <c r="X737" s="13">
        <f>'[1]V, inciso p) (OP)'!AN392</f>
        <v>43322</v>
      </c>
      <c r="Y737" s="12" t="s">
        <v>380</v>
      </c>
      <c r="Z737" s="12" t="s">
        <v>257</v>
      </c>
      <c r="AA737" s="12" t="s">
        <v>258</v>
      </c>
      <c r="AB737" s="8" t="s">
        <v>1835</v>
      </c>
      <c r="AC737" s="14" t="s">
        <v>48</v>
      </c>
      <c r="AD737" s="14" t="s">
        <v>1571</v>
      </c>
    </row>
    <row r="738" spans="1:30" ht="80.099999999999994" customHeight="1">
      <c r="A738" s="5">
        <v>98</v>
      </c>
      <c r="B738" s="12">
        <v>2018</v>
      </c>
      <c r="C738" s="14" t="str">
        <f>'[1]V, inciso p) (OP)'!B393</f>
        <v>Licitación por Invitación Restringida</v>
      </c>
      <c r="D738" s="14" t="str">
        <f>'[1]V, inciso p) (OP)'!D393</f>
        <v>DOPI-MUN-RM-PAV-CI-098-2018</v>
      </c>
      <c r="E738" s="13">
        <f>'[1]V, inciso p) (OP)'!AD393</f>
        <v>43248</v>
      </c>
      <c r="F738" s="14" t="str">
        <f>'[1]V, inciso p) (OP)'!AL393</f>
        <v>Pavimentación con concreto hidráulico de la Av. Camino Antiguo a Tesistan de la calle De las Palmeras a la calle Arcos de Alejandro carril sur, incluye: banquetas, servicios complementarios y señalamiento, en la colonia Parques de Zapopan, municipio de Zapopan, Jalisco.</v>
      </c>
      <c r="G738" s="14" t="str">
        <f>'[1]V, inciso p) (OP)'!AR393</f>
        <v>Recurso Propio</v>
      </c>
      <c r="H738" s="15">
        <f>'[1]V, inciso p) (OP)'!AJ393</f>
        <v>3263043.32</v>
      </c>
      <c r="I738" s="14" t="str">
        <f>'[1]V, inciso p) (OP)'!AS393</f>
        <v>Colonia Parquesde Zapopan</v>
      </c>
      <c r="J738" s="14" t="str">
        <f>'[1]V, inciso p) (OP)'!T393</f>
        <v xml:space="preserve">NÉSTOR </v>
      </c>
      <c r="K738" s="14" t="str">
        <f>'[1]V, inciso p) (OP)'!U393</f>
        <v>DE LA TORRE</v>
      </c>
      <c r="L738" s="14" t="str">
        <f>'[1]V, inciso p) (OP)'!V393</f>
        <v>MENCHACA</v>
      </c>
      <c r="M738" s="14" t="str">
        <f>'[1]V, inciso p) (OP)'!W393</f>
        <v>INGENIEROS DE LA TORRE, S.A. DE C.V.</v>
      </c>
      <c r="N738" s="14" t="str">
        <f>'[1]V, inciso p) (OP)'!X393</f>
        <v>ITO951005HY5</v>
      </c>
      <c r="O738" s="15">
        <f t="shared" si="20"/>
        <v>3263043.32</v>
      </c>
      <c r="P738" s="15">
        <f t="shared" si="22"/>
        <v>3263043.32</v>
      </c>
      <c r="Q738" s="23" t="s">
        <v>1277</v>
      </c>
      <c r="R738" s="22">
        <f>O738/2088</f>
        <v>1562.7602107279693</v>
      </c>
      <c r="S738" s="12" t="s">
        <v>42</v>
      </c>
      <c r="T738" s="17">
        <v>26021</v>
      </c>
      <c r="U738" s="14" t="s">
        <v>43</v>
      </c>
      <c r="V738" s="12" t="s">
        <v>378</v>
      </c>
      <c r="W738" s="13">
        <f>'[1]V, inciso p) (OP)'!AM393</f>
        <v>43248</v>
      </c>
      <c r="X738" s="13">
        <f>'[1]V, inciso p) (OP)'!AN393</f>
        <v>43317</v>
      </c>
      <c r="Y738" s="12" t="s">
        <v>336</v>
      </c>
      <c r="Z738" s="12" t="s">
        <v>337</v>
      </c>
      <c r="AA738" s="12" t="s">
        <v>120</v>
      </c>
      <c r="AB738" s="8" t="s">
        <v>1836</v>
      </c>
      <c r="AC738" s="14" t="s">
        <v>48</v>
      </c>
      <c r="AD738" s="14" t="s">
        <v>1571</v>
      </c>
    </row>
    <row r="739" spans="1:30" ht="80.099999999999994" customHeight="1">
      <c r="A739" s="5">
        <v>99</v>
      </c>
      <c r="B739" s="12">
        <v>2018</v>
      </c>
      <c r="C739" s="14" t="str">
        <f>'[1]V, inciso p) (OP)'!B394</f>
        <v>Licitación por Invitación Restringida</v>
      </c>
      <c r="D739" s="14" t="str">
        <f>'[1]V, inciso p) (OP)'!D394</f>
        <v>DOPI-MUN-RM-PAV-CI-099-2018</v>
      </c>
      <c r="E739" s="13">
        <f>'[1]V, inciso p) (OP)'!AD394</f>
        <v>43248</v>
      </c>
      <c r="F739" s="14" t="str">
        <f>'[1]V, inciso p) (OP)'!AL394</f>
        <v>Pavimentación con concreto hidráulico de la Av. Camino Antiguo a Tesistan de la calle De las Palmeras a la calle Arcos de Alejandro carril norte, incluye: pozos de absorción, servicios complementarios, señalamiento y arbolado, en la colonia Parques de Zapopan, municipio de Zapopan, Jalisco.</v>
      </c>
      <c r="G739" s="14" t="str">
        <f>'[1]V, inciso p) (OP)'!AR394</f>
        <v>Recurso Propio</v>
      </c>
      <c r="H739" s="15">
        <f>'[1]V, inciso p) (OP)'!AJ394</f>
        <v>3122220.38</v>
      </c>
      <c r="I739" s="14" t="str">
        <f>'[1]V, inciso p) (OP)'!AS394</f>
        <v>Colonia Parquesde Zapopan</v>
      </c>
      <c r="J739" s="14" t="str">
        <f>'[1]V, inciso p) (OP)'!T394</f>
        <v>TOMÁS</v>
      </c>
      <c r="K739" s="14" t="str">
        <f>'[1]V, inciso p) (OP)'!U394</f>
        <v>SANDOVAL</v>
      </c>
      <c r="L739" s="14" t="str">
        <f>'[1]V, inciso p) (OP)'!V394</f>
        <v>ÁLVAREZ</v>
      </c>
      <c r="M739" s="14" t="str">
        <f>'[1]V, inciso p) (OP)'!W394</f>
        <v>CONSTRUCCIÓNES Y RENTAS DE MAQUINARIA DE OCCIDENTE, S.A. DE C.V.</v>
      </c>
      <c r="N739" s="14" t="str">
        <f>'[1]V, inciso p) (OP)'!X394</f>
        <v>CRM910909K48</v>
      </c>
      <c r="O739" s="15">
        <f t="shared" si="20"/>
        <v>3122220.38</v>
      </c>
      <c r="P739" s="15">
        <f t="shared" si="22"/>
        <v>3122220.38</v>
      </c>
      <c r="Q739" s="23" t="s">
        <v>1278</v>
      </c>
      <c r="R739" s="22">
        <f>O739/1536</f>
        <v>2032.6955598958332</v>
      </c>
      <c r="S739" s="12" t="s">
        <v>42</v>
      </c>
      <c r="T739" s="17">
        <v>26021</v>
      </c>
      <c r="U739" s="14" t="s">
        <v>43</v>
      </c>
      <c r="V739" s="12" t="s">
        <v>378</v>
      </c>
      <c r="W739" s="13">
        <f>'[1]V, inciso p) (OP)'!AM394</f>
        <v>43248</v>
      </c>
      <c r="X739" s="13">
        <f>'[1]V, inciso p) (OP)'!AN394</f>
        <v>43337</v>
      </c>
      <c r="Y739" s="12" t="s">
        <v>336</v>
      </c>
      <c r="Z739" s="12" t="s">
        <v>337</v>
      </c>
      <c r="AA739" s="12" t="s">
        <v>120</v>
      </c>
      <c r="AB739" s="8" t="s">
        <v>1837</v>
      </c>
      <c r="AC739" s="14" t="s">
        <v>48</v>
      </c>
      <c r="AD739" s="14" t="s">
        <v>1571</v>
      </c>
    </row>
    <row r="740" spans="1:30" ht="80.099999999999994" customHeight="1">
      <c r="A740" s="5">
        <v>100</v>
      </c>
      <c r="B740" s="12">
        <v>2018</v>
      </c>
      <c r="C740" s="14" t="str">
        <f>'[1]V, inciso p) (OP)'!B395</f>
        <v>Licitación por Invitación Restringida</v>
      </c>
      <c r="D740" s="14" t="str">
        <f>'[1]V, inciso p) (OP)'!D395</f>
        <v>DOPI-MUN-RM-IH-CI-100-2018</v>
      </c>
      <c r="E740" s="13">
        <f>'[1]V, inciso p) (OP)'!AD395</f>
        <v>43248</v>
      </c>
      <c r="F740" s="14" t="str">
        <f>'[1]V, inciso p) (OP)'!AL395</f>
        <v>Construcción de ollas de captación de agua y caminos saca cosechas, en el ejido de Santa Lucia, municipio de Zapopan, Jalisco. Frente 1.</v>
      </c>
      <c r="G740" s="14" t="str">
        <f>'[1]V, inciso p) (OP)'!AR395</f>
        <v>Recurso Propio</v>
      </c>
      <c r="H740" s="15">
        <f>'[1]V, inciso p) (OP)'!AJ395</f>
        <v>2777774.19</v>
      </c>
      <c r="I740" s="14" t="str">
        <f>'[1]V, inciso p) (OP)'!AS395</f>
        <v>Ejido Santa Lucia</v>
      </c>
      <c r="J740" s="14" t="str">
        <f>'[1]V, inciso p) (OP)'!T395</f>
        <v>HELIODORO NICOLAS</v>
      </c>
      <c r="K740" s="14" t="str">
        <f>'[1]V, inciso p) (OP)'!U395</f>
        <v>ACEVES</v>
      </c>
      <c r="L740" s="14" t="str">
        <f>'[1]V, inciso p) (OP)'!V395</f>
        <v>OROZCO</v>
      </c>
      <c r="M740" s="14" t="str">
        <f>'[1]V, inciso p) (OP)'!W395</f>
        <v>IMAQSA, S.A. DE C.V.</v>
      </c>
      <c r="N740" s="14" t="str">
        <f>'[1]V, inciso p) (OP)'!X395</f>
        <v>IMA050204LA9</v>
      </c>
      <c r="O740" s="15">
        <f t="shared" ref="O740:O807" si="23">H740</f>
        <v>2777774.19</v>
      </c>
      <c r="P740" s="15">
        <f t="shared" si="22"/>
        <v>2777774.19</v>
      </c>
      <c r="Q740" s="23" t="s">
        <v>1279</v>
      </c>
      <c r="R740" s="22">
        <f>O740/24311</f>
        <v>114.25997244045905</v>
      </c>
      <c r="S740" s="12" t="s">
        <v>42</v>
      </c>
      <c r="T740" s="17">
        <v>148</v>
      </c>
      <c r="U740" s="14" t="s">
        <v>43</v>
      </c>
      <c r="V740" s="12" t="s">
        <v>378</v>
      </c>
      <c r="W740" s="13">
        <f>'[1]V, inciso p) (OP)'!AM395</f>
        <v>43248</v>
      </c>
      <c r="X740" s="13">
        <f>'[1]V, inciso p) (OP)'!AN395</f>
        <v>43307</v>
      </c>
      <c r="Y740" s="12" t="s">
        <v>336</v>
      </c>
      <c r="Z740" s="12" t="s">
        <v>337</v>
      </c>
      <c r="AA740" s="12" t="s">
        <v>120</v>
      </c>
      <c r="AB740" s="8" t="s">
        <v>1838</v>
      </c>
      <c r="AC740" s="14" t="s">
        <v>48</v>
      </c>
      <c r="AD740" s="14" t="s">
        <v>1571</v>
      </c>
    </row>
    <row r="741" spans="1:30" s="9" customFormat="1" ht="80.099999999999994" customHeight="1">
      <c r="A741" s="10"/>
      <c r="B741" s="12">
        <v>2018</v>
      </c>
      <c r="C741" s="14" t="s">
        <v>65</v>
      </c>
      <c r="D741" s="14" t="s">
        <v>2028</v>
      </c>
      <c r="E741" s="13">
        <v>43161</v>
      </c>
      <c r="F741" s="14" t="s">
        <v>2121</v>
      </c>
      <c r="G741" s="14" t="s">
        <v>499</v>
      </c>
      <c r="H741" s="15">
        <v>1798506.89</v>
      </c>
      <c r="I741" s="14" t="s">
        <v>1349</v>
      </c>
      <c r="J741" s="14" t="s">
        <v>2122</v>
      </c>
      <c r="K741" s="14" t="s">
        <v>2123</v>
      </c>
      <c r="L741" s="14" t="s">
        <v>2124</v>
      </c>
      <c r="M741" s="14" t="s">
        <v>2125</v>
      </c>
      <c r="N741" s="14" t="s">
        <v>2126</v>
      </c>
      <c r="O741" s="15">
        <v>1798506.89</v>
      </c>
      <c r="P741" s="15" t="s">
        <v>48</v>
      </c>
      <c r="Q741" s="23" t="s">
        <v>2120</v>
      </c>
      <c r="R741" s="22">
        <v>69173.341923076921</v>
      </c>
      <c r="S741" s="12" t="s">
        <v>42</v>
      </c>
      <c r="T741" s="17" t="s">
        <v>125</v>
      </c>
      <c r="U741" s="14" t="s">
        <v>43</v>
      </c>
      <c r="V741" s="12" t="s">
        <v>378</v>
      </c>
      <c r="W741" s="13">
        <v>43165</v>
      </c>
      <c r="X741" s="13">
        <v>43250</v>
      </c>
      <c r="Y741" s="12" t="s">
        <v>692</v>
      </c>
      <c r="Z741" s="12" t="s">
        <v>693</v>
      </c>
      <c r="AA741" s="12" t="s">
        <v>136</v>
      </c>
      <c r="AB741" s="8" t="s">
        <v>48</v>
      </c>
      <c r="AC741" s="14" t="s">
        <v>48</v>
      </c>
      <c r="AD741" s="14"/>
    </row>
    <row r="742" spans="1:30" ht="80.099999999999994" customHeight="1">
      <c r="A742" s="5">
        <v>102</v>
      </c>
      <c r="B742" s="12">
        <v>2018</v>
      </c>
      <c r="C742" s="14" t="str">
        <f>'[1]V, inciso p) (OP)'!B396</f>
        <v>Invitación a Cuando Menos Tres Personas</v>
      </c>
      <c r="D742" s="14" t="str">
        <f>'[1]V, inciso p) (OP)'!D396</f>
        <v>DOPI-FED-PR-PAV-CI-102-2018</v>
      </c>
      <c r="E742" s="13">
        <f>'[1]V, inciso p) (OP)'!AD396</f>
        <v>43248</v>
      </c>
      <c r="F742" s="14" t="str">
        <f>'[1]V, inciso p) (OP)'!AL396</f>
        <v>Construcción de la calle 5 de Mayo con concreto hidráulico entre la calle Juárez y Francisco I. Madero, en la Delegación de Santa Ana Tepetitlan, municipio de Zapopan, Jalisco.</v>
      </c>
      <c r="G742" s="14" t="str">
        <f>'[1]V, inciso p) (OP)'!AR396</f>
        <v>Proyectos de Desarrollo Regional 2018</v>
      </c>
      <c r="H742" s="15">
        <f>'[1]V, inciso p) (OP)'!AJ396</f>
        <v>4428844.1900000004</v>
      </c>
      <c r="I742" s="14" t="str">
        <f>'[1]V, inciso p) (OP)'!AS396</f>
        <v>Localidad de Santa Ana Tepetitlán</v>
      </c>
      <c r="J742" s="14" t="str">
        <f>'[1]V, inciso p) (OP)'!T396</f>
        <v>CARLOS</v>
      </c>
      <c r="K742" s="14" t="str">
        <f>'[1]V, inciso p) (OP)'!U396</f>
        <v>DEL RIO</v>
      </c>
      <c r="L742" s="14" t="str">
        <f>'[1]V, inciso p) (OP)'!V396</f>
        <v>MADRIGAL</v>
      </c>
      <c r="M742" s="14" t="str">
        <f>'[1]V, inciso p) (OP)'!W396</f>
        <v>PAVIMENTOS INDUSTRIALES Y URBANIZACIONES, S.A. DE C.V.</v>
      </c>
      <c r="N742" s="14" t="str">
        <f>'[1]V, inciso p) (OP)'!X396</f>
        <v>PIU790912MS1</v>
      </c>
      <c r="O742" s="15">
        <f t="shared" si="23"/>
        <v>4428844.1900000004</v>
      </c>
      <c r="P742" s="15">
        <f t="shared" si="22"/>
        <v>4428844.1900000004</v>
      </c>
      <c r="Q742" s="23" t="s">
        <v>1280</v>
      </c>
      <c r="R742" s="22">
        <f>O742/1955</f>
        <v>2265.3934475703327</v>
      </c>
      <c r="S742" s="12" t="s">
        <v>42</v>
      </c>
      <c r="T742" s="17">
        <v>3598</v>
      </c>
      <c r="U742" s="14" t="s">
        <v>43</v>
      </c>
      <c r="V742" s="12" t="s">
        <v>378</v>
      </c>
      <c r="W742" s="13">
        <f>'[1]V, inciso p) (OP)'!AM396</f>
        <v>43248</v>
      </c>
      <c r="X742" s="13">
        <f>'[1]V, inciso p) (OP)'!AN396</f>
        <v>43347</v>
      </c>
      <c r="Y742" s="12" t="s">
        <v>735</v>
      </c>
      <c r="Z742" s="12" t="s">
        <v>236</v>
      </c>
      <c r="AA742" s="12" t="s">
        <v>147</v>
      </c>
      <c r="AB742" s="14" t="s">
        <v>48</v>
      </c>
      <c r="AC742" s="14" t="s">
        <v>48</v>
      </c>
      <c r="AD742" s="14" t="s">
        <v>1571</v>
      </c>
    </row>
    <row r="743" spans="1:30" ht="80.099999999999994" customHeight="1">
      <c r="A743" s="5">
        <v>103</v>
      </c>
      <c r="B743" s="12">
        <v>2018</v>
      </c>
      <c r="C743" s="12" t="s">
        <v>65</v>
      </c>
      <c r="D743" s="14" t="str">
        <f>'[1]V, inciso o) (OP)'!C351</f>
        <v>DOPI-MUN-RM-SERV-AD-103-2018</v>
      </c>
      <c r="E743" s="13">
        <f>'[1]V, inciso o) (OP)'!V351</f>
        <v>43178</v>
      </c>
      <c r="F743" s="14" t="str">
        <f>'[1]V, inciso o) (OP)'!AA351</f>
        <v>Diagnóstico, diseño y proyectos de infraestructura eléctrica para obras de ramo 33, municipio de Zapopan, Jalisco, frente 1.</v>
      </c>
      <c r="G743" s="14" t="s">
        <v>499</v>
      </c>
      <c r="H743" s="15">
        <f>'[1]V, inciso o) (OP)'!Y351</f>
        <v>300125.36</v>
      </c>
      <c r="I743" s="14" t="s">
        <v>1349</v>
      </c>
      <c r="J743" s="14" t="str">
        <f>'[1]V, inciso o) (OP)'!M351</f>
        <v>ARMANDO</v>
      </c>
      <c r="K743" s="14" t="str">
        <f>'[1]V, inciso o) (OP)'!N351</f>
        <v>ARROYO</v>
      </c>
      <c r="L743" s="14" t="str">
        <f>'[1]V, inciso o) (OP)'!O351</f>
        <v>ZEPEDA</v>
      </c>
      <c r="M743" s="14" t="str">
        <f>'[1]V, inciso o) (OP)'!P351</f>
        <v>CONSTRUCCIÓNES Y EXTRUCTURAS ITZ, S.A. DE C.V.</v>
      </c>
      <c r="N743" s="14" t="str">
        <f>'[1]V, inciso o) (OP)'!Q351</f>
        <v>CEI000807E95</v>
      </c>
      <c r="O743" s="15">
        <f t="shared" si="23"/>
        <v>300125.36</v>
      </c>
      <c r="P743" s="15">
        <f t="shared" si="22"/>
        <v>300125.36</v>
      </c>
      <c r="Q743" s="21" t="s">
        <v>1281</v>
      </c>
      <c r="R743" s="22">
        <f>H743/6</f>
        <v>50020.893333333333</v>
      </c>
      <c r="S743" s="12" t="s">
        <v>125</v>
      </c>
      <c r="T743" s="17" t="s">
        <v>125</v>
      </c>
      <c r="U743" s="14" t="s">
        <v>43</v>
      </c>
      <c r="V743" s="12" t="s">
        <v>378</v>
      </c>
      <c r="W743" s="13">
        <f>'[1]V, inciso o) (OP)'!AD351</f>
        <v>43178</v>
      </c>
      <c r="X743" s="13">
        <f>'[1]V, inciso o) (OP)'!AE351</f>
        <v>43251</v>
      </c>
      <c r="Y743" s="12" t="s">
        <v>470</v>
      </c>
      <c r="Z743" s="12" t="s">
        <v>315</v>
      </c>
      <c r="AA743" s="12" t="s">
        <v>134</v>
      </c>
      <c r="AB743" s="8" t="s">
        <v>1861</v>
      </c>
      <c r="AC743" s="14" t="s">
        <v>48</v>
      </c>
      <c r="AD743" s="14" t="s">
        <v>1571</v>
      </c>
    </row>
    <row r="744" spans="1:30" ht="80.099999999999994" customHeight="1">
      <c r="A744" s="5">
        <v>104</v>
      </c>
      <c r="B744" s="12">
        <v>2018</v>
      </c>
      <c r="C744" s="14" t="str">
        <f>'[1]V, inciso p) (OP)'!B397</f>
        <v>Licitación por Invitación Restringida</v>
      </c>
      <c r="D744" s="14" t="str">
        <f>'[1]V, inciso p) (OP)'!D397</f>
        <v>DOPI-MUN-RM-BACHEO-CI-104-2018</v>
      </c>
      <c r="E744" s="13">
        <f>'[1]V, inciso p) (OP)'!AD397</f>
        <v>43248</v>
      </c>
      <c r="F744" s="14" t="str">
        <f>'[1]V, inciso p) (OP)'!AL397</f>
        <v>Programa municipal de bacheo superficial aislado y nivelación con mezcla asfaltíca en caliente en vialidades, Zona Sur, frente 1, municipio de Zapopan, Jalisco.</v>
      </c>
      <c r="G744" s="14" t="str">
        <f>'[1]V, inciso p) (OP)'!AR397</f>
        <v>Recurso Propio</v>
      </c>
      <c r="H744" s="15">
        <f>'[1]V, inciso p) (OP)'!AJ397</f>
        <v>2888233.8</v>
      </c>
      <c r="I744" s="14" t="s">
        <v>1349</v>
      </c>
      <c r="J744" s="14" t="str">
        <f>'[1]V, inciso p) (OP)'!T397</f>
        <v>ÁNGEL SALOMÓN</v>
      </c>
      <c r="K744" s="14" t="str">
        <f>'[1]V, inciso p) (OP)'!U397</f>
        <v>RINCÓN</v>
      </c>
      <c r="L744" s="14" t="str">
        <f>'[1]V, inciso p) (OP)'!V397</f>
        <v>DE LA ROSA</v>
      </c>
      <c r="M744" s="14" t="str">
        <f>'[1]V, inciso p) (OP)'!W397</f>
        <v>ARO ASFALTOS Y RIEGOS DE OCCIDENTE, S.A. DE C.V.</v>
      </c>
      <c r="N744" s="14" t="str">
        <f>'[1]V, inciso p) (OP)'!X397</f>
        <v>AAR120507VA9</v>
      </c>
      <c r="O744" s="15">
        <f t="shared" si="23"/>
        <v>2888233.8</v>
      </c>
      <c r="P744" s="15">
        <f t="shared" si="22"/>
        <v>2888233.8</v>
      </c>
      <c r="Q744" s="23" t="s">
        <v>1282</v>
      </c>
      <c r="R744" s="22">
        <f>O744/367</f>
        <v>7869.8468664850134</v>
      </c>
      <c r="S744" s="12" t="s">
        <v>42</v>
      </c>
      <c r="T744" s="17">
        <v>1332272</v>
      </c>
      <c r="U744" s="14" t="s">
        <v>43</v>
      </c>
      <c r="V744" s="12" t="s">
        <v>378</v>
      </c>
      <c r="W744" s="13">
        <f>'[1]V, inciso p) (OP)'!AM397</f>
        <v>43248</v>
      </c>
      <c r="X744" s="13">
        <f>'[1]V, inciso p) (OP)'!AN397</f>
        <v>43297</v>
      </c>
      <c r="Y744" s="12" t="s">
        <v>531</v>
      </c>
      <c r="Z744" s="12" t="s">
        <v>532</v>
      </c>
      <c r="AA744" s="12" t="s">
        <v>533</v>
      </c>
      <c r="AB744" s="14" t="s">
        <v>48</v>
      </c>
      <c r="AC744" s="14" t="s">
        <v>48</v>
      </c>
      <c r="AD744" s="14" t="s">
        <v>1571</v>
      </c>
    </row>
    <row r="745" spans="1:30" ht="80.099999999999994" customHeight="1">
      <c r="A745" s="5">
        <v>105</v>
      </c>
      <c r="B745" s="12">
        <v>2018</v>
      </c>
      <c r="C745" s="14" t="str">
        <f>'[1]V, inciso p) (OP)'!B398</f>
        <v>Licitación por Invitación Restringida</v>
      </c>
      <c r="D745" s="14" t="str">
        <f>'[1]V, inciso p) (OP)'!D398</f>
        <v>DOPI-MUN-RM-CALAFATEO-CI-105-2018</v>
      </c>
      <c r="E745" s="13">
        <f>'[1]V, inciso p) (OP)'!AD398</f>
        <v>43248</v>
      </c>
      <c r="F745" s="14" t="str">
        <f>'[1]V, inciso p) (OP)'!AL398</f>
        <v>Programa municipal de calafateo en juntas y grietas de pavimentos hidráulicos con sellador asfaltico en vialidades, Zona Sur, frente 1, municipio de Zapopan, Jalisco.</v>
      </c>
      <c r="G745" s="14" t="str">
        <f>'[1]V, inciso p) (OP)'!AR398</f>
        <v>Recurso Propio</v>
      </c>
      <c r="H745" s="15">
        <f>'[1]V, inciso p) (OP)'!AJ398</f>
        <v>2165155.7799999998</v>
      </c>
      <c r="I745" s="14" t="s">
        <v>1349</v>
      </c>
      <c r="J745" s="14" t="str">
        <f>'[1]V, inciso p) (OP)'!T398</f>
        <v xml:space="preserve">ARTURO </v>
      </c>
      <c r="K745" s="14" t="str">
        <f>'[1]V, inciso p) (OP)'!U398</f>
        <v>MONTUFAR</v>
      </c>
      <c r="L745" s="14" t="str">
        <f>'[1]V, inciso p) (OP)'!V398</f>
        <v>NUÑEZ</v>
      </c>
      <c r="M745" s="14" t="str">
        <f>'[1]V, inciso p) (OP)'!W398</f>
        <v>VELERO PAVIMENTACION Y CONSTRUCCIÓN S.A. DE C.V.</v>
      </c>
      <c r="N745" s="14" t="str">
        <f>'[1]V, inciso p) (OP)'!X398</f>
        <v>VPC0012148K0</v>
      </c>
      <c r="O745" s="15">
        <f t="shared" si="23"/>
        <v>2165155.7799999998</v>
      </c>
      <c r="P745" s="15">
        <f t="shared" si="22"/>
        <v>2165155.7799999998</v>
      </c>
      <c r="Q745" s="23" t="s">
        <v>1283</v>
      </c>
      <c r="R745" s="22">
        <f>O745/46662</f>
        <v>46.400835369251205</v>
      </c>
      <c r="S745" s="12" t="s">
        <v>42</v>
      </c>
      <c r="T745" s="17">
        <v>1332272</v>
      </c>
      <c r="U745" s="14" t="s">
        <v>43</v>
      </c>
      <c r="V745" s="12" t="s">
        <v>378</v>
      </c>
      <c r="W745" s="13">
        <f>'[1]V, inciso p) (OP)'!AM398</f>
        <v>43248</v>
      </c>
      <c r="X745" s="13">
        <f>'[1]V, inciso p) (OP)'!AN398</f>
        <v>43297</v>
      </c>
      <c r="Y745" s="12" t="s">
        <v>531</v>
      </c>
      <c r="Z745" s="12" t="s">
        <v>532</v>
      </c>
      <c r="AA745" s="12" t="s">
        <v>533</v>
      </c>
      <c r="AB745" s="8" t="s">
        <v>1839</v>
      </c>
      <c r="AC745" s="14" t="s">
        <v>48</v>
      </c>
      <c r="AD745" s="14" t="s">
        <v>1571</v>
      </c>
    </row>
    <row r="746" spans="1:30" ht="80.099999999999994" customHeight="1">
      <c r="A746" s="5">
        <v>106</v>
      </c>
      <c r="B746" s="12">
        <v>2018</v>
      </c>
      <c r="C746" s="12" t="s">
        <v>65</v>
      </c>
      <c r="D746" s="14" t="str">
        <f>'[1]V, inciso o) (OP)'!C352</f>
        <v>DOPI-MUN-RM-MOV-AD-106-2018</v>
      </c>
      <c r="E746" s="13">
        <f>'[1]V, inciso o) (OP)'!V352</f>
        <v>43234</v>
      </c>
      <c r="F746" s="14" t="str">
        <f>'[1]V, inciso o) (OP)'!AA352</f>
        <v>Señalización vertical, horizontal y servicios complementarios en la Lateral Poniente de Periférico de Prolongación Av. Central Guillermo González Camarena a calle 5 de Mayo, municipio de Zapopan, Jalisco.</v>
      </c>
      <c r="G746" s="14" t="s">
        <v>499</v>
      </c>
      <c r="H746" s="15">
        <f>'[1]V, inciso o) (OP)'!Y352</f>
        <v>1126498.8600000001</v>
      </c>
      <c r="I746" s="14" t="s">
        <v>157</v>
      </c>
      <c r="J746" s="14" t="str">
        <f>'[1]V, inciso o) (OP)'!M352</f>
        <v>ANDRÉS EDUARDO</v>
      </c>
      <c r="K746" s="14" t="str">
        <f>'[1]V, inciso o) (OP)'!N352</f>
        <v>ACEVES</v>
      </c>
      <c r="L746" s="14" t="str">
        <f>'[1]V, inciso o) (OP)'!O352</f>
        <v>CASTAÑEDA</v>
      </c>
      <c r="M746" s="14" t="str">
        <f>'[1]V, inciso o) (OP)'!P352</f>
        <v>SECRI CONSTRUCTORA, S.A. DE C.V.</v>
      </c>
      <c r="N746" s="14" t="str">
        <f>'[1]V, inciso o) (OP)'!Q352</f>
        <v>SCO100609EVA</v>
      </c>
      <c r="O746" s="15">
        <f t="shared" si="23"/>
        <v>1126498.8600000001</v>
      </c>
      <c r="P746" s="15">
        <f t="shared" si="22"/>
        <v>1126498.8600000001</v>
      </c>
      <c r="Q746" s="21" t="s">
        <v>1284</v>
      </c>
      <c r="R746" s="22">
        <f>H746/1240</f>
        <v>908.46682258064527</v>
      </c>
      <c r="S746" s="12" t="s">
        <v>42</v>
      </c>
      <c r="T746" s="17">
        <v>1332272</v>
      </c>
      <c r="U746" s="14" t="s">
        <v>43</v>
      </c>
      <c r="V746" s="12" t="s">
        <v>378</v>
      </c>
      <c r="W746" s="13">
        <f>'[1]V, inciso o) (OP)'!AD352</f>
        <v>43235</v>
      </c>
      <c r="X746" s="13">
        <f>'[1]V, inciso o) (OP)'!AE352</f>
        <v>43277</v>
      </c>
      <c r="Y746" s="12" t="s">
        <v>692</v>
      </c>
      <c r="Z746" s="12" t="s">
        <v>693</v>
      </c>
      <c r="AA746" s="12" t="s">
        <v>136</v>
      </c>
      <c r="AB746" s="8" t="s">
        <v>1989</v>
      </c>
      <c r="AC746" s="14" t="s">
        <v>48</v>
      </c>
      <c r="AD746" s="14" t="s">
        <v>1571</v>
      </c>
    </row>
    <row r="747" spans="1:30" ht="80.099999999999994" customHeight="1">
      <c r="A747" s="5">
        <v>107</v>
      </c>
      <c r="B747" s="12">
        <v>2018</v>
      </c>
      <c r="C747" s="12" t="s">
        <v>65</v>
      </c>
      <c r="D747" s="14" t="str">
        <f>'[1]V, inciso o) (OP)'!C353</f>
        <v>DOPI-MUN-RM-IM-AD-107-2018</v>
      </c>
      <c r="E747" s="13">
        <f>'[1]V, inciso o) (OP)'!V353</f>
        <v>43203</v>
      </c>
      <c r="F747" s="14" t="str">
        <f>'[1]V, inciso o) (OP)'!AA353</f>
        <v>Rehabilitación de módulo de oficinas y aulas para academias municipales, ubicado en Av. Tabachines en su cruce con Periférico Norte, municipio de Zapopan, Jalisco.</v>
      </c>
      <c r="G747" s="14" t="s">
        <v>499</v>
      </c>
      <c r="H747" s="15">
        <f>'[1]V, inciso o) (OP)'!Y353</f>
        <v>435785.44</v>
      </c>
      <c r="I747" s="14" t="s">
        <v>1121</v>
      </c>
      <c r="J747" s="14" t="str">
        <f>'[1]V, inciso o) (OP)'!M353</f>
        <v xml:space="preserve">ARTURO </v>
      </c>
      <c r="K747" s="14" t="str">
        <f>'[1]V, inciso o) (OP)'!N353</f>
        <v>DISTANCIA</v>
      </c>
      <c r="L747" s="14" t="str">
        <f>'[1]V, inciso o) (OP)'!O353</f>
        <v>SÁNCHEZ</v>
      </c>
      <c r="M747" s="14" t="str">
        <f>'[1]V, inciso o) (OP)'!P353</f>
        <v>JAVAX CONSULTORES, S.A. DE C.V.</v>
      </c>
      <c r="N747" s="14" t="str">
        <f>'[1]V, inciso o) (OP)'!Q353</f>
        <v>JCO160413SK4</v>
      </c>
      <c r="O747" s="15">
        <f t="shared" si="23"/>
        <v>435785.44</v>
      </c>
      <c r="P747" s="15">
        <f t="shared" si="22"/>
        <v>435785.44</v>
      </c>
      <c r="Q747" s="21" t="s">
        <v>1285</v>
      </c>
      <c r="R747" s="22">
        <f>H747/105</f>
        <v>4150.3375238095241</v>
      </c>
      <c r="S747" s="12" t="s">
        <v>42</v>
      </c>
      <c r="T747" s="17">
        <v>453</v>
      </c>
      <c r="U747" s="14" t="s">
        <v>43</v>
      </c>
      <c r="V747" s="12" t="s">
        <v>378</v>
      </c>
      <c r="W747" s="13">
        <f>'[1]V, inciso o) (OP)'!AD353</f>
        <v>43206</v>
      </c>
      <c r="X747" s="13">
        <f>'[1]V, inciso o) (OP)'!AE353</f>
        <v>43251</v>
      </c>
      <c r="Y747" s="12" t="s">
        <v>408</v>
      </c>
      <c r="Z747" s="12" t="s">
        <v>409</v>
      </c>
      <c r="AA747" s="12" t="s">
        <v>107</v>
      </c>
      <c r="AB747" s="8" t="s">
        <v>1862</v>
      </c>
      <c r="AC747" s="14" t="s">
        <v>48</v>
      </c>
      <c r="AD747" s="14" t="s">
        <v>1571</v>
      </c>
    </row>
    <row r="748" spans="1:30" ht="80.099999999999994" customHeight="1">
      <c r="A748" s="5">
        <v>108</v>
      </c>
      <c r="B748" s="12">
        <v>2018</v>
      </c>
      <c r="C748" s="12" t="s">
        <v>65</v>
      </c>
      <c r="D748" s="14" t="str">
        <f>'[1]V, inciso o) (OP)'!C354</f>
        <v>DOPI-MUN-RM-PAV-AD-108-2018</v>
      </c>
      <c r="E748" s="13">
        <f>'[1]V, inciso o) (OP)'!V354</f>
        <v>43175</v>
      </c>
      <c r="F748" s="14" t="str">
        <f>'[1]V, inciso o) (OP)'!AA354</f>
        <v>Construcción de pavimento de concreto hidráulico, incluye: guarniciones, banquetas, accesibilidad y servicios complementarios en la calle Nueva Orleans de Lituania a Av. Juan Gil Preciado, colonia Juan Gil Preciado, municipio de Zapopan, Jalisco.</v>
      </c>
      <c r="G748" s="14" t="s">
        <v>499</v>
      </c>
      <c r="H748" s="15">
        <f>'[1]V, inciso o) (OP)'!Y354</f>
        <v>1673532.2</v>
      </c>
      <c r="I748" s="14" t="s">
        <v>1286</v>
      </c>
      <c r="J748" s="14" t="str">
        <f>'[1]V, inciso o) (OP)'!M354</f>
        <v>CARLOS</v>
      </c>
      <c r="K748" s="14" t="str">
        <f>'[1]V, inciso o) (OP)'!N354</f>
        <v>PÉREZ</v>
      </c>
      <c r="L748" s="14" t="str">
        <f>'[1]V, inciso o) (OP)'!O354</f>
        <v>CRUZ</v>
      </c>
      <c r="M748" s="14" t="str">
        <f>'[1]V, inciso o) (OP)'!P354</f>
        <v>CONSTRUCTORA PECRU, S.A. DE C.V.</v>
      </c>
      <c r="N748" s="14" t="str">
        <f>'[1]V, inciso o) (OP)'!Q354</f>
        <v>CPE070123PD4</v>
      </c>
      <c r="O748" s="15">
        <f t="shared" si="23"/>
        <v>1673532.2</v>
      </c>
      <c r="P748" s="15">
        <f t="shared" si="22"/>
        <v>1673532.2</v>
      </c>
      <c r="Q748" s="21" t="s">
        <v>1287</v>
      </c>
      <c r="R748" s="22">
        <f>H748/838</f>
        <v>1997.0551312649163</v>
      </c>
      <c r="S748" s="12" t="s">
        <v>42</v>
      </c>
      <c r="T748" s="17">
        <v>469</v>
      </c>
      <c r="U748" s="14" t="s">
        <v>43</v>
      </c>
      <c r="V748" s="12" t="s">
        <v>378</v>
      </c>
      <c r="W748" s="13">
        <f>'[1]V, inciso o) (OP)'!AD354</f>
        <v>43178</v>
      </c>
      <c r="X748" s="13">
        <f>'[1]V, inciso o) (OP)'!AE354</f>
        <v>43251</v>
      </c>
      <c r="Y748" s="12" t="s">
        <v>408</v>
      </c>
      <c r="Z748" s="12" t="s">
        <v>409</v>
      </c>
      <c r="AA748" s="12" t="s">
        <v>107</v>
      </c>
      <c r="AB748" s="8" t="s">
        <v>1990</v>
      </c>
      <c r="AC748" s="14" t="s">
        <v>48</v>
      </c>
      <c r="AD748" s="14" t="s">
        <v>1571</v>
      </c>
    </row>
    <row r="749" spans="1:30" ht="80.099999999999994" customHeight="1">
      <c r="A749" s="5">
        <v>109</v>
      </c>
      <c r="B749" s="12">
        <v>2018</v>
      </c>
      <c r="C749" s="12" t="s">
        <v>65</v>
      </c>
      <c r="D749" s="14" t="str">
        <f>'[1]V, inciso o) (OP)'!C355</f>
        <v>DOPI-MUN-RM-IM-AD-109-2018</v>
      </c>
      <c r="E749" s="13">
        <f>'[1]V, inciso o) (OP)'!V355</f>
        <v>43187</v>
      </c>
      <c r="F749" s="14" t="str">
        <f>'[1]V, inciso o) (OP)'!AA355</f>
        <v>Estructura con lonaria en cancha de basketball en la Unidad Deportiva República, ubicada en la colonia Centro, municipio de Zapopan, Jalisco.</v>
      </c>
      <c r="G749" s="14" t="s">
        <v>499</v>
      </c>
      <c r="H749" s="15">
        <f>'[1]V, inciso o) (OP)'!Y355</f>
        <v>1796254.78</v>
      </c>
      <c r="I749" s="14" t="s">
        <v>121</v>
      </c>
      <c r="J749" s="14" t="str">
        <f>'[1]V, inciso o) (OP)'!M355</f>
        <v xml:space="preserve">J. JESÚS </v>
      </c>
      <c r="K749" s="14" t="str">
        <f>'[1]V, inciso o) (OP)'!N355</f>
        <v>CÁRDENAS</v>
      </c>
      <c r="L749" s="14" t="str">
        <f>'[1]V, inciso o) (OP)'!O355</f>
        <v>SILVA</v>
      </c>
      <c r="M749" s="14" t="str">
        <f>'[1]V, inciso o) (OP)'!P355</f>
        <v>STUDIO KAPITAL CONSTRUCTORA, S.A. DE C.V.</v>
      </c>
      <c r="N749" s="14" t="str">
        <f>'[1]V, inciso o) (OP)'!Q355</f>
        <v>SKC171027PH6</v>
      </c>
      <c r="O749" s="15">
        <f t="shared" si="23"/>
        <v>1796254.78</v>
      </c>
      <c r="P749" s="15">
        <v>1758976.63</v>
      </c>
      <c r="Q749" s="21" t="s">
        <v>1288</v>
      </c>
      <c r="R749" s="22">
        <f>H749/612</f>
        <v>2935.0568300653595</v>
      </c>
      <c r="S749" s="12" t="s">
        <v>42</v>
      </c>
      <c r="T749" s="17">
        <v>2698</v>
      </c>
      <c r="U749" s="14" t="s">
        <v>43</v>
      </c>
      <c r="V749" s="12" t="s">
        <v>378</v>
      </c>
      <c r="W749" s="13">
        <f>'[1]V, inciso o) (OP)'!AD355</f>
        <v>43192</v>
      </c>
      <c r="X749" s="13">
        <f>'[1]V, inciso o) (OP)'!AE355</f>
        <v>43235</v>
      </c>
      <c r="Y749" s="12" t="s">
        <v>505</v>
      </c>
      <c r="Z749" s="12" t="s">
        <v>506</v>
      </c>
      <c r="AA749" s="12" t="s">
        <v>375</v>
      </c>
      <c r="AB749" s="8" t="s">
        <v>1863</v>
      </c>
      <c r="AC749" s="14" t="s">
        <v>48</v>
      </c>
      <c r="AD749" s="14"/>
    </row>
    <row r="750" spans="1:30" ht="80.099999999999994" customHeight="1">
      <c r="A750" s="5">
        <v>110</v>
      </c>
      <c r="B750" s="12">
        <v>2018</v>
      </c>
      <c r="C750" s="12" t="s">
        <v>65</v>
      </c>
      <c r="D750" s="14" t="str">
        <f>'[1]V, inciso o) (OP)'!C356</f>
        <v>DOPI-MUN-RM-PROY-AD-110-2018</v>
      </c>
      <c r="E750" s="13">
        <f>'[1]V, inciso o) (OP)'!V356</f>
        <v>43187</v>
      </c>
      <c r="F750" s="14" t="str">
        <f>'[1]V, inciso o) (OP)'!AA356</f>
        <v>Diagnóstico, diseño y proyectos estructurales de diferentes elementos del programa 2018 primera etapa, municipio de Zapopan, Jalisco.</v>
      </c>
      <c r="G750" s="14" t="s">
        <v>499</v>
      </c>
      <c r="H750" s="15">
        <f>'[1]V, inciso o) (OP)'!Y356</f>
        <v>1205254.78</v>
      </c>
      <c r="I750" s="14" t="s">
        <v>1349</v>
      </c>
      <c r="J750" s="14" t="str">
        <f>'[1]V, inciso o) (OP)'!M356</f>
        <v>RICARDO</v>
      </c>
      <c r="K750" s="14" t="str">
        <f>'[1]V, inciso o) (OP)'!N356</f>
        <v>HARO</v>
      </c>
      <c r="L750" s="14" t="str">
        <f>'[1]V, inciso o) (OP)'!O356</f>
        <v>BUGARIN</v>
      </c>
      <c r="M750" s="14" t="str">
        <f>'[1]V, inciso o) (OP)'!P356</f>
        <v>CENTRAL EDIFICACIONES, S.A. DE C.V.</v>
      </c>
      <c r="N750" s="14" t="str">
        <f>'[1]V, inciso o) (OP)'!Q356</f>
        <v>CED030514T47</v>
      </c>
      <c r="O750" s="15">
        <f t="shared" si="23"/>
        <v>1205254.78</v>
      </c>
      <c r="P750" s="15">
        <f>O750</f>
        <v>1205254.78</v>
      </c>
      <c r="Q750" s="21" t="s">
        <v>623</v>
      </c>
      <c r="R750" s="22">
        <f>H750</f>
        <v>1205254.78</v>
      </c>
      <c r="S750" s="12" t="s">
        <v>125</v>
      </c>
      <c r="T750" s="17" t="s">
        <v>125</v>
      </c>
      <c r="U750" s="14" t="s">
        <v>43</v>
      </c>
      <c r="V750" s="12" t="s">
        <v>378</v>
      </c>
      <c r="W750" s="13">
        <f>'[1]V, inciso o) (OP)'!AD356</f>
        <v>43192</v>
      </c>
      <c r="X750" s="13">
        <f>'[1]V, inciso o) (OP)'!AE356</f>
        <v>43312</v>
      </c>
      <c r="Y750" s="12" t="s">
        <v>436</v>
      </c>
      <c r="Z750" s="12" t="s">
        <v>295</v>
      </c>
      <c r="AA750" s="12" t="s">
        <v>76</v>
      </c>
      <c r="AB750" s="8" t="s">
        <v>1991</v>
      </c>
      <c r="AC750" s="14" t="s">
        <v>48</v>
      </c>
      <c r="AD750" s="14" t="s">
        <v>1571</v>
      </c>
    </row>
    <row r="751" spans="1:30" ht="80.099999999999994" customHeight="1">
      <c r="A751" s="5">
        <v>111</v>
      </c>
      <c r="B751" s="12">
        <v>2018</v>
      </c>
      <c r="C751" s="12" t="s">
        <v>65</v>
      </c>
      <c r="D751" s="14" t="str">
        <f>'[1]V, inciso o) (OP)'!C357</f>
        <v>DOPI-MUN-RM-SERV-AD-111-2018</v>
      </c>
      <c r="E751" s="13">
        <f>'[1]V, inciso o) (OP)'!V357</f>
        <v>43175</v>
      </c>
      <c r="F751" s="14" t="str">
        <f>'[1]V, inciso o) (OP)'!AA357</f>
        <v>Control de calidad de diferentes obras 2018 del municipio de Zapopan, Jalisco, frente 1.</v>
      </c>
      <c r="G751" s="14" t="s">
        <v>499</v>
      </c>
      <c r="H751" s="15">
        <f>'[1]V, inciso o) (OP)'!Y357</f>
        <v>1315420.48</v>
      </c>
      <c r="I751" s="14" t="s">
        <v>1349</v>
      </c>
      <c r="J751" s="14" t="str">
        <f>'[1]V, inciso o) (OP)'!M357</f>
        <v>RICARDO</v>
      </c>
      <c r="K751" s="14" t="str">
        <f>'[1]V, inciso o) (OP)'!N357</f>
        <v>MEZA</v>
      </c>
      <c r="L751" s="14" t="str">
        <f>'[1]V, inciso o) (OP)'!O357</f>
        <v>PONCE</v>
      </c>
      <c r="M751" s="14" t="str">
        <f>'[1]V, inciso o) (OP)'!P357</f>
        <v>CME CALIDAD MODELO DE EFICANCIA, S.A. DE C.V.</v>
      </c>
      <c r="N751" s="14" t="str">
        <f>'[1]V, inciso o) (OP)'!Q357</f>
        <v>CCM1405243C4</v>
      </c>
      <c r="O751" s="15">
        <f t="shared" si="23"/>
        <v>1315420.48</v>
      </c>
      <c r="P751" s="15">
        <f>O751</f>
        <v>1315420.48</v>
      </c>
      <c r="Q751" s="21" t="s">
        <v>623</v>
      </c>
      <c r="R751" s="22">
        <f>H751</f>
        <v>1315420.48</v>
      </c>
      <c r="S751" s="12" t="s">
        <v>125</v>
      </c>
      <c r="T751" s="17" t="s">
        <v>125</v>
      </c>
      <c r="U751" s="14" t="s">
        <v>43</v>
      </c>
      <c r="V751" s="12" t="s">
        <v>378</v>
      </c>
      <c r="W751" s="13">
        <f>'[1]V, inciso o) (OP)'!AD357</f>
        <v>43178</v>
      </c>
      <c r="X751" s="13">
        <f>'[1]V, inciso o) (OP)'!AE357</f>
        <v>43343</v>
      </c>
      <c r="Y751" s="12" t="s">
        <v>875</v>
      </c>
      <c r="Z751" s="12" t="s">
        <v>876</v>
      </c>
      <c r="AA751" s="12" t="s">
        <v>877</v>
      </c>
      <c r="AB751" s="8" t="s">
        <v>1864</v>
      </c>
      <c r="AC751" s="14" t="s">
        <v>48</v>
      </c>
      <c r="AD751" s="14" t="s">
        <v>1571</v>
      </c>
    </row>
    <row r="752" spans="1:30" ht="80.099999999999994" customHeight="1">
      <c r="A752" s="5">
        <v>112</v>
      </c>
      <c r="B752" s="12">
        <v>2018</v>
      </c>
      <c r="C752" s="12" t="s">
        <v>65</v>
      </c>
      <c r="D752" s="14" t="str">
        <f>'[1]V, inciso o) (OP)'!C358</f>
        <v>DOPI-MUN-RM-SERV-AD-112-2018</v>
      </c>
      <c r="E752" s="13">
        <f>'[1]V, inciso o) (OP)'!V358</f>
        <v>43175</v>
      </c>
      <c r="F752" s="14" t="str">
        <f>'[1]V, inciso o) (OP)'!AA358</f>
        <v>Control de calidad de diferentes obras 2018 del municipio de Zapopan, Jalisco, frente 2.</v>
      </c>
      <c r="G752" s="14" t="s">
        <v>499</v>
      </c>
      <c r="H752" s="15">
        <f>'[1]V, inciso o) (OP)'!Y358</f>
        <v>1225478.6399999999</v>
      </c>
      <c r="I752" s="14" t="s">
        <v>1349</v>
      </c>
      <c r="J752" s="14" t="str">
        <f>'[1]V, inciso o) (OP)'!M358</f>
        <v>JOSÉ ALEJANDRO</v>
      </c>
      <c r="K752" s="14" t="str">
        <f>'[1]V, inciso o) (OP)'!N358</f>
        <v>ALVA</v>
      </c>
      <c r="L752" s="14" t="str">
        <f>'[1]V, inciso o) (OP)'!O358</f>
        <v>DELGADO</v>
      </c>
      <c r="M752" s="14" t="str">
        <f>'[1]V, inciso o) (OP)'!P358</f>
        <v>SERVICIOS DE OBRAS CIVILES SERCO, S.A. DE C.V.</v>
      </c>
      <c r="N752" s="14" t="str">
        <f>'[1]V, inciso o) (OP)'!Q358</f>
        <v>SOC150806E69</v>
      </c>
      <c r="O752" s="15">
        <f t="shared" si="23"/>
        <v>1225478.6399999999</v>
      </c>
      <c r="P752" s="15">
        <f>O752</f>
        <v>1225478.6399999999</v>
      </c>
      <c r="Q752" s="21" t="s">
        <v>623</v>
      </c>
      <c r="R752" s="22">
        <f>H752</f>
        <v>1225478.6399999999</v>
      </c>
      <c r="S752" s="12" t="s">
        <v>125</v>
      </c>
      <c r="T752" s="17" t="s">
        <v>125</v>
      </c>
      <c r="U752" s="14" t="s">
        <v>43</v>
      </c>
      <c r="V752" s="12" t="s">
        <v>378</v>
      </c>
      <c r="W752" s="13">
        <f>'[1]V, inciso o) (OP)'!AD358</f>
        <v>43178</v>
      </c>
      <c r="X752" s="13">
        <f>'[1]V, inciso o) (OP)'!AE358</f>
        <v>43343</v>
      </c>
      <c r="Y752" s="12" t="s">
        <v>1289</v>
      </c>
      <c r="Z752" s="12" t="s">
        <v>728</v>
      </c>
      <c r="AA752" s="12" t="s">
        <v>1290</v>
      </c>
      <c r="AB752" s="8" t="s">
        <v>1992</v>
      </c>
      <c r="AC752" s="14" t="s">
        <v>48</v>
      </c>
      <c r="AD752" s="14" t="s">
        <v>1571</v>
      </c>
    </row>
    <row r="753" spans="1:30" ht="80.099999999999994" customHeight="1">
      <c r="A753" s="5">
        <v>113</v>
      </c>
      <c r="B753" s="12">
        <v>2018</v>
      </c>
      <c r="C753" s="12" t="s">
        <v>65</v>
      </c>
      <c r="D753" s="14" t="str">
        <f>'[1]V, inciso o) (OP)'!C359</f>
        <v>DOPI-MUN-RM-SERV-AD-113-2018</v>
      </c>
      <c r="E753" s="13">
        <f>'[1]V, inciso o) (OP)'!V359</f>
        <v>43175</v>
      </c>
      <c r="F753" s="14" t="str">
        <f>'[1]V, inciso o) (OP)'!AA359</f>
        <v>Control topográfico en trazo y nivelación de elementos estructurales, urbanisticos para la Construcción del Centro Integral de Servicios del Municipio de Zapopan.</v>
      </c>
      <c r="G753" s="14" t="s">
        <v>499</v>
      </c>
      <c r="H753" s="15">
        <f>'[1]V, inciso o) (OP)'!Y359</f>
        <v>850254.36</v>
      </c>
      <c r="I753" s="14" t="s">
        <v>1291</v>
      </c>
      <c r="J753" s="14" t="str">
        <f>'[1]V, inciso o) (OP)'!M359</f>
        <v>RICARDO</v>
      </c>
      <c r="K753" s="14" t="str">
        <f>'[1]V, inciso o) (OP)'!N359</f>
        <v>MEZA</v>
      </c>
      <c r="L753" s="14" t="str">
        <f>'[1]V, inciso o) (OP)'!O359</f>
        <v>PONCE</v>
      </c>
      <c r="M753" s="14" t="str">
        <f>'[1]V, inciso o) (OP)'!P359</f>
        <v>CME CALIDAD MODELO DE EFICANCIA, S.A. DE C.V.</v>
      </c>
      <c r="N753" s="14" t="str">
        <f>'[1]V, inciso o) (OP)'!Q359</f>
        <v>CCM1405243C4</v>
      </c>
      <c r="O753" s="15">
        <f t="shared" si="23"/>
        <v>850254.36</v>
      </c>
      <c r="P753" s="15">
        <f>O753</f>
        <v>850254.36</v>
      </c>
      <c r="Q753" s="21" t="s">
        <v>623</v>
      </c>
      <c r="R753" s="22">
        <f>H753</f>
        <v>850254.36</v>
      </c>
      <c r="S753" s="12" t="s">
        <v>125</v>
      </c>
      <c r="T753" s="17" t="s">
        <v>125</v>
      </c>
      <c r="U753" s="14" t="s">
        <v>43</v>
      </c>
      <c r="V753" s="12" t="s">
        <v>378</v>
      </c>
      <c r="W753" s="13">
        <f>'[1]V, inciso o) (OP)'!AD359</f>
        <v>43178</v>
      </c>
      <c r="X753" s="13">
        <f>'[1]V, inciso o) (OP)'!AE359</f>
        <v>43343</v>
      </c>
      <c r="Y753" s="12" t="s">
        <v>854</v>
      </c>
      <c r="Z753" s="12" t="s">
        <v>455</v>
      </c>
      <c r="AA753" s="12" t="s">
        <v>456</v>
      </c>
      <c r="AB753" s="8" t="s">
        <v>1865</v>
      </c>
      <c r="AC753" s="14" t="s">
        <v>48</v>
      </c>
      <c r="AD753" s="14" t="s">
        <v>1571</v>
      </c>
    </row>
    <row r="754" spans="1:30" ht="80.099999999999994" customHeight="1">
      <c r="A754" s="5">
        <v>114</v>
      </c>
      <c r="B754" s="12">
        <v>2018</v>
      </c>
      <c r="C754" s="12" t="s">
        <v>65</v>
      </c>
      <c r="D754" s="14" t="str">
        <f>'[1]V, inciso o) (OP)'!C360</f>
        <v>DOPI-MUN-RM-IM-AD-114-2018</v>
      </c>
      <c r="E754" s="13">
        <f>'[1]V, inciso o) (OP)'!V360</f>
        <v>43173</v>
      </c>
      <c r="F754" s="14" t="str">
        <f>'[1]V, inciso o) (OP)'!AA360</f>
        <v>Rehabilitación del Centro Comunitario en la colonia El Colli CTM, municipio de Zapopan, Jalisco, segunda etapa.</v>
      </c>
      <c r="G754" s="14" t="s">
        <v>499</v>
      </c>
      <c r="H754" s="15">
        <f>'[1]V, inciso o) (OP)'!Y360</f>
        <v>1798554.26</v>
      </c>
      <c r="I754" s="14" t="s">
        <v>1119</v>
      </c>
      <c r="J754" s="14" t="str">
        <f>'[1]V, inciso o) (OP)'!M360</f>
        <v>ALFREDO</v>
      </c>
      <c r="K754" s="14" t="str">
        <f>'[1]V, inciso o) (OP)'!N360</f>
        <v>FLORES</v>
      </c>
      <c r="L754" s="14" t="str">
        <f>'[1]V, inciso o) (OP)'!O360</f>
        <v>CHÁVEZ</v>
      </c>
      <c r="M754" s="14" t="str">
        <f>'[1]V, inciso o) (OP)'!P360</f>
        <v>ALFREDO FLORES CHÁVEZ</v>
      </c>
      <c r="N754" s="14" t="str">
        <f>'[1]V, inciso o) (OP)'!Q360</f>
        <v>FOCA830904HT8</v>
      </c>
      <c r="O754" s="15">
        <f t="shared" si="23"/>
        <v>1798554.26</v>
      </c>
      <c r="P754" s="15">
        <v>1798554.25</v>
      </c>
      <c r="Q754" s="21" t="s">
        <v>1292</v>
      </c>
      <c r="R754" s="22">
        <f>H754/1318</f>
        <v>1364.6086949924127</v>
      </c>
      <c r="S754" s="12" t="s">
        <v>42</v>
      </c>
      <c r="T754" s="17">
        <v>1268</v>
      </c>
      <c r="U754" s="14" t="s">
        <v>43</v>
      </c>
      <c r="V754" s="12" t="s">
        <v>378</v>
      </c>
      <c r="W754" s="13">
        <f>'[1]V, inciso o) (OP)'!AD360</f>
        <v>43174</v>
      </c>
      <c r="X754" s="13">
        <f>'[1]V, inciso o) (OP)'!AE360</f>
        <v>43220</v>
      </c>
      <c r="Y754" s="12" t="s">
        <v>692</v>
      </c>
      <c r="Z754" s="12" t="s">
        <v>693</v>
      </c>
      <c r="AA754" s="12" t="s">
        <v>136</v>
      </c>
      <c r="AB754" s="8" t="s">
        <v>1866</v>
      </c>
      <c r="AC754" s="14" t="s">
        <v>48</v>
      </c>
      <c r="AD754" s="14"/>
    </row>
    <row r="755" spans="1:30" ht="80.099999999999994" customHeight="1">
      <c r="A755" s="5">
        <v>115</v>
      </c>
      <c r="B755" s="12">
        <v>2018</v>
      </c>
      <c r="C755" s="12" t="s">
        <v>65</v>
      </c>
      <c r="D755" s="14" t="str">
        <f>'[1]V, inciso o) (OP)'!C361</f>
        <v>DOPI-MUN-RM-PAV-AD-115-2018</v>
      </c>
      <c r="E755" s="13">
        <f>'[1]V, inciso o) (OP)'!V361</f>
        <v>43187</v>
      </c>
      <c r="F755" s="14" t="str">
        <f>'[1]V, inciso o) (OP)'!AA361</f>
        <v>Pavimentación con concreto hidráulico en la calle Juan García de la calle Casiano Torres a la calle Ignacio Espinoza, colonia Villa de Guadalupe, incluye: drenaje sanitario, agua potable, banquetas, peatonalización, señalamiento y obras complementarias, en el municipio de Zapopan, Jalisco, frente 2.</v>
      </c>
      <c r="G755" s="14" t="s">
        <v>499</v>
      </c>
      <c r="H755" s="15">
        <f>'[1]V, inciso o) (OP)'!Y361</f>
        <v>1650234.78</v>
      </c>
      <c r="I755" s="14" t="s">
        <v>313</v>
      </c>
      <c r="J755" s="14" t="str">
        <f>'[1]V, inciso o) (OP)'!M361</f>
        <v>JUAN CARLOS</v>
      </c>
      <c r="K755" s="14" t="str">
        <f>'[1]V, inciso o) (OP)'!N361</f>
        <v>SUAZO</v>
      </c>
      <c r="L755" s="14" t="str">
        <f>'[1]V, inciso o) (OP)'!O361</f>
        <v>HERNÁNDEZ</v>
      </c>
      <c r="M755" s="14" t="str">
        <f>'[1]V, inciso o) (OP)'!P361</f>
        <v>CODIGO A CONSTRUCTORES, S.A. DE C.V.</v>
      </c>
      <c r="N755" s="14" t="str">
        <f>'[1]V, inciso o) (OP)'!Q361</f>
        <v>CCO1304181PA</v>
      </c>
      <c r="O755" s="15">
        <f t="shared" si="23"/>
        <v>1650234.78</v>
      </c>
      <c r="P755" s="15">
        <f>O755</f>
        <v>1650234.78</v>
      </c>
      <c r="Q755" s="21" t="s">
        <v>1293</v>
      </c>
      <c r="R755" s="22">
        <f>H755/1021.5</f>
        <v>1615.5014977973569</v>
      </c>
      <c r="S755" s="12" t="s">
        <v>42</v>
      </c>
      <c r="T755" s="17">
        <v>452</v>
      </c>
      <c r="U755" s="14" t="s">
        <v>43</v>
      </c>
      <c r="V755" s="12" t="s">
        <v>378</v>
      </c>
      <c r="W755" s="13">
        <f>'[1]V, inciso o) (OP)'!AD361</f>
        <v>43192</v>
      </c>
      <c r="X755" s="13">
        <f>'[1]V, inciso o) (OP)'!AE361</f>
        <v>43235</v>
      </c>
      <c r="Y755" s="12" t="s">
        <v>322</v>
      </c>
      <c r="Z755" s="12" t="s">
        <v>196</v>
      </c>
      <c r="AA755" s="12" t="s">
        <v>197</v>
      </c>
      <c r="AB755" s="8" t="s">
        <v>1867</v>
      </c>
      <c r="AC755" s="14" t="s">
        <v>48</v>
      </c>
      <c r="AD755" s="14" t="s">
        <v>1571</v>
      </c>
    </row>
    <row r="756" spans="1:30" ht="80.099999999999994" customHeight="1">
      <c r="A756" s="5">
        <v>116</v>
      </c>
      <c r="B756" s="12">
        <v>2018</v>
      </c>
      <c r="C756" s="12" t="s">
        <v>65</v>
      </c>
      <c r="D756" s="14" t="str">
        <f>'[1]V, inciso o) (OP)'!C362</f>
        <v>DOPI-MUN-RM-IH-AD-116-2018</v>
      </c>
      <c r="E756" s="13">
        <f>'[1]V, inciso o) (OP)'!V362</f>
        <v>43187</v>
      </c>
      <c r="F756" s="14" t="str">
        <f>'[1]V, inciso o) (OP)'!AA362</f>
        <v>Construcción de colector pluvial en Boulevard del Rodeo, de la calle Juan Pablo II a calle Escorial, municipio de Zapopan, Jalisco, fente 2.</v>
      </c>
      <c r="G756" s="14" t="s">
        <v>499</v>
      </c>
      <c r="H756" s="15">
        <f>'[1]V, inciso o) (OP)'!Y362</f>
        <v>839908.08</v>
      </c>
      <c r="I756" s="14" t="s">
        <v>1294</v>
      </c>
      <c r="J756" s="14" t="str">
        <f>'[1]V, inciso o) (OP)'!M362</f>
        <v>JOSÉ ANTONIO</v>
      </c>
      <c r="K756" s="14" t="str">
        <f>'[1]V, inciso o) (OP)'!N362</f>
        <v>CUEVAS</v>
      </c>
      <c r="L756" s="14" t="str">
        <f>'[1]V, inciso o) (OP)'!O362</f>
        <v>BRISEÑO</v>
      </c>
      <c r="M756" s="14" t="str">
        <f>'[1]V, inciso o) (OP)'!P362</f>
        <v>JOSÉ ANTONIO CUEVAS BRISEÑO</v>
      </c>
      <c r="N756" s="14" t="str">
        <f>'[1]V, inciso o) (OP)'!Q362</f>
        <v>CUBA5705179V8</v>
      </c>
      <c r="O756" s="15">
        <f t="shared" si="23"/>
        <v>839908.08</v>
      </c>
      <c r="P756" s="15">
        <f>O756</f>
        <v>839908.08</v>
      </c>
      <c r="Q756" s="21" t="s">
        <v>1196</v>
      </c>
      <c r="R756" s="22">
        <f>O756/524</f>
        <v>1602.8780152671754</v>
      </c>
      <c r="S756" s="12" t="s">
        <v>42</v>
      </c>
      <c r="T756" s="17">
        <v>1256</v>
      </c>
      <c r="U756" s="14" t="s">
        <v>43</v>
      </c>
      <c r="V756" s="12" t="s">
        <v>378</v>
      </c>
      <c r="W756" s="13">
        <f>'[1]V, inciso o) (OP)'!AD362</f>
        <v>43192</v>
      </c>
      <c r="X756" s="13">
        <f>'[1]V, inciso o) (OP)'!AE362</f>
        <v>43235</v>
      </c>
      <c r="Y756" s="12" t="s">
        <v>854</v>
      </c>
      <c r="Z756" s="12" t="s">
        <v>455</v>
      </c>
      <c r="AA756" s="12" t="s">
        <v>456</v>
      </c>
      <c r="AB756" s="8" t="s">
        <v>1993</v>
      </c>
      <c r="AC756" s="14" t="s">
        <v>48</v>
      </c>
      <c r="AD756" s="14" t="s">
        <v>1571</v>
      </c>
    </row>
    <row r="757" spans="1:30" ht="80.099999999999994" customHeight="1">
      <c r="A757" s="5">
        <v>117</v>
      </c>
      <c r="B757" s="12">
        <v>2018</v>
      </c>
      <c r="C757" s="12" t="s">
        <v>65</v>
      </c>
      <c r="D757" s="14" t="str">
        <f>'[1]V, inciso o) (OP)'!C363</f>
        <v>DOPI-MUN-RM-PAV-AD-117-2018</v>
      </c>
      <c r="E757" s="13">
        <f>'[1]V, inciso o) (OP)'!V363</f>
        <v>43182</v>
      </c>
      <c r="F757" s="14" t="str">
        <f>'[1]V, inciso o) (OP)'!AA363</f>
        <v>Pavimentación con concreto hidráulico de calle 16 de Septiembre de de calle Angulo a la Av. 5 de Mayo, incluye: banquetas, peatonalización, señalamiento y obras complementarias, en San Juan de Ocotán, municipio de Zapopan, Jalisco.</v>
      </c>
      <c r="G757" s="14" t="s">
        <v>499</v>
      </c>
      <c r="H757" s="15">
        <f>'[1]V, inciso o) (OP)'!Y363</f>
        <v>1325087.44</v>
      </c>
      <c r="I757" s="14" t="s">
        <v>1295</v>
      </c>
      <c r="J757" s="14" t="str">
        <f>'[1]V, inciso o) (OP)'!M363</f>
        <v>CARLOS CELSO</v>
      </c>
      <c r="K757" s="14" t="str">
        <f>'[1]V, inciso o) (OP)'!N363</f>
        <v>GARCÍA</v>
      </c>
      <c r="L757" s="14" t="str">
        <f>'[1]V, inciso o) (OP)'!O363</f>
        <v>QUINTERO</v>
      </c>
      <c r="M757" s="14" t="str">
        <f>'[1]V, inciso o) (OP)'!P363</f>
        <v>GRUPO CONSTRUCTOR HISACA, S.A. DE C.V.</v>
      </c>
      <c r="N757" s="14" t="str">
        <f>'[1]V, inciso o) (OP)'!Q363</f>
        <v>GCH070702SH8</v>
      </c>
      <c r="O757" s="15">
        <f t="shared" si="23"/>
        <v>1325087.44</v>
      </c>
      <c r="P757" s="15">
        <f>O757</f>
        <v>1325087.44</v>
      </c>
      <c r="Q757" s="21" t="s">
        <v>1296</v>
      </c>
      <c r="R757" s="22">
        <f>H757/855</f>
        <v>1549.8098713450293</v>
      </c>
      <c r="S757" s="12" t="s">
        <v>42</v>
      </c>
      <c r="T757" s="17">
        <v>2689</v>
      </c>
      <c r="U757" s="14" t="s">
        <v>43</v>
      </c>
      <c r="V757" s="12" t="s">
        <v>378</v>
      </c>
      <c r="W757" s="13">
        <f>'[1]V, inciso o) (OP)'!AD363</f>
        <v>43185</v>
      </c>
      <c r="X757" s="13">
        <f>'[1]V, inciso o) (OP)'!AE363</f>
        <v>43267</v>
      </c>
      <c r="Y757" s="12" t="s">
        <v>336</v>
      </c>
      <c r="Z757" s="12" t="s">
        <v>337</v>
      </c>
      <c r="AA757" s="12" t="s">
        <v>120</v>
      </c>
      <c r="AB757" s="8" t="s">
        <v>1994</v>
      </c>
      <c r="AC757" s="14" t="s">
        <v>48</v>
      </c>
      <c r="AD757" s="14" t="s">
        <v>1571</v>
      </c>
    </row>
    <row r="758" spans="1:30" ht="80.099999999999994" customHeight="1">
      <c r="A758" s="5">
        <v>118</v>
      </c>
      <c r="B758" s="12">
        <v>2018</v>
      </c>
      <c r="C758" s="12" t="s">
        <v>65</v>
      </c>
      <c r="D758" s="14" t="str">
        <f>'[1]V, inciso o) (OP)'!C364</f>
        <v>DOPI-MUN-RM-ELE-AD-118-2018</v>
      </c>
      <c r="E758" s="13">
        <f>'[1]V, inciso o) (OP)'!V364</f>
        <v>43187</v>
      </c>
      <c r="F758" s="14" t="str">
        <f>'[1]V, inciso o) (OP)'!AA364</f>
        <v>Red de electrificación de media y baja tensión en la Lateral Poniente de Periférico de Prolongación Av. Central Guillermo González Camarena a calle 5 de Mayo, municipio de Zapopan, Jalisco.</v>
      </c>
      <c r="G758" s="14" t="s">
        <v>499</v>
      </c>
      <c r="H758" s="15">
        <f>'[1]V, inciso o) (OP)'!Y364</f>
        <v>1794066.85</v>
      </c>
      <c r="I758" s="14" t="s">
        <v>1295</v>
      </c>
      <c r="J758" s="14" t="str">
        <f>'[1]V, inciso o) (OP)'!M364</f>
        <v>ANA KARINA</v>
      </c>
      <c r="K758" s="14" t="str">
        <f>'[1]V, inciso o) (OP)'!N364</f>
        <v>OJEDA</v>
      </c>
      <c r="L758" s="14" t="str">
        <f>'[1]V, inciso o) (OP)'!O364</f>
        <v>FERRELL</v>
      </c>
      <c r="M758" s="14" t="str">
        <f>'[1]V, inciso o) (OP)'!P364</f>
        <v>KP CONSTRUCTORA E INMOBILIARIA, S.A. DE C.V.</v>
      </c>
      <c r="N758" s="14" t="str">
        <f>'[1]V, inciso o) (OP)'!Q364</f>
        <v>KCI120928CD5</v>
      </c>
      <c r="O758" s="15">
        <f t="shared" si="23"/>
        <v>1794066.85</v>
      </c>
      <c r="P758" s="15">
        <f>O758</f>
        <v>1794066.85</v>
      </c>
      <c r="Q758" s="21" t="s">
        <v>1297</v>
      </c>
      <c r="R758" s="22">
        <f>H758/385</f>
        <v>4659.9138961038961</v>
      </c>
      <c r="S758" s="12" t="s">
        <v>42</v>
      </c>
      <c r="T758" s="17">
        <v>1332272</v>
      </c>
      <c r="U758" s="14" t="s">
        <v>43</v>
      </c>
      <c r="V758" s="12" t="s">
        <v>378</v>
      </c>
      <c r="W758" s="13">
        <f>'[1]V, inciso o) (OP)'!AD364</f>
        <v>43192</v>
      </c>
      <c r="X758" s="13">
        <f>'[1]V, inciso o) (OP)'!AE364</f>
        <v>43235</v>
      </c>
      <c r="Y758" s="12" t="s">
        <v>322</v>
      </c>
      <c r="Z758" s="12" t="s">
        <v>196</v>
      </c>
      <c r="AA758" s="12" t="s">
        <v>197</v>
      </c>
      <c r="AB758" s="8" t="s">
        <v>1995</v>
      </c>
      <c r="AC758" s="14" t="s">
        <v>48</v>
      </c>
      <c r="AD758" s="14" t="s">
        <v>1571</v>
      </c>
    </row>
    <row r="759" spans="1:30" ht="80.099999999999994" customHeight="1">
      <c r="A759" s="5">
        <v>119</v>
      </c>
      <c r="B759" s="12">
        <v>2018</v>
      </c>
      <c r="C759" s="12" t="s">
        <v>65</v>
      </c>
      <c r="D759" s="14" t="str">
        <f>'[1]V, inciso o) (OP)'!C365</f>
        <v>DOPI-MUN-RM-BACHEO-AD-119-2018</v>
      </c>
      <c r="E759" s="13">
        <f>'[1]V, inciso o) (OP)'!V365</f>
        <v>43187</v>
      </c>
      <c r="F759" s="14" t="str">
        <f>'[1]V, inciso o) (OP)'!AA365</f>
        <v>Programa municipal de bacheo superficial aislado y nivelación con mezcla asfáltica en caliente en vialidades, Zona Sur Poniente, frente 1, municipio de Zapopan, Jalisco.</v>
      </c>
      <c r="G759" s="14" t="s">
        <v>499</v>
      </c>
      <c r="H759" s="15">
        <f>'[1]V, inciso o) (OP)'!Y365</f>
        <v>1654654.79</v>
      </c>
      <c r="I759" s="14" t="s">
        <v>1298</v>
      </c>
      <c r="J759" s="14" t="str">
        <f>'[1]V, inciso o) (OP)'!M365</f>
        <v>ÁNGEL SALOMÓN</v>
      </c>
      <c r="K759" s="14" t="str">
        <f>'[1]V, inciso o) (OP)'!N365</f>
        <v>RINCÓN</v>
      </c>
      <c r="L759" s="14" t="str">
        <f>'[1]V, inciso o) (OP)'!O365</f>
        <v>DE LA ROSA</v>
      </c>
      <c r="M759" s="14" t="str">
        <f>'[1]V, inciso o) (OP)'!P365</f>
        <v>ARO ASFALTOS Y RIEGOS DE OCCIDENTE, S.A. DE C.V.</v>
      </c>
      <c r="N759" s="14" t="str">
        <f>'[1]V, inciso o) (OP)'!Q365</f>
        <v>AAR120507VA9</v>
      </c>
      <c r="O759" s="15">
        <f t="shared" si="23"/>
        <v>1654654.79</v>
      </c>
      <c r="P759" s="15">
        <f>O759</f>
        <v>1654654.79</v>
      </c>
      <c r="Q759" s="22" t="s">
        <v>1299</v>
      </c>
      <c r="R759" s="22">
        <f>O759/6185</f>
        <v>267.52704769603884</v>
      </c>
      <c r="S759" s="12" t="s">
        <v>42</v>
      </c>
      <c r="T759" s="17">
        <v>268402</v>
      </c>
      <c r="U759" s="14" t="s">
        <v>43</v>
      </c>
      <c r="V759" s="12" t="s">
        <v>378</v>
      </c>
      <c r="W759" s="13">
        <f>'[1]V, inciso o) (OP)'!AD365</f>
        <v>43192</v>
      </c>
      <c r="X759" s="13">
        <f>'[1]V, inciso o) (OP)'!AE365</f>
        <v>43251</v>
      </c>
      <c r="Y759" s="12" t="s">
        <v>531</v>
      </c>
      <c r="Z759" s="12" t="s">
        <v>532</v>
      </c>
      <c r="AA759" s="12" t="s">
        <v>533</v>
      </c>
      <c r="AB759" s="8" t="s">
        <v>1868</v>
      </c>
      <c r="AC759" s="14" t="s">
        <v>48</v>
      </c>
      <c r="AD759" s="14" t="s">
        <v>1571</v>
      </c>
    </row>
    <row r="760" spans="1:30" ht="80.099999999999994" customHeight="1">
      <c r="A760" s="5">
        <v>120</v>
      </c>
      <c r="B760" s="12">
        <v>2018</v>
      </c>
      <c r="C760" s="12" t="s">
        <v>65</v>
      </c>
      <c r="D760" s="14" t="str">
        <f>'[1]V, inciso o) (OP)'!C366</f>
        <v>DOPI-MUN-RM-BACHEO-AD-120-2018</v>
      </c>
      <c r="E760" s="13">
        <f>'[1]V, inciso o) (OP)'!V366</f>
        <v>43187</v>
      </c>
      <c r="F760" s="14" t="str">
        <f>'[1]V, inciso o) (OP)'!AA366</f>
        <v>Programa municipal de bacheo superficial aislado y nivelación con mezcla asfáltica en vialidades, en diferentes Zonas, frente 1, municipio de Zapopan, Jalisco.</v>
      </c>
      <c r="G760" s="14" t="s">
        <v>499</v>
      </c>
      <c r="H760" s="15">
        <f>'[1]V, inciso o) (OP)'!Y366</f>
        <v>1722436.89</v>
      </c>
      <c r="I760" s="14" t="s">
        <v>1349</v>
      </c>
      <c r="J760" s="14" t="str">
        <f>'[1]V, inciso o) (OP)'!M366</f>
        <v xml:space="preserve">HUGO </v>
      </c>
      <c r="K760" s="14" t="str">
        <f>'[1]V, inciso o) (OP)'!N366</f>
        <v>BOJORQUEZ</v>
      </c>
      <c r="L760" s="14" t="str">
        <f>'[1]V, inciso o) (OP)'!O366</f>
        <v>SÁNCHEZ</v>
      </c>
      <c r="M760" s="14" t="str">
        <f>'[1]V, inciso o) (OP)'!P366</f>
        <v>BACHEO JET, S.A. DE C.V.</v>
      </c>
      <c r="N760" s="14" t="str">
        <f>'[1]V, inciso o) (OP)'!Q366</f>
        <v>BJE1308202Z2</v>
      </c>
      <c r="O760" s="15">
        <f t="shared" si="23"/>
        <v>1722436.89</v>
      </c>
      <c r="P760" s="15">
        <v>1722436.89</v>
      </c>
      <c r="Q760" s="22" t="s">
        <v>1300</v>
      </c>
      <c r="R760" s="22">
        <f>H760/6439</f>
        <v>267.50068178288552</v>
      </c>
      <c r="S760" s="12" t="s">
        <v>42</v>
      </c>
      <c r="T760" s="17">
        <v>356978</v>
      </c>
      <c r="U760" s="14" t="s">
        <v>43</v>
      </c>
      <c r="V760" s="12" t="s">
        <v>378</v>
      </c>
      <c r="W760" s="13">
        <f>'[1]V, inciso o) (OP)'!AD366</f>
        <v>43192</v>
      </c>
      <c r="X760" s="13">
        <f>'[1]V, inciso o) (OP)'!AE366</f>
        <v>43251</v>
      </c>
      <c r="Y760" s="12" t="s">
        <v>531</v>
      </c>
      <c r="Z760" s="12" t="s">
        <v>532</v>
      </c>
      <c r="AA760" s="12" t="s">
        <v>533</v>
      </c>
      <c r="AB760" s="8" t="s">
        <v>1996</v>
      </c>
      <c r="AC760" s="14" t="s">
        <v>48</v>
      </c>
      <c r="AD760" s="14"/>
    </row>
    <row r="761" spans="1:30" ht="80.099999999999994" customHeight="1">
      <c r="A761" s="5">
        <v>121</v>
      </c>
      <c r="B761" s="12">
        <v>2018</v>
      </c>
      <c r="C761" s="12" t="s">
        <v>65</v>
      </c>
      <c r="D761" s="14" t="str">
        <f>'[1]V, inciso o) (OP)'!C367</f>
        <v>DOPI-MUN-RM-BACHEO-AD-121-2018</v>
      </c>
      <c r="E761" s="13">
        <f>'[1]V, inciso o) (OP)'!V367</f>
        <v>43187</v>
      </c>
      <c r="F761" s="14" t="str">
        <f>'[1]V, inciso o) (OP)'!AA367</f>
        <v>Programa municipal de bacheo superficial aislado y nivelación con mezcla asfáltica en caliente en vialidades, Zona Nor Poniente, frente 1, municipio de Zapopan, Jalisco.</v>
      </c>
      <c r="G761" s="14" t="s">
        <v>499</v>
      </c>
      <c r="H761" s="15">
        <f>'[1]V, inciso o) (OP)'!Y367</f>
        <v>1696874.24</v>
      </c>
      <c r="I761" s="14" t="s">
        <v>1301</v>
      </c>
      <c r="J761" s="14" t="str">
        <f>'[1]V, inciso o) (OP)'!M367</f>
        <v>RODRIGO</v>
      </c>
      <c r="K761" s="14" t="str">
        <f>'[1]V, inciso o) (OP)'!N367</f>
        <v>RAMOS</v>
      </c>
      <c r="L761" s="14" t="str">
        <f>'[1]V, inciso o) (OP)'!O367</f>
        <v>GARIBI</v>
      </c>
      <c r="M761" s="14" t="str">
        <f>'[1]V, inciso o) (OP)'!P367</f>
        <v>METRO ASFALTOS, S.A. DE C.V.</v>
      </c>
      <c r="N761" s="14" t="str">
        <f>'[1]V, inciso o) (OP)'!Q367</f>
        <v>CMA070307RU6</v>
      </c>
      <c r="O761" s="15">
        <f t="shared" si="23"/>
        <v>1696874.24</v>
      </c>
      <c r="P761" s="15">
        <v>1696874.24</v>
      </c>
      <c r="Q761" s="22" t="s">
        <v>1302</v>
      </c>
      <c r="R761" s="22">
        <f>O761/6343</f>
        <v>267.5191928109727</v>
      </c>
      <c r="S761" s="12" t="s">
        <v>42</v>
      </c>
      <c r="T761" s="17">
        <v>215048</v>
      </c>
      <c r="U761" s="14" t="s">
        <v>43</v>
      </c>
      <c r="V761" s="12" t="s">
        <v>378</v>
      </c>
      <c r="W761" s="13">
        <f>'[1]V, inciso o) (OP)'!AD367</f>
        <v>43192</v>
      </c>
      <c r="X761" s="13">
        <f>'[1]V, inciso o) (OP)'!AE367</f>
        <v>43251</v>
      </c>
      <c r="Y761" s="12" t="s">
        <v>531</v>
      </c>
      <c r="Z761" s="12" t="s">
        <v>532</v>
      </c>
      <c r="AA761" s="12" t="s">
        <v>533</v>
      </c>
      <c r="AB761" s="8" t="s">
        <v>1997</v>
      </c>
      <c r="AC761" s="14" t="s">
        <v>48</v>
      </c>
      <c r="AD761" s="14"/>
    </row>
    <row r="762" spans="1:30" ht="80.099999999999994" customHeight="1">
      <c r="A762" s="5">
        <v>122</v>
      </c>
      <c r="B762" s="12">
        <v>2018</v>
      </c>
      <c r="C762" s="12" t="s">
        <v>65</v>
      </c>
      <c r="D762" s="14" t="str">
        <f>'[1]V, inciso o) (OP)'!C368</f>
        <v>DOPI-MUN-RM-BACHEO-AD-122-2018</v>
      </c>
      <c r="E762" s="13">
        <f>'[1]V, inciso o) (OP)'!V368</f>
        <v>43187</v>
      </c>
      <c r="F762" s="14" t="str">
        <f>'[1]V, inciso o) (OP)'!AA368</f>
        <v>Programa municipal de bacheo superficial aislado y nivelación con mezcla asfáltica en caliente en vialidades, Zona Centro, frente 1, municipio de Zapopan, Jalisco.</v>
      </c>
      <c r="G762" s="14" t="s">
        <v>499</v>
      </c>
      <c r="H762" s="15">
        <f>'[1]V, inciso o) (OP)'!Y368</f>
        <v>1764325.15</v>
      </c>
      <c r="I762" s="14" t="s">
        <v>1303</v>
      </c>
      <c r="J762" s="14" t="str">
        <f>'[1]V, inciso o) (OP)'!M368</f>
        <v>JESÚS DAVID</v>
      </c>
      <c r="K762" s="14" t="str">
        <f>'[1]V, inciso o) (OP)'!N368</f>
        <v xml:space="preserve">GARZA </v>
      </c>
      <c r="L762" s="14" t="str">
        <f>'[1]V, inciso o) (OP)'!O368</f>
        <v>GARCÍA</v>
      </c>
      <c r="M762" s="14" t="str">
        <f>'[1]V, inciso o) (OP)'!P368</f>
        <v>CONSTRUCCIÓNES  ELECTRIFICACIONES Y ARRENDAMIENTO DE MAQUINARIA S.A. DE C.V.</v>
      </c>
      <c r="N762" s="14" t="str">
        <f>'[1]V, inciso o) (OP)'!Q368</f>
        <v>CEA010615GT0</v>
      </c>
      <c r="O762" s="15">
        <f t="shared" si="23"/>
        <v>1764325.15</v>
      </c>
      <c r="P762" s="15">
        <v>1764325.1600000001</v>
      </c>
      <c r="Q762" s="22" t="s">
        <v>1304</v>
      </c>
      <c r="R762" s="22">
        <f>O762/6596</f>
        <v>267.48410400242568</v>
      </c>
      <c r="S762" s="12" t="s">
        <v>42</v>
      </c>
      <c r="T762" s="17">
        <v>423156</v>
      </c>
      <c r="U762" s="14" t="s">
        <v>43</v>
      </c>
      <c r="V762" s="12" t="s">
        <v>378</v>
      </c>
      <c r="W762" s="13">
        <f>'[1]V, inciso o) (OP)'!AD368</f>
        <v>43192</v>
      </c>
      <c r="X762" s="13">
        <f>'[1]V, inciso o) (OP)'!AE368</f>
        <v>43251</v>
      </c>
      <c r="Y762" s="12" t="s">
        <v>531</v>
      </c>
      <c r="Z762" s="12" t="s">
        <v>532</v>
      </c>
      <c r="AA762" s="12" t="s">
        <v>533</v>
      </c>
      <c r="AB762" s="8" t="s">
        <v>1869</v>
      </c>
      <c r="AC762" s="14" t="s">
        <v>48</v>
      </c>
      <c r="AD762" s="14"/>
    </row>
    <row r="763" spans="1:30" ht="80.099999999999994" customHeight="1">
      <c r="A763" s="5">
        <v>123</v>
      </c>
      <c r="B763" s="12">
        <v>2018</v>
      </c>
      <c r="C763" s="12" t="s">
        <v>65</v>
      </c>
      <c r="D763" s="14" t="str">
        <f>'[1]V, inciso o) (OP)'!C369</f>
        <v>DOPI-MUN-RM-CALAFATEO-AD-123-2018</v>
      </c>
      <c r="E763" s="13">
        <f>'[1]V, inciso o) (OP)'!V369</f>
        <v>43187</v>
      </c>
      <c r="F763" s="14" t="str">
        <f>'[1]V, inciso o) (OP)'!AA369</f>
        <v>Programa municipal de calafateo en juntas y grietas de pavimentos hidráulicos con sellador asfaltico en vialidades, Zona Centro, frente 1, municipio de Zapopan, Jalisco.</v>
      </c>
      <c r="G763" s="14" t="s">
        <v>499</v>
      </c>
      <c r="H763" s="15">
        <f>'[1]V, inciso o) (OP)'!Y369</f>
        <v>1776315.78</v>
      </c>
      <c r="I763" s="14" t="s">
        <v>1303</v>
      </c>
      <c r="J763" s="14" t="str">
        <f>'[1]V, inciso o) (OP)'!M369</f>
        <v>OSCAR MELESIO</v>
      </c>
      <c r="K763" s="14" t="str">
        <f>'[1]V, inciso o) (OP)'!N369</f>
        <v>HERNÁNDEZ</v>
      </c>
      <c r="L763" s="14" t="str">
        <f>'[1]V, inciso o) (OP)'!O369</f>
        <v>VALERIANO</v>
      </c>
      <c r="M763" s="14" t="str">
        <f>'[1]V, inciso o) (OP)'!P369</f>
        <v>CONSTRUCTORA GRINA, S.A. DE C.V.</v>
      </c>
      <c r="N763" s="14" t="str">
        <f>'[1]V, inciso o) (OP)'!Q369</f>
        <v>CGR120828P29</v>
      </c>
      <c r="O763" s="15">
        <f t="shared" si="23"/>
        <v>1776315.78</v>
      </c>
      <c r="P763" s="15">
        <f>O763</f>
        <v>1776315.78</v>
      </c>
      <c r="Q763" s="22" t="s">
        <v>1305</v>
      </c>
      <c r="R763" s="22">
        <f>O763/36185</f>
        <v>49.089837778084842</v>
      </c>
      <c r="S763" s="12" t="s">
        <v>42</v>
      </c>
      <c r="T763" s="17">
        <v>423156</v>
      </c>
      <c r="U763" s="14" t="s">
        <v>43</v>
      </c>
      <c r="V763" s="12" t="s">
        <v>378</v>
      </c>
      <c r="W763" s="13">
        <f>'[1]V, inciso o) (OP)'!AD369</f>
        <v>43192</v>
      </c>
      <c r="X763" s="13">
        <f>'[1]V, inciso o) (OP)'!AE369</f>
        <v>43281</v>
      </c>
      <c r="Y763" s="12" t="s">
        <v>531</v>
      </c>
      <c r="Z763" s="12" t="s">
        <v>532</v>
      </c>
      <c r="AA763" s="12" t="s">
        <v>533</v>
      </c>
      <c r="AB763" s="8" t="s">
        <v>1870</v>
      </c>
      <c r="AC763" s="14" t="s">
        <v>48</v>
      </c>
      <c r="AD763" s="14" t="s">
        <v>1571</v>
      </c>
    </row>
    <row r="764" spans="1:30" ht="80.099999999999994" customHeight="1">
      <c r="A764" s="5">
        <v>124</v>
      </c>
      <c r="B764" s="12">
        <v>2018</v>
      </c>
      <c r="C764" s="12" t="s">
        <v>65</v>
      </c>
      <c r="D764" s="14" t="str">
        <f>'[1]V, inciso o) (OP)'!C370</f>
        <v>DOPI-MUN-RM-CALAFATEO-AD-124-2018</v>
      </c>
      <c r="E764" s="13">
        <f>'[1]V, inciso o) (OP)'!V370</f>
        <v>43187</v>
      </c>
      <c r="F764" s="14" t="str">
        <f>'[1]V, inciso o) (OP)'!AA370</f>
        <v>Programa municipal de calafateo en juntas y grietas de pavimentos hidráulicos con sellador asfaltico en vialidades, Zona Sur Poniente, frente 1, municipio de Zapopan, Jalisco.</v>
      </c>
      <c r="G764" s="14" t="s">
        <v>499</v>
      </c>
      <c r="H764" s="15">
        <f>'[1]V, inciso o) (OP)'!Y370</f>
        <v>1692436.74</v>
      </c>
      <c r="I764" s="14" t="s">
        <v>1306</v>
      </c>
      <c r="J764" s="14" t="str">
        <f>'[1]V, inciso o) (OP)'!M370</f>
        <v>JOSÉ DE JESÚS</v>
      </c>
      <c r="K764" s="14" t="str">
        <f>'[1]V, inciso o) (OP)'!N370</f>
        <v>PALAFOX</v>
      </c>
      <c r="L764" s="14" t="str">
        <f>'[1]V, inciso o) (OP)'!O370</f>
        <v>VILLEGAS</v>
      </c>
      <c r="M764" s="14" t="str">
        <f>'[1]V, inciso o) (OP)'!P370</f>
        <v>MEGAENLACE CONSTRUCCIÓNES S.A. DE C.V.</v>
      </c>
      <c r="N764" s="14" t="str">
        <f>'[1]V, inciso o) (OP)'!Q370</f>
        <v>MCO1510113H8</v>
      </c>
      <c r="O764" s="15">
        <f t="shared" si="23"/>
        <v>1692436.74</v>
      </c>
      <c r="P764" s="24" t="s">
        <v>1656</v>
      </c>
      <c r="Q764" s="22" t="s">
        <v>1307</v>
      </c>
      <c r="R764" s="22">
        <f>O764/34476</f>
        <v>49.090287156282628</v>
      </c>
      <c r="S764" s="12" t="s">
        <v>42</v>
      </c>
      <c r="T764" s="17">
        <v>268402</v>
      </c>
      <c r="U764" s="14" t="s">
        <v>43</v>
      </c>
      <c r="V764" s="12" t="s">
        <v>378</v>
      </c>
      <c r="W764" s="13">
        <f>'[1]V, inciso o) (OP)'!AD370</f>
        <v>43192</v>
      </c>
      <c r="X764" s="13">
        <f>'[1]V, inciso o) (OP)'!AE370</f>
        <v>43281</v>
      </c>
      <c r="Y764" s="12" t="s">
        <v>531</v>
      </c>
      <c r="Z764" s="12" t="s">
        <v>532</v>
      </c>
      <c r="AA764" s="12" t="s">
        <v>533</v>
      </c>
      <c r="AB764" s="8" t="s">
        <v>1871</v>
      </c>
      <c r="AC764" s="14" t="s">
        <v>48</v>
      </c>
      <c r="AD764" s="14"/>
    </row>
    <row r="765" spans="1:30" ht="80.099999999999994" customHeight="1">
      <c r="A765" s="5">
        <v>125</v>
      </c>
      <c r="B765" s="12">
        <v>2018</v>
      </c>
      <c r="C765" s="12" t="s">
        <v>65</v>
      </c>
      <c r="D765" s="14" t="str">
        <f>'[1]V, inciso o) (OP)'!C371</f>
        <v>DOPI-MUN-RM-DES-AD-125-2018</v>
      </c>
      <c r="E765" s="13">
        <f>'[1]V, inciso o) (OP)'!V371</f>
        <v>43203</v>
      </c>
      <c r="F765" s="14" t="str">
        <f>'[1]V, inciso o) (OP)'!AA371</f>
        <v>Desazolve, limpieza, rectificación y obras de protección de cauce y canal del Arroyo Garabato de Arenales Tapatíos a Periférico, municipio de Zapopan, Jalisco, primera etapa.</v>
      </c>
      <c r="G765" s="14" t="s">
        <v>499</v>
      </c>
      <c r="H765" s="15">
        <f>'[1]V, inciso o) (OP)'!Y371</f>
        <v>1595324.1</v>
      </c>
      <c r="I765" s="14" t="s">
        <v>1308</v>
      </c>
      <c r="J765" s="14" t="str">
        <f>'[1]V, inciso o) (OP)'!M371</f>
        <v>DARIO</v>
      </c>
      <c r="K765" s="14" t="str">
        <f>'[1]V, inciso o) (OP)'!N371</f>
        <v>HURTADO</v>
      </c>
      <c r="L765" s="14" t="str">
        <f>'[1]V, inciso o) (OP)'!O371</f>
        <v>SERRANO</v>
      </c>
      <c r="M765" s="14" t="str">
        <f>'[1]V, inciso o) (OP)'!P371</f>
        <v>EDH INGENIERIA Y DISEÑO, S.A. DE C.V.</v>
      </c>
      <c r="N765" s="14" t="str">
        <f>'[1]V, inciso o) (OP)'!Q371</f>
        <v>EID120425SQ2</v>
      </c>
      <c r="O765" s="15">
        <f t="shared" si="23"/>
        <v>1595324.1</v>
      </c>
      <c r="P765" s="15">
        <f t="shared" ref="P765:P807" si="24">O765</f>
        <v>1595324.1</v>
      </c>
      <c r="Q765" s="21" t="s">
        <v>1194</v>
      </c>
      <c r="R765" s="22">
        <f>H765/3165</f>
        <v>504.05184834123224</v>
      </c>
      <c r="S765" s="12" t="s">
        <v>42</v>
      </c>
      <c r="T765" s="17">
        <v>3863</v>
      </c>
      <c r="U765" s="14" t="s">
        <v>43</v>
      </c>
      <c r="V765" s="12" t="s">
        <v>378</v>
      </c>
      <c r="W765" s="13">
        <f>'[1]V, inciso o) (OP)'!AD371</f>
        <v>43206</v>
      </c>
      <c r="X765" s="13">
        <f>'[1]V, inciso o) (OP)'!AE371</f>
        <v>43251</v>
      </c>
      <c r="Y765" s="12" t="s">
        <v>735</v>
      </c>
      <c r="Z765" s="12" t="s">
        <v>236</v>
      </c>
      <c r="AA765" s="12" t="s">
        <v>147</v>
      </c>
      <c r="AB765" s="8" t="s">
        <v>1872</v>
      </c>
      <c r="AC765" s="14" t="s">
        <v>48</v>
      </c>
      <c r="AD765" s="14" t="s">
        <v>1571</v>
      </c>
    </row>
    <row r="766" spans="1:30" ht="80.099999999999994" customHeight="1">
      <c r="A766" s="5">
        <v>126</v>
      </c>
      <c r="B766" s="12">
        <v>2018</v>
      </c>
      <c r="C766" s="12" t="s">
        <v>65</v>
      </c>
      <c r="D766" s="14" t="str">
        <f>'[1]V, inciso o) (OP)'!C372</f>
        <v>DOPI-MUN-RM-DES-AD-126-2018</v>
      </c>
      <c r="E766" s="13">
        <f>'[1]V, inciso o) (OP)'!V372</f>
        <v>43203</v>
      </c>
      <c r="F766" s="14" t="str">
        <f>'[1]V, inciso o) (OP)'!AA372</f>
        <v>Desazolve, limpieza, rectificación y obras de protección de cauce y canal del Arroyo Seco de Lomas de la Primavera a Periférico, municipio de Zapopan, Jalisco, primera etapa.</v>
      </c>
      <c r="G766" s="14" t="s">
        <v>499</v>
      </c>
      <c r="H766" s="15">
        <f>'[1]V, inciso o) (OP)'!Y372</f>
        <v>1686334.79</v>
      </c>
      <c r="I766" s="14" t="s">
        <v>1169</v>
      </c>
      <c r="J766" s="14" t="str">
        <f>'[1]V, inciso o) (OP)'!M372</f>
        <v>MA. LUIZA</v>
      </c>
      <c r="K766" s="14" t="str">
        <f>'[1]V, inciso o) (OP)'!N372</f>
        <v>MARTÍNEZ</v>
      </c>
      <c r="L766" s="14" t="str">
        <f>'[1]V, inciso o) (OP)'!O372</f>
        <v>ALMARAZ</v>
      </c>
      <c r="M766" s="14" t="str">
        <f>'[1]V, inciso o) (OP)'!P372</f>
        <v>J&amp;L ASESORIA Y SERVICIOS, S.A. DE C.V.</v>
      </c>
      <c r="N766" s="14" t="str">
        <f>'[1]V, inciso o) (OP)'!Q372</f>
        <v>JAS170622TX0</v>
      </c>
      <c r="O766" s="15">
        <f t="shared" si="23"/>
        <v>1686334.79</v>
      </c>
      <c r="P766" s="15">
        <f t="shared" si="24"/>
        <v>1686334.79</v>
      </c>
      <c r="Q766" s="21" t="s">
        <v>1309</v>
      </c>
      <c r="R766" s="22">
        <f>H766/2856</f>
        <v>590.45335784313727</v>
      </c>
      <c r="S766" s="12" t="s">
        <v>42</v>
      </c>
      <c r="T766" s="17">
        <v>3843</v>
      </c>
      <c r="U766" s="14" t="s">
        <v>43</v>
      </c>
      <c r="V766" s="12" t="s">
        <v>378</v>
      </c>
      <c r="W766" s="13">
        <f>'[1]V, inciso o) (OP)'!AD372</f>
        <v>43206</v>
      </c>
      <c r="X766" s="13">
        <f>'[1]V, inciso o) (OP)'!AE372</f>
        <v>43281</v>
      </c>
      <c r="Y766" s="12" t="s">
        <v>439</v>
      </c>
      <c r="Z766" s="12" t="s">
        <v>186</v>
      </c>
      <c r="AA766" s="12" t="s">
        <v>92</v>
      </c>
      <c r="AB766" s="8" t="s">
        <v>1873</v>
      </c>
      <c r="AC766" s="14" t="s">
        <v>48</v>
      </c>
      <c r="AD766" s="14" t="s">
        <v>1571</v>
      </c>
    </row>
    <row r="767" spans="1:30" ht="80.099999999999994" customHeight="1">
      <c r="A767" s="5">
        <v>127</v>
      </c>
      <c r="B767" s="12">
        <v>2018</v>
      </c>
      <c r="C767" s="12" t="s">
        <v>65</v>
      </c>
      <c r="D767" s="14" t="str">
        <f>'[1]V, inciso o) (OP)'!C373</f>
        <v>DOPI-MUN-CUSMAX-IM-AD-127-2018</v>
      </c>
      <c r="E767" s="13">
        <f>'[1]V, inciso o) (OP)'!V373</f>
        <v>43203</v>
      </c>
      <c r="F767" s="14" t="str">
        <f>'[1]V, inciso o) (OP)'!AA373</f>
        <v>Construcción de la cimentación y cisternas en la estación de bomberos, ubicada en Av. Universidad, municipio de Zapopan, Jalisco.</v>
      </c>
      <c r="G767" s="14" t="s">
        <v>499</v>
      </c>
      <c r="H767" s="15">
        <f>'[1]V, inciso o) (OP)'!Y373</f>
        <v>1765454.36</v>
      </c>
      <c r="I767" s="14" t="s">
        <v>1310</v>
      </c>
      <c r="J767" s="14" t="str">
        <f>'[1]V, inciso o) (OP)'!M373</f>
        <v>RICARDO</v>
      </c>
      <c r="K767" s="14" t="str">
        <f>'[1]V, inciso o) (OP)'!N373</f>
        <v>HARO</v>
      </c>
      <c r="L767" s="14" t="str">
        <f>'[1]V, inciso o) (OP)'!O373</f>
        <v>BUGARIN</v>
      </c>
      <c r="M767" s="14" t="str">
        <f>'[1]V, inciso o) (OP)'!P373</f>
        <v>CENTRAL EDIFICACIONES, S.A. DE C.V.</v>
      </c>
      <c r="N767" s="14" t="str">
        <f>'[1]V, inciso o) (OP)'!Q373</f>
        <v>CED030514T47</v>
      </c>
      <c r="O767" s="15">
        <f t="shared" si="23"/>
        <v>1765454.36</v>
      </c>
      <c r="P767" s="15">
        <f t="shared" si="24"/>
        <v>1765454.36</v>
      </c>
      <c r="Q767" s="21" t="s">
        <v>1311</v>
      </c>
      <c r="R767" s="22">
        <f>H767/628</f>
        <v>2811.233057324841</v>
      </c>
      <c r="S767" s="12" t="s">
        <v>42</v>
      </c>
      <c r="T767" s="17">
        <v>1332272</v>
      </c>
      <c r="U767" s="14" t="s">
        <v>43</v>
      </c>
      <c r="V767" s="12" t="s">
        <v>378</v>
      </c>
      <c r="W767" s="13">
        <f>'[1]V, inciso o) (OP)'!AD373</f>
        <v>43206</v>
      </c>
      <c r="X767" s="13">
        <f>'[1]V, inciso o) (OP)'!AE373</f>
        <v>43281</v>
      </c>
      <c r="Y767" s="12" t="s">
        <v>875</v>
      </c>
      <c r="Z767" s="12" t="s">
        <v>876</v>
      </c>
      <c r="AA767" s="12" t="s">
        <v>877</v>
      </c>
      <c r="AB767" s="8" t="s">
        <v>1998</v>
      </c>
      <c r="AC767" s="14" t="s">
        <v>48</v>
      </c>
      <c r="AD767" s="14" t="s">
        <v>1571</v>
      </c>
    </row>
    <row r="768" spans="1:30" ht="80.099999999999994" customHeight="1">
      <c r="A768" s="5">
        <v>128</v>
      </c>
      <c r="B768" s="12">
        <v>2018</v>
      </c>
      <c r="C768" s="12" t="s">
        <v>65</v>
      </c>
      <c r="D768" s="14" t="str">
        <f>'[1]V, inciso o) (OP)'!C374</f>
        <v>DOPI-MUN-R33-DS-AD-128-2018</v>
      </c>
      <c r="E768" s="13">
        <f>'[1]V, inciso o) (OP)'!V374</f>
        <v>43187</v>
      </c>
      <c r="F768" s="14" t="str">
        <f>'[1]V, inciso o) (OP)'!AA374</f>
        <v>Construcción de red de drenaje en la Lateral Prolongación Mariano Otero, colonia Puerta del Bosque, municipio de Zapopan, Jalisco.</v>
      </c>
      <c r="G768" s="14" t="s">
        <v>499</v>
      </c>
      <c r="H768" s="15">
        <f>'[1]V, inciso o) (OP)'!Y374</f>
        <v>720360.47</v>
      </c>
      <c r="I768" s="14" t="s">
        <v>1312</v>
      </c>
      <c r="J768" s="14" t="str">
        <f>'[1]V, inciso o) (OP)'!M374</f>
        <v>JOSÉ DE JESÚS</v>
      </c>
      <c r="K768" s="14" t="str">
        <f>'[1]V, inciso o) (OP)'!N374</f>
        <v>PALAFOX</v>
      </c>
      <c r="L768" s="14" t="str">
        <f>'[1]V, inciso o) (OP)'!O374</f>
        <v>VILLEGAS</v>
      </c>
      <c r="M768" s="14" t="str">
        <f>'[1]V, inciso o) (OP)'!P374</f>
        <v>MEGAENLACE CONSTRUCCIÓNES S.A. DE C.V.</v>
      </c>
      <c r="N768" s="14" t="str">
        <f>'[1]V, inciso o) (OP)'!Q374</f>
        <v>MCO1510113H8</v>
      </c>
      <c r="O768" s="15">
        <f t="shared" si="23"/>
        <v>720360.47</v>
      </c>
      <c r="P768" s="15">
        <f t="shared" si="24"/>
        <v>720360.47</v>
      </c>
      <c r="Q768" s="21" t="s">
        <v>1313</v>
      </c>
      <c r="R768" s="22">
        <f>H768/250</f>
        <v>2881.4418799999999</v>
      </c>
      <c r="S768" s="12" t="s">
        <v>42</v>
      </c>
      <c r="T768" s="17">
        <v>126</v>
      </c>
      <c r="U768" s="14" t="s">
        <v>43</v>
      </c>
      <c r="V768" s="12" t="s">
        <v>378</v>
      </c>
      <c r="W768" s="13">
        <f>'[1]V, inciso o) (OP)'!AD374</f>
        <v>43192</v>
      </c>
      <c r="X768" s="13">
        <f>'[1]V, inciso o) (OP)'!AE374</f>
        <v>43266</v>
      </c>
      <c r="Y768" s="12" t="s">
        <v>794</v>
      </c>
      <c r="Z768" s="12" t="s">
        <v>743</v>
      </c>
      <c r="AA768" s="12" t="s">
        <v>744</v>
      </c>
      <c r="AB768" s="8" t="s">
        <v>1874</v>
      </c>
      <c r="AC768" s="14" t="s">
        <v>48</v>
      </c>
      <c r="AD768" s="14" t="s">
        <v>1571</v>
      </c>
    </row>
    <row r="769" spans="1:30" ht="80.099999999999994" customHeight="1">
      <c r="A769" s="5">
        <v>129</v>
      </c>
      <c r="B769" s="12">
        <v>2018</v>
      </c>
      <c r="C769" s="12" t="s">
        <v>65</v>
      </c>
      <c r="D769" s="14" t="str">
        <f>'[1]V, inciso o) (OP)'!C375</f>
        <v>DOPI-MUN-R33-APDS-AD-129-2018</v>
      </c>
      <c r="E769" s="13">
        <f>'[1]V, inciso o) (OP)'!V375</f>
        <v>43187</v>
      </c>
      <c r="F769" s="14" t="str">
        <f>'[1]V, inciso o) (OP)'!AA375</f>
        <v>Construcción de líneas de drenaje y agua potable en la calle Belisario Domínguez, en la colonia Mariano Otero, municipio de Zapopan, Jalisco.</v>
      </c>
      <c r="G769" s="14" t="s">
        <v>499</v>
      </c>
      <c r="H769" s="15">
        <f>'[1]V, inciso o) (OP)'!Y375</f>
        <v>539750.36</v>
      </c>
      <c r="I769" s="14" t="s">
        <v>1314</v>
      </c>
      <c r="J769" s="14" t="str">
        <f>'[1]V, inciso o) (OP)'!M375</f>
        <v>JOSÉ DE JESÚS</v>
      </c>
      <c r="K769" s="14" t="str">
        <f>'[1]V, inciso o) (OP)'!N375</f>
        <v>MARQUEZ</v>
      </c>
      <c r="L769" s="14" t="str">
        <f>'[1]V, inciso o) (OP)'!O375</f>
        <v>ÁVILA</v>
      </c>
      <c r="M769" s="14" t="str">
        <f>'[1]V, inciso o) (OP)'!P375</f>
        <v>FUTUROBRAS, S.A. DE C.V.</v>
      </c>
      <c r="N769" s="14" t="str">
        <f>'[1]V, inciso o) (OP)'!Q375</f>
        <v>FUT1110275V9</v>
      </c>
      <c r="O769" s="15">
        <f t="shared" si="23"/>
        <v>539750.36</v>
      </c>
      <c r="P769" s="15">
        <f t="shared" si="24"/>
        <v>539750.36</v>
      </c>
      <c r="Q769" s="21" t="s">
        <v>1315</v>
      </c>
      <c r="R769" s="22">
        <f>H769/170</f>
        <v>3175.0021176470586</v>
      </c>
      <c r="S769" s="12" t="s">
        <v>42</v>
      </c>
      <c r="T769" s="17">
        <v>186</v>
      </c>
      <c r="U769" s="14" t="s">
        <v>43</v>
      </c>
      <c r="V769" s="12" t="s">
        <v>378</v>
      </c>
      <c r="W769" s="13">
        <f>'[1]V, inciso o) (OP)'!AD375</f>
        <v>43192</v>
      </c>
      <c r="X769" s="13">
        <f>'[1]V, inciso o) (OP)'!AE375</f>
        <v>43266</v>
      </c>
      <c r="Y769" s="12" t="s">
        <v>794</v>
      </c>
      <c r="Z769" s="12" t="s">
        <v>833</v>
      </c>
      <c r="AA769" s="12" t="s">
        <v>191</v>
      </c>
      <c r="AB769" s="8" t="s">
        <v>1875</v>
      </c>
      <c r="AC769" s="14" t="s">
        <v>48</v>
      </c>
      <c r="AD769" s="14" t="s">
        <v>1571</v>
      </c>
    </row>
    <row r="770" spans="1:30" ht="80.099999999999994" customHeight="1">
      <c r="A770" s="5">
        <v>130</v>
      </c>
      <c r="B770" s="12">
        <v>2018</v>
      </c>
      <c r="C770" s="12" t="s">
        <v>65</v>
      </c>
      <c r="D770" s="14" t="str">
        <f>'[1]V, inciso o) (OP)'!C376</f>
        <v>DOPI-MUN-R33-APDS-AD-130-2018</v>
      </c>
      <c r="E770" s="13">
        <f>'[1]V, inciso o) (OP)'!V376</f>
        <v>43187</v>
      </c>
      <c r="F770" s="14" t="str">
        <f>'[1]V, inciso o) (OP)'!AA376</f>
        <v>Construcción de líneas de drenaje y agua potable en la colonia Miramar, municipio de Zapopan, Jalisco.</v>
      </c>
      <c r="G770" s="14" t="s">
        <v>499</v>
      </c>
      <c r="H770" s="15">
        <f>'[1]V, inciso o) (OP)'!Y376</f>
        <v>1207386.1599999999</v>
      </c>
      <c r="I770" s="14" t="s">
        <v>1202</v>
      </c>
      <c r="J770" s="14" t="str">
        <f>'[1]V, inciso o) (OP)'!M376</f>
        <v>ALEJANDRO</v>
      </c>
      <c r="K770" s="14" t="str">
        <f>'[1]V, inciso o) (OP)'!N376</f>
        <v>MONTUFAR</v>
      </c>
      <c r="L770" s="14" t="str">
        <f>'[1]V, inciso o) (OP)'!O376</f>
        <v>NUÑEZ</v>
      </c>
      <c r="M770" s="14" t="str">
        <f>'[1]V, inciso o) (OP)'!P376</f>
        <v>CONSORCIO CONSTRUCTOR VALVULA S.A. DE C.V.</v>
      </c>
      <c r="N770" s="14" t="str">
        <f>'[1]V, inciso o) (OP)'!Q376</f>
        <v>CCV120524J49</v>
      </c>
      <c r="O770" s="15">
        <f t="shared" si="23"/>
        <v>1207386.1599999999</v>
      </c>
      <c r="P770" s="15">
        <f t="shared" si="24"/>
        <v>1207386.1599999999</v>
      </c>
      <c r="Q770" s="21" t="s">
        <v>1297</v>
      </c>
      <c r="R770" s="22">
        <f>H770/385</f>
        <v>3136.067948051948</v>
      </c>
      <c r="S770" s="12" t="s">
        <v>42</v>
      </c>
      <c r="T770" s="17">
        <v>498</v>
      </c>
      <c r="U770" s="14" t="s">
        <v>43</v>
      </c>
      <c r="V770" s="12" t="s">
        <v>378</v>
      </c>
      <c r="W770" s="13">
        <f>'[1]V, inciso o) (OP)'!AD376</f>
        <v>43192</v>
      </c>
      <c r="X770" s="13">
        <f>'[1]V, inciso o) (OP)'!AE376</f>
        <v>43251</v>
      </c>
      <c r="Y770" s="12" t="s">
        <v>794</v>
      </c>
      <c r="Z770" s="12" t="s">
        <v>833</v>
      </c>
      <c r="AA770" s="12" t="s">
        <v>191</v>
      </c>
      <c r="AB770" s="8" t="s">
        <v>1999</v>
      </c>
      <c r="AC770" s="14" t="s">
        <v>48</v>
      </c>
      <c r="AD770" s="14" t="s">
        <v>1571</v>
      </c>
    </row>
    <row r="771" spans="1:30" ht="80.099999999999994" customHeight="1">
      <c r="A771" s="5">
        <v>131</v>
      </c>
      <c r="B771" s="12">
        <v>2018</v>
      </c>
      <c r="C771" s="12" t="s">
        <v>65</v>
      </c>
      <c r="D771" s="14" t="str">
        <f>'[1]V, inciso o) (OP)'!C377</f>
        <v>DOPI-MUN-RM-APDS-AD-131-2018</v>
      </c>
      <c r="E771" s="13">
        <f>'[1]V, inciso o) (OP)'!V377</f>
        <v>43220</v>
      </c>
      <c r="F771" s="14" t="str">
        <f>'[1]V, inciso o) (OP)'!AA377</f>
        <v>Construcción de red de drenaje y agua potable en la Privada Diaz, colonia California; Seccionamiento de red distribución en el crucero ubicado sobre la Av. Aviación en su cruce con Paseo San Arturo, en la localidad de San Juan de Ocotán, municipio de Zapopan, Jalisco.</v>
      </c>
      <c r="G771" s="14" t="s">
        <v>499</v>
      </c>
      <c r="H771" s="15">
        <f>'[1]V, inciso o) (OP)'!Y377</f>
        <v>538548.63</v>
      </c>
      <c r="I771" s="14" t="s">
        <v>1316</v>
      </c>
      <c r="J771" s="14" t="str">
        <f>'[1]V, inciso o) (OP)'!M377</f>
        <v>FRANCISCO JAVIER</v>
      </c>
      <c r="K771" s="14" t="str">
        <f>'[1]V, inciso o) (OP)'!N377</f>
        <v>AYALA</v>
      </c>
      <c r="L771" s="14" t="str">
        <f>'[1]V, inciso o) (OP)'!O377</f>
        <v>LEAL</v>
      </c>
      <c r="M771" s="14" t="str">
        <f>'[1]V, inciso o) (OP)'!P377</f>
        <v>OBRAS Y PROYECTOS ACUARIO, S.A. DE C.V.</v>
      </c>
      <c r="N771" s="14" t="str">
        <f>'[1]V, inciso o) (OP)'!Q377</f>
        <v>OPA140403K72</v>
      </c>
      <c r="O771" s="15">
        <f t="shared" si="23"/>
        <v>538548.63</v>
      </c>
      <c r="P771" s="15">
        <f t="shared" si="24"/>
        <v>538548.63</v>
      </c>
      <c r="Q771" s="21" t="s">
        <v>671</v>
      </c>
      <c r="R771" s="22">
        <f>O771/112</f>
        <v>4808.469910714286</v>
      </c>
      <c r="S771" s="12" t="s">
        <v>42</v>
      </c>
      <c r="T771" s="17">
        <v>691</v>
      </c>
      <c r="U771" s="14" t="s">
        <v>43</v>
      </c>
      <c r="V771" s="12" t="s">
        <v>378</v>
      </c>
      <c r="W771" s="13">
        <f>'[1]V, inciso o) (OP)'!AD377</f>
        <v>43222</v>
      </c>
      <c r="X771" s="13">
        <f>'[1]V, inciso o) (OP)'!AE377</f>
        <v>43266</v>
      </c>
      <c r="Y771" s="12" t="s">
        <v>399</v>
      </c>
      <c r="Z771" s="12" t="s">
        <v>284</v>
      </c>
      <c r="AA771" s="12" t="s">
        <v>81</v>
      </c>
      <c r="AB771" s="8" t="s">
        <v>2000</v>
      </c>
      <c r="AC771" s="14" t="s">
        <v>48</v>
      </c>
      <c r="AD771" s="14" t="s">
        <v>1571</v>
      </c>
    </row>
    <row r="772" spans="1:30" ht="80.099999999999994" customHeight="1">
      <c r="A772" s="5">
        <v>132</v>
      </c>
      <c r="B772" s="12">
        <v>2018</v>
      </c>
      <c r="C772" s="12" t="s">
        <v>65</v>
      </c>
      <c r="D772" s="14" t="str">
        <f>'[1]V, inciso o) (OP)'!C378</f>
        <v>DOPI-MUN-RM-PAV-AD-132-2018</v>
      </c>
      <c r="E772" s="13">
        <f>'[1]V, inciso o) (OP)'!V378</f>
        <v>43182</v>
      </c>
      <c r="F772" s="14" t="str">
        <f>'[1]V, inciso o) (OP)'!AA378</f>
        <v>Construcción de pavimento de empedrado tradicional, incluye: línea de agua potable, descargas sanitarias, guarniciones, banquetas, accesibilidad y servicios complementarios en la calle Hidalgo de las vías a Ejido y de la calle Ejido de Hidalgo a Manuel García, en la localidad La Venta del Astillero, municipio de Zapopan, Jalisco.</v>
      </c>
      <c r="G772" s="14" t="s">
        <v>499</v>
      </c>
      <c r="H772" s="15">
        <f>'[1]V, inciso o) (OP)'!Y378</f>
        <v>1715654.36</v>
      </c>
      <c r="I772" s="14" t="s">
        <v>1317</v>
      </c>
      <c r="J772" s="14" t="str">
        <f>'[1]V, inciso o) (OP)'!M378</f>
        <v>JOSÉ OMAR</v>
      </c>
      <c r="K772" s="14" t="str">
        <f>'[1]V, inciso o) (OP)'!N378</f>
        <v>FERNÁNDEZ</v>
      </c>
      <c r="L772" s="14" t="str">
        <f>'[1]V, inciso o) (OP)'!O378</f>
        <v>VÁZQUEZ</v>
      </c>
      <c r="M772" s="14" t="str">
        <f>'[1]V, inciso o) (OP)'!P378</f>
        <v>JOSÉ OMAR FERNÁNDEZ VÁZQUEZ</v>
      </c>
      <c r="N772" s="14" t="str">
        <f>'[1]V, inciso o) (OP)'!Q378</f>
        <v>FEVO740619686</v>
      </c>
      <c r="O772" s="15">
        <f t="shared" si="23"/>
        <v>1715654.36</v>
      </c>
      <c r="P772" s="15">
        <f t="shared" si="24"/>
        <v>1715654.36</v>
      </c>
      <c r="Q772" s="21" t="s">
        <v>1318</v>
      </c>
      <c r="R772" s="22">
        <f>H772/2164</f>
        <v>792.81624768946403</v>
      </c>
      <c r="S772" s="12" t="s">
        <v>42</v>
      </c>
      <c r="T772" s="17">
        <v>899</v>
      </c>
      <c r="U772" s="14" t="s">
        <v>43</v>
      </c>
      <c r="V772" s="12" t="s">
        <v>378</v>
      </c>
      <c r="W772" s="13">
        <f>'[1]V, inciso o) (OP)'!AD378</f>
        <v>43185</v>
      </c>
      <c r="X772" s="13">
        <f>'[1]V, inciso o) (OP)'!AE378</f>
        <v>43281</v>
      </c>
      <c r="Y772" s="12" t="s">
        <v>399</v>
      </c>
      <c r="Z772" s="12" t="s">
        <v>284</v>
      </c>
      <c r="AA772" s="12" t="s">
        <v>81</v>
      </c>
      <c r="AB772" s="8" t="s">
        <v>1876</v>
      </c>
      <c r="AC772" s="14" t="s">
        <v>48</v>
      </c>
      <c r="AD772" s="14" t="s">
        <v>1571</v>
      </c>
    </row>
    <row r="773" spans="1:30" ht="80.099999999999994" customHeight="1">
      <c r="A773" s="5">
        <v>133</v>
      </c>
      <c r="B773" s="12">
        <v>2018</v>
      </c>
      <c r="C773" s="12" t="s">
        <v>65</v>
      </c>
      <c r="D773" s="14" t="str">
        <f>'[1]V, inciso o) (OP)'!C379</f>
        <v>DOPI-MUN-RM-APDS-AD-133-2018</v>
      </c>
      <c r="E773" s="13">
        <f>'[1]V, inciso o) (OP)'!V379</f>
        <v>43187</v>
      </c>
      <c r="F773" s="14" t="str">
        <f>'[1]V, inciso o) (OP)'!AA379</f>
        <v>Sustitución de línea de agua potable y obra complementaria de la red de drenaje sanitario en las calles Quirino Rivera y Daniel Macías, colonia Villa de Guadalupe, municipio de Zapopan, Jalisco.</v>
      </c>
      <c r="G773" s="14" t="s">
        <v>499</v>
      </c>
      <c r="H773" s="15">
        <f>'[1]V, inciso o) (OP)'!Y379</f>
        <v>817165.77</v>
      </c>
      <c r="I773" s="14" t="s">
        <v>313</v>
      </c>
      <c r="J773" s="14" t="str">
        <f>'[1]V, inciso o) (OP)'!M379</f>
        <v>MELESIO</v>
      </c>
      <c r="K773" s="14" t="str">
        <f>'[1]V, inciso o) (OP)'!N379</f>
        <v>HERNÁNDEZ</v>
      </c>
      <c r="L773" s="14" t="str">
        <f>'[1]V, inciso o) (OP)'!O379</f>
        <v>MARTÍNEZ</v>
      </c>
      <c r="M773" s="14" t="str">
        <f>'[1]V, inciso o) (OP)'!P379</f>
        <v>CONSTRUCTORA VICO, S.A. DE C.V.</v>
      </c>
      <c r="N773" s="14" t="str">
        <f>'[1]V, inciso o) (OP)'!Q379</f>
        <v>CVI980213UM6</v>
      </c>
      <c r="O773" s="15">
        <f t="shared" si="23"/>
        <v>817165.77</v>
      </c>
      <c r="P773" s="15">
        <f t="shared" si="24"/>
        <v>817165.77</v>
      </c>
      <c r="Q773" s="21" t="s">
        <v>732</v>
      </c>
      <c r="R773" s="22">
        <f>H773/260</f>
        <v>3142.9452692307691</v>
      </c>
      <c r="S773" s="12" t="s">
        <v>42</v>
      </c>
      <c r="T773" s="17">
        <v>213</v>
      </c>
      <c r="U773" s="14" t="s">
        <v>43</v>
      </c>
      <c r="V773" s="12" t="s">
        <v>378</v>
      </c>
      <c r="W773" s="13">
        <f>'[1]V, inciso o) (OP)'!AD379</f>
        <v>43192</v>
      </c>
      <c r="X773" s="13">
        <f>'[1]V, inciso o) (OP)'!AE379</f>
        <v>43235</v>
      </c>
      <c r="Y773" s="12" t="s">
        <v>767</v>
      </c>
      <c r="Z773" s="12" t="s">
        <v>843</v>
      </c>
      <c r="AA773" s="12" t="s">
        <v>769</v>
      </c>
      <c r="AB773" s="14" t="s">
        <v>48</v>
      </c>
      <c r="AC773" s="14" t="s">
        <v>48</v>
      </c>
      <c r="AD773" s="14" t="s">
        <v>1571</v>
      </c>
    </row>
    <row r="774" spans="1:30" ht="80.099999999999994" customHeight="1">
      <c r="A774" s="5">
        <v>134</v>
      </c>
      <c r="B774" s="12">
        <v>2018</v>
      </c>
      <c r="C774" s="12" t="s">
        <v>65</v>
      </c>
      <c r="D774" s="14" t="str">
        <f>'[1]V, inciso o) (OP)'!C380</f>
        <v>DOPI-MUN-RM-ELE-AD-134-2018</v>
      </c>
      <c r="E774" s="13">
        <f>'[1]V, inciso o) (OP)'!V380</f>
        <v>43203</v>
      </c>
      <c r="F774" s="14" t="str">
        <f>'[1]V, inciso o) (OP)'!AA380</f>
        <v>Red de electrificación de media tensión para el cárcamo de bombeo de aguas residuales ubicado en la colonia Lomas del Centinela, municipio de Zapopan, Jalisco.</v>
      </c>
      <c r="G774" s="14" t="s">
        <v>499</v>
      </c>
      <c r="H774" s="15">
        <f>'[1]V, inciso o) (OP)'!Y380</f>
        <v>719246.56</v>
      </c>
      <c r="I774" s="14" t="s">
        <v>884</v>
      </c>
      <c r="J774" s="14" t="str">
        <f>'[1]V, inciso o) (OP)'!M380</f>
        <v>ARMANDO</v>
      </c>
      <c r="K774" s="14" t="str">
        <f>'[1]V, inciso o) (OP)'!N380</f>
        <v>ARROYO</v>
      </c>
      <c r="L774" s="14" t="str">
        <f>'[1]V, inciso o) (OP)'!O380</f>
        <v>ZEPEDA</v>
      </c>
      <c r="M774" s="14" t="str">
        <f>'[1]V, inciso o) (OP)'!P380</f>
        <v>CONSTRUCCIÓNES Y EXTRUCTURAS ITZ, S.A. DE C.V.</v>
      </c>
      <c r="N774" s="14" t="str">
        <f>'[1]V, inciso o) (OP)'!Q380</f>
        <v>CEI000807E95</v>
      </c>
      <c r="O774" s="15">
        <f t="shared" si="23"/>
        <v>719246.56</v>
      </c>
      <c r="P774" s="15">
        <f t="shared" si="24"/>
        <v>719246.56</v>
      </c>
      <c r="Q774" s="21" t="s">
        <v>829</v>
      </c>
      <c r="R774" s="22">
        <f>H774/400</f>
        <v>1798.1164000000001</v>
      </c>
      <c r="S774" s="12" t="s">
        <v>42</v>
      </c>
      <c r="T774" s="17">
        <v>895</v>
      </c>
      <c r="U774" s="14" t="s">
        <v>43</v>
      </c>
      <c r="V774" s="12" t="s">
        <v>378</v>
      </c>
      <c r="W774" s="13">
        <f>'[1]V, inciso o) (OP)'!AD380</f>
        <v>43206</v>
      </c>
      <c r="X774" s="13">
        <f>'[1]V, inciso o) (OP)'!AE380</f>
        <v>43235</v>
      </c>
      <c r="Y774" s="12" t="s">
        <v>767</v>
      </c>
      <c r="Z774" s="12" t="s">
        <v>843</v>
      </c>
      <c r="AA774" s="12" t="s">
        <v>769</v>
      </c>
      <c r="AB774" s="8" t="s">
        <v>1877</v>
      </c>
      <c r="AC774" s="14" t="s">
        <v>48</v>
      </c>
      <c r="AD774" s="14" t="s">
        <v>1571</v>
      </c>
    </row>
    <row r="775" spans="1:30" ht="80.099999999999994" customHeight="1">
      <c r="A775" s="5">
        <v>135</v>
      </c>
      <c r="B775" s="12">
        <v>2018</v>
      </c>
      <c r="C775" s="12" t="s">
        <v>65</v>
      </c>
      <c r="D775" s="14" t="str">
        <f>'[1]V, inciso o) (OP)'!C381</f>
        <v>DOPI-MUN-RM-APDS-AD-135-2018</v>
      </c>
      <c r="E775" s="13">
        <f>'[1]V, inciso o) (OP)'!V381</f>
        <v>43175</v>
      </c>
      <c r="F775" s="14" t="str">
        <f>'[1]V, inciso o) (OP)'!AA381</f>
        <v>Construcción de línea de agua potable, drenaje sanitario y subestructura de pavimento en la Av. Palmira de Jazmin a Agua Azul, colonia La Palmira, municipio de Zapopan, Jalisco</v>
      </c>
      <c r="G775" s="14" t="s">
        <v>499</v>
      </c>
      <c r="H775" s="15">
        <f>'[1]V, inciso o) (OP)'!Y381</f>
        <v>1793654.36</v>
      </c>
      <c r="I775" s="14" t="s">
        <v>1319</v>
      </c>
      <c r="J775" s="14" t="str">
        <f>'[1]V, inciso o) (OP)'!M381</f>
        <v>J. GERARDO</v>
      </c>
      <c r="K775" s="14" t="str">
        <f>'[1]V, inciso o) (OP)'!N381</f>
        <v>NICANOR</v>
      </c>
      <c r="L775" s="14" t="str">
        <f>'[1]V, inciso o) (OP)'!O381</f>
        <v>MEJIA MARISCAL</v>
      </c>
      <c r="M775" s="14" t="str">
        <f>'[1]V, inciso o) (OP)'!P381</f>
        <v>INECO CONSTRUYE, S.A. DE C.V.</v>
      </c>
      <c r="N775" s="14" t="str">
        <f>'[1]V, inciso o) (OP)'!Q381</f>
        <v>ICO980722MQ4</v>
      </c>
      <c r="O775" s="15">
        <f t="shared" si="23"/>
        <v>1793654.36</v>
      </c>
      <c r="P775" s="15">
        <f t="shared" si="24"/>
        <v>1793654.36</v>
      </c>
      <c r="Q775" s="21" t="s">
        <v>1320</v>
      </c>
      <c r="R775" s="22">
        <f>H775/5602</f>
        <v>320.18107104605502</v>
      </c>
      <c r="S775" s="12" t="s">
        <v>42</v>
      </c>
      <c r="T775" s="17">
        <v>106</v>
      </c>
      <c r="U775" s="14" t="s">
        <v>43</v>
      </c>
      <c r="V775" s="12" t="s">
        <v>378</v>
      </c>
      <c r="W775" s="13">
        <f>'[1]V, inciso o) (OP)'!AD381</f>
        <v>43178</v>
      </c>
      <c r="X775" s="13">
        <f>'[1]V, inciso o) (OP)'!AE381</f>
        <v>43251</v>
      </c>
      <c r="Y775" s="12" t="s">
        <v>735</v>
      </c>
      <c r="Z775" s="12" t="s">
        <v>236</v>
      </c>
      <c r="AA775" s="12" t="s">
        <v>147</v>
      </c>
      <c r="AB775" s="14" t="s">
        <v>48</v>
      </c>
      <c r="AC775" s="14" t="s">
        <v>48</v>
      </c>
      <c r="AD775" s="14" t="s">
        <v>1571</v>
      </c>
    </row>
    <row r="776" spans="1:30" ht="80.099999999999994" customHeight="1">
      <c r="A776" s="5">
        <v>136</v>
      </c>
      <c r="B776" s="12">
        <v>2018</v>
      </c>
      <c r="C776" s="12" t="s">
        <v>65</v>
      </c>
      <c r="D776" s="14" t="str">
        <f>'[1]V, inciso o) (OP)'!C382</f>
        <v>DOPI-MUN-RM-SERV-BACHEO-AD-136-2018</v>
      </c>
      <c r="E776" s="13">
        <f>'[1]V, inciso o) (OP)'!V382</f>
        <v>43187</v>
      </c>
      <c r="F776" s="14" t="str">
        <f>'[1]V, inciso o) (OP)'!AA382</f>
        <v>Control de calidad y muesteo de mezclas asfalticas en pavimentos para los trabajos de bacheo y calafateo 2018, municipio de Zapopan, Jalisco.</v>
      </c>
      <c r="G776" s="14" t="s">
        <v>499</v>
      </c>
      <c r="H776" s="15">
        <f>'[1]V, inciso o) (OP)'!Y382</f>
        <v>562104.06000000006</v>
      </c>
      <c r="I776" s="14" t="s">
        <v>1349</v>
      </c>
      <c r="J776" s="14" t="str">
        <f>'[1]V, inciso o) (OP)'!M382</f>
        <v>OMAR ALFREDO</v>
      </c>
      <c r="K776" s="14" t="str">
        <f>'[1]V, inciso o) (OP)'!N382</f>
        <v>MARTÍNEZ</v>
      </c>
      <c r="L776" s="14" t="str">
        <f>'[1]V, inciso o) (OP)'!O382</f>
        <v>GÓMEZ</v>
      </c>
      <c r="M776" s="14" t="str">
        <f>'[1]V, inciso o) (OP)'!P382</f>
        <v>INGENIERIA EN MECANICA DE SUELOS Y CONTROL DE OCCIDENTE, S.A. DE C.V.</v>
      </c>
      <c r="N776" s="14" t="str">
        <f>'[1]V, inciso o) (OP)'!Q382</f>
        <v>IMS060720JX9</v>
      </c>
      <c r="O776" s="15">
        <f t="shared" si="23"/>
        <v>562104.06000000006</v>
      </c>
      <c r="P776" s="15">
        <f t="shared" si="24"/>
        <v>562104.06000000006</v>
      </c>
      <c r="Q776" s="21" t="s">
        <v>124</v>
      </c>
      <c r="R776" s="22" t="s">
        <v>124</v>
      </c>
      <c r="S776" s="12" t="s">
        <v>125</v>
      </c>
      <c r="T776" s="17" t="s">
        <v>125</v>
      </c>
      <c r="U776" s="14" t="s">
        <v>43</v>
      </c>
      <c r="V776" s="12" t="s">
        <v>378</v>
      </c>
      <c r="W776" s="13">
        <f>'[1]V, inciso o) (OP)'!AD382</f>
        <v>43192</v>
      </c>
      <c r="X776" s="13">
        <f>'[1]V, inciso o) (OP)'!AE382</f>
        <v>43281</v>
      </c>
      <c r="Y776" s="12" t="s">
        <v>703</v>
      </c>
      <c r="Z776" s="12" t="s">
        <v>489</v>
      </c>
      <c r="AA776" s="12" t="s">
        <v>107</v>
      </c>
      <c r="AB776" s="8" t="s">
        <v>2001</v>
      </c>
      <c r="AC776" s="14" t="s">
        <v>48</v>
      </c>
      <c r="AD776" s="14" t="s">
        <v>1571</v>
      </c>
    </row>
    <row r="777" spans="1:30" ht="80.099999999999994" customHeight="1">
      <c r="A777" s="5">
        <v>137</v>
      </c>
      <c r="B777" s="12">
        <v>2018</v>
      </c>
      <c r="C777" s="12" t="s">
        <v>65</v>
      </c>
      <c r="D777" s="14" t="str">
        <f>'[1]V, inciso o) (OP)'!C383</f>
        <v>DOPI-MUN-RM-DS-AD-137-2018</v>
      </c>
      <c r="E777" s="13">
        <f>'[1]V, inciso o) (OP)'!V383</f>
        <v>43203</v>
      </c>
      <c r="F777" s="14" t="str">
        <f>'[1]V, inciso o) (OP)'!AA383</f>
        <v>Obra complementaria para la terminación de red de drenaje sanitario en la calle Vista al Mirador de Puesta del Sol a Vista la Campiña, en la colonia Vista Hermosa, municipio de Zapopan, Jalisco.</v>
      </c>
      <c r="G777" s="14" t="s">
        <v>499</v>
      </c>
      <c r="H777" s="15">
        <f>'[1]V, inciso o) (OP)'!Y383</f>
        <v>178291.17</v>
      </c>
      <c r="I777" s="14" t="s">
        <v>88</v>
      </c>
      <c r="J777" s="14" t="str">
        <f>'[1]V, inciso o) (OP)'!M383</f>
        <v>RAFAEL AUGUSTO</v>
      </c>
      <c r="K777" s="14" t="str">
        <f>'[1]V, inciso o) (OP)'!N383</f>
        <v>CABALLERO</v>
      </c>
      <c r="L777" s="14" t="str">
        <f>'[1]V, inciso o) (OP)'!O383</f>
        <v>QUIRARTE</v>
      </c>
      <c r="M777" s="14" t="str">
        <f>'[1]V, inciso o) (OP)'!P383</f>
        <v>PROYECTOS ARQUITECTONICOS TRIANGULO, S.A. DE C.V.</v>
      </c>
      <c r="N777" s="14" t="str">
        <f>'[1]V, inciso o) (OP)'!Q383</f>
        <v>PAT110331HH0</v>
      </c>
      <c r="O777" s="15">
        <f t="shared" si="23"/>
        <v>178291.17</v>
      </c>
      <c r="P777" s="15">
        <f t="shared" si="24"/>
        <v>178291.17</v>
      </c>
      <c r="Q777" s="21" t="s">
        <v>1154</v>
      </c>
      <c r="R777" s="22">
        <f>H777/65</f>
        <v>2742.9410769230772</v>
      </c>
      <c r="S777" s="12" t="s">
        <v>42</v>
      </c>
      <c r="T777" s="17">
        <v>121</v>
      </c>
      <c r="U777" s="14" t="s">
        <v>43</v>
      </c>
      <c r="V777" s="12" t="s">
        <v>378</v>
      </c>
      <c r="W777" s="13">
        <f>'[1]V, inciso o) (OP)'!AD383</f>
        <v>43206</v>
      </c>
      <c r="X777" s="13">
        <f>'[1]V, inciso o) (OP)'!AE383</f>
        <v>43235</v>
      </c>
      <c r="Y777" s="12" t="s">
        <v>822</v>
      </c>
      <c r="Z777" s="12" t="s">
        <v>823</v>
      </c>
      <c r="AA777" s="12" t="s">
        <v>97</v>
      </c>
      <c r="AB777" s="8" t="s">
        <v>1878</v>
      </c>
      <c r="AC777" s="14" t="s">
        <v>48</v>
      </c>
      <c r="AD777" s="14" t="s">
        <v>1571</v>
      </c>
    </row>
    <row r="778" spans="1:30" ht="80.099999999999994" customHeight="1">
      <c r="A778" s="5">
        <v>138</v>
      </c>
      <c r="B778" s="12">
        <v>2018</v>
      </c>
      <c r="C778" s="12" t="s">
        <v>65</v>
      </c>
      <c r="D778" s="14" t="str">
        <f>'[1]V, inciso o) (OP)'!C384</f>
        <v>DOPI-MUN-RM-IH-AD-138-2018</v>
      </c>
      <c r="E778" s="13">
        <f>'[1]V, inciso o) (OP)'!V384</f>
        <v>43220</v>
      </c>
      <c r="F778" s="14" t="str">
        <f>'[1]V, inciso o) (OP)'!AA384</f>
        <v>Construcción de bocas de tormenta, empedrado zampeado para protección de taludes de puentes peatonales, instalación de puente peatonal y obras complementarias en la calle Pinos entre Periodistas y Jacarandas, colonia El Centinela, municipio de Zapopan, Jalisco.</v>
      </c>
      <c r="G778" s="14" t="s">
        <v>499</v>
      </c>
      <c r="H778" s="15">
        <f>'[1]V, inciso o) (OP)'!Y384</f>
        <v>1728279.55</v>
      </c>
      <c r="I778" s="14" t="s">
        <v>1321</v>
      </c>
      <c r="J778" s="14" t="str">
        <f>'[1]V, inciso o) (OP)'!M384</f>
        <v>JOSÉ DE JESÚS</v>
      </c>
      <c r="K778" s="14" t="str">
        <f>'[1]V, inciso o) (OP)'!N384</f>
        <v>CÁRDENAS</v>
      </c>
      <c r="L778" s="14" t="str">
        <f>'[1]V, inciso o) (OP)'!O384</f>
        <v xml:space="preserve">SOLÍS </v>
      </c>
      <c r="M778" s="14" t="str">
        <f>'[1]V, inciso o) (OP)'!P384</f>
        <v>CEIESE CONSTRUCCIÓN Y EDIFICACION, S.A. DE C.V.</v>
      </c>
      <c r="N778" s="14" t="str">
        <f>'[1]V, inciso o) (OP)'!Q384</f>
        <v>CCE170517HW2</v>
      </c>
      <c r="O778" s="15">
        <f t="shared" si="23"/>
        <v>1728279.55</v>
      </c>
      <c r="P778" s="15">
        <f t="shared" si="24"/>
        <v>1728279.55</v>
      </c>
      <c r="Q778" s="21" t="s">
        <v>1207</v>
      </c>
      <c r="R778" s="22">
        <f>O778/700</f>
        <v>2468.9707857142857</v>
      </c>
      <c r="S778" s="12" t="s">
        <v>42</v>
      </c>
      <c r="T778" s="17">
        <v>2568</v>
      </c>
      <c r="U778" s="14" t="s">
        <v>43</v>
      </c>
      <c r="V778" s="12" t="s">
        <v>378</v>
      </c>
      <c r="W778" s="13">
        <f>'[1]V, inciso o) (OP)'!AD384</f>
        <v>43222</v>
      </c>
      <c r="X778" s="13">
        <f>'[1]V, inciso o) (OP)'!AE384</f>
        <v>43266</v>
      </c>
      <c r="Y778" s="12" t="s">
        <v>385</v>
      </c>
      <c r="Z778" s="12" t="s">
        <v>46</v>
      </c>
      <c r="AA778" s="12" t="s">
        <v>47</v>
      </c>
      <c r="AB778" s="8" t="s">
        <v>2002</v>
      </c>
      <c r="AC778" s="14" t="s">
        <v>48</v>
      </c>
      <c r="AD778" s="14" t="s">
        <v>1571</v>
      </c>
    </row>
    <row r="779" spans="1:30" ht="80.099999999999994" customHeight="1">
      <c r="A779" s="5">
        <v>139</v>
      </c>
      <c r="B779" s="12">
        <v>2018</v>
      </c>
      <c r="C779" s="12" t="s">
        <v>65</v>
      </c>
      <c r="D779" s="14" t="str">
        <f>'[1]V, inciso o) (OP)'!C385</f>
        <v>DOPI-MUN-RM-IH-AD-139-2018</v>
      </c>
      <c r="E779" s="13">
        <f>'[1]V, inciso o) (OP)'!V385</f>
        <v>43220</v>
      </c>
      <c r="F779" s="14" t="str">
        <f>'[1]V, inciso o) (OP)'!AA385</f>
        <v>Construcción de colector pluvial y boca de tormenta en Av. Pirul, Privada Pirul, Calle Naranjos y Misión del Bajío, colonia Rancho El Centinela, municipio de Zapopan, Jalisco.</v>
      </c>
      <c r="G779" s="14" t="s">
        <v>499</v>
      </c>
      <c r="H779" s="15">
        <f>'[1]V, inciso o) (OP)'!Y385</f>
        <v>922157.96</v>
      </c>
      <c r="I779" s="14" t="s">
        <v>1069</v>
      </c>
      <c r="J779" s="14" t="str">
        <f>'[1]V, inciso o) (OP)'!M385</f>
        <v>JUAN RAMÓN</v>
      </c>
      <c r="K779" s="14" t="str">
        <f>'[1]V, inciso o) (OP)'!N385</f>
        <v>RAMÍREZ</v>
      </c>
      <c r="L779" s="14" t="str">
        <f>'[1]V, inciso o) (OP)'!O385</f>
        <v>ALATORRE</v>
      </c>
      <c r="M779" s="14" t="str">
        <f>'[1]V, inciso o) (OP)'!P385</f>
        <v>QUERCUS GEOSOLUCIONES, S.A. DE C.V.</v>
      </c>
      <c r="N779" s="14" t="str">
        <f>'[1]V, inciso o) (OP)'!Q385</f>
        <v>QGE080213988</v>
      </c>
      <c r="O779" s="15">
        <f t="shared" si="23"/>
        <v>922157.96</v>
      </c>
      <c r="P779" s="15">
        <f t="shared" si="24"/>
        <v>922157.96</v>
      </c>
      <c r="Q779" s="21" t="s">
        <v>1322</v>
      </c>
      <c r="R779" s="22">
        <f>O779/269</f>
        <v>3428.0965055762081</v>
      </c>
      <c r="S779" s="12" t="s">
        <v>42</v>
      </c>
      <c r="T779" s="17">
        <v>362</v>
      </c>
      <c r="U779" s="14" t="s">
        <v>43</v>
      </c>
      <c r="V779" s="12" t="s">
        <v>378</v>
      </c>
      <c r="W779" s="13">
        <f>'[1]V, inciso o) (OP)'!AD385</f>
        <v>43222</v>
      </c>
      <c r="X779" s="13">
        <f>'[1]V, inciso o) (OP)'!AE385</f>
        <v>43257</v>
      </c>
      <c r="Y779" s="12" t="s">
        <v>385</v>
      </c>
      <c r="Z779" s="12" t="s">
        <v>46</v>
      </c>
      <c r="AA779" s="12" t="s">
        <v>47</v>
      </c>
      <c r="AB779" s="8" t="s">
        <v>2003</v>
      </c>
      <c r="AC779" s="14" t="s">
        <v>48</v>
      </c>
      <c r="AD779" s="14" t="s">
        <v>1571</v>
      </c>
    </row>
    <row r="780" spans="1:30" ht="80.099999999999994" customHeight="1">
      <c r="A780" s="5">
        <v>140</v>
      </c>
      <c r="B780" s="12">
        <v>2018</v>
      </c>
      <c r="C780" s="12" t="s">
        <v>65</v>
      </c>
      <c r="D780" s="14" t="str">
        <f>'[1]V, inciso o) (OP)'!C386</f>
        <v>DOPI-MUN-RM-IH-AD-140-2018</v>
      </c>
      <c r="E780" s="13">
        <f>'[1]V, inciso o) (OP)'!V386</f>
        <v>43220</v>
      </c>
      <c r="F780" s="14" t="str">
        <f>'[1]V, inciso o) (OP)'!AA386</f>
        <v>Rehabilitación de drenaje y agua potable en la calle Santa Mercedes, de San Carlos a San Felipe, en la colonia Tuzania Ejidal, municipio de Zapopan, Jalisco.</v>
      </c>
      <c r="G780" s="14" t="s">
        <v>499</v>
      </c>
      <c r="H780" s="15">
        <f>'[1]V, inciso o) (OP)'!Y386</f>
        <v>1795527.94</v>
      </c>
      <c r="I780" s="14" t="s">
        <v>1163</v>
      </c>
      <c r="J780" s="14" t="str">
        <f>'[1]V, inciso o) (OP)'!M386</f>
        <v xml:space="preserve">RODOLFO </v>
      </c>
      <c r="K780" s="14" t="str">
        <f>'[1]V, inciso o) (OP)'!N386</f>
        <v xml:space="preserve">VELAZQUEZ </v>
      </c>
      <c r="L780" s="14" t="str">
        <f>'[1]V, inciso o) (OP)'!O386</f>
        <v>ORDOÑEZ</v>
      </c>
      <c r="M780" s="14" t="str">
        <f>'[1]V, inciso o) (OP)'!P386</f>
        <v>VELAZQUEZ INGENIERIA ECOLOGICA, S.A. DE C.V.</v>
      </c>
      <c r="N780" s="14" t="str">
        <f>'[1]V, inciso o) (OP)'!Q386</f>
        <v>VIE110125RL4</v>
      </c>
      <c r="O780" s="15">
        <f t="shared" si="23"/>
        <v>1795527.94</v>
      </c>
      <c r="P780" s="15">
        <f t="shared" si="24"/>
        <v>1795527.94</v>
      </c>
      <c r="Q780" s="21" t="s">
        <v>1323</v>
      </c>
      <c r="R780" s="22">
        <f>O780/253</f>
        <v>7096.9483794466405</v>
      </c>
      <c r="S780" s="12" t="s">
        <v>42</v>
      </c>
      <c r="T780" s="17">
        <v>398</v>
      </c>
      <c r="U780" s="14" t="s">
        <v>43</v>
      </c>
      <c r="V780" s="12" t="s">
        <v>378</v>
      </c>
      <c r="W780" s="13">
        <f>'[1]V, inciso o) (OP)'!AD386</f>
        <v>43222</v>
      </c>
      <c r="X780" s="13">
        <f>'[1]V, inciso o) (OP)'!AE386</f>
        <v>43281</v>
      </c>
      <c r="Y780" s="12" t="s">
        <v>830</v>
      </c>
      <c r="Z780" s="12" t="s">
        <v>831</v>
      </c>
      <c r="AA780" s="12" t="s">
        <v>134</v>
      </c>
      <c r="AB780" s="8" t="s">
        <v>2004</v>
      </c>
      <c r="AC780" s="14" t="s">
        <v>48</v>
      </c>
      <c r="AD780" s="14" t="s">
        <v>1571</v>
      </c>
    </row>
    <row r="781" spans="1:30" ht="80.099999999999994" customHeight="1">
      <c r="A781" s="5">
        <v>141</v>
      </c>
      <c r="B781" s="12">
        <v>2018</v>
      </c>
      <c r="C781" s="12" t="s">
        <v>65</v>
      </c>
      <c r="D781" s="14" t="str">
        <f>'[1]V, inciso o) (OP)'!C387</f>
        <v>DOPI-MUN-R33-IH-AD-141-2018</v>
      </c>
      <c r="E781" s="13">
        <f>'[1]V, inciso o) (OP)'!V387</f>
        <v>43231</v>
      </c>
      <c r="F781" s="14" t="str">
        <f>'[1]V, inciso o) (OP)'!AA387</f>
        <v>Rehabilitación de líneas de agua potable y drenaje en la colonia Indígena de Mezquitan 1° Sección, municipio de Zapopan, Jalisco.</v>
      </c>
      <c r="G781" s="14" t="s">
        <v>516</v>
      </c>
      <c r="H781" s="15">
        <f>'[1]V, inciso o) (OP)'!Y387</f>
        <v>1472822.54</v>
      </c>
      <c r="I781" s="14" t="s">
        <v>1324</v>
      </c>
      <c r="J781" s="14" t="str">
        <f>'[1]V, inciso o) (OP)'!M387</f>
        <v>FREDDY ISAAC</v>
      </c>
      <c r="K781" s="14" t="str">
        <f>'[1]V, inciso o) (OP)'!N387</f>
        <v>MIRANDA</v>
      </c>
      <c r="L781" s="14" t="str">
        <f>'[1]V, inciso o) (OP)'!O387</f>
        <v>HERNÁNDEZ</v>
      </c>
      <c r="M781" s="14" t="str">
        <f>'[1]V, inciso o) (OP)'!P387</f>
        <v>2MH CONSTRUCTORES, S.A. DE C.V.</v>
      </c>
      <c r="N781" s="14" t="str">
        <f>'[1]V, inciso o) (OP)'!Q387</f>
        <v>MCO17080484A</v>
      </c>
      <c r="O781" s="15">
        <f t="shared" si="23"/>
        <v>1472822.54</v>
      </c>
      <c r="P781" s="15">
        <f t="shared" si="24"/>
        <v>1472822.54</v>
      </c>
      <c r="Q781" s="21" t="s">
        <v>1325</v>
      </c>
      <c r="R781" s="22">
        <f>O781/110</f>
        <v>13389.295818181819</v>
      </c>
      <c r="S781" s="12" t="s">
        <v>42</v>
      </c>
      <c r="T781" s="17">
        <v>203</v>
      </c>
      <c r="U781" s="14" t="s">
        <v>43</v>
      </c>
      <c r="V781" s="12" t="s">
        <v>378</v>
      </c>
      <c r="W781" s="13">
        <f>'[1]V, inciso o) (OP)'!AD387</f>
        <v>43234</v>
      </c>
      <c r="X781" s="13">
        <f>'[1]V, inciso o) (OP)'!AE387</f>
        <v>43312</v>
      </c>
      <c r="Y781" s="12" t="s">
        <v>830</v>
      </c>
      <c r="Z781" s="12" t="s">
        <v>831</v>
      </c>
      <c r="AA781" s="12" t="s">
        <v>134</v>
      </c>
      <c r="AB781" s="8" t="s">
        <v>2005</v>
      </c>
      <c r="AC781" s="14" t="s">
        <v>48</v>
      </c>
      <c r="AD781" s="14" t="s">
        <v>1571</v>
      </c>
    </row>
    <row r="782" spans="1:30" s="9" customFormat="1" ht="80.099999999999994" customHeight="1">
      <c r="A782" s="10"/>
      <c r="B782" s="12">
        <v>2018</v>
      </c>
      <c r="C782" s="12" t="s">
        <v>31</v>
      </c>
      <c r="D782" s="14" t="s">
        <v>2029</v>
      </c>
      <c r="E782" s="13">
        <v>43297</v>
      </c>
      <c r="F782" s="14" t="s">
        <v>2134</v>
      </c>
      <c r="G782" s="14" t="s">
        <v>2135</v>
      </c>
      <c r="H782" s="15">
        <v>8005874.6799999997</v>
      </c>
      <c r="I782" s="14" t="s">
        <v>765</v>
      </c>
      <c r="J782" s="14" t="s">
        <v>2136</v>
      </c>
      <c r="K782" s="14" t="s">
        <v>2137</v>
      </c>
      <c r="L782" s="14" t="s">
        <v>2138</v>
      </c>
      <c r="M782" s="14" t="s">
        <v>2139</v>
      </c>
      <c r="N782" s="14" t="s">
        <v>2140</v>
      </c>
      <c r="O782" s="15">
        <v>8005874.6799999997</v>
      </c>
      <c r="P782" s="15" t="s">
        <v>48</v>
      </c>
      <c r="Q782" s="21" t="s">
        <v>2127</v>
      </c>
      <c r="R782" s="22">
        <v>2300.5387011494254</v>
      </c>
      <c r="S782" s="12" t="s">
        <v>42</v>
      </c>
      <c r="T782" s="17">
        <v>239877</v>
      </c>
      <c r="U782" s="14" t="s">
        <v>43</v>
      </c>
      <c r="V782" s="12" t="s">
        <v>378</v>
      </c>
      <c r="W782" s="13">
        <v>43297</v>
      </c>
      <c r="X782" s="13">
        <v>43368</v>
      </c>
      <c r="Y782" s="12" t="s">
        <v>439</v>
      </c>
      <c r="Z782" s="12" t="s">
        <v>186</v>
      </c>
      <c r="AA782" s="12" t="s">
        <v>92</v>
      </c>
      <c r="AB782" s="8" t="s">
        <v>48</v>
      </c>
      <c r="AC782" s="14" t="s">
        <v>48</v>
      </c>
      <c r="AD782" s="14"/>
    </row>
    <row r="783" spans="1:30" s="9" customFormat="1" ht="80.099999999999994" customHeight="1">
      <c r="A783" s="10"/>
      <c r="B783" s="12">
        <v>2018</v>
      </c>
      <c r="C783" s="12" t="s">
        <v>31</v>
      </c>
      <c r="D783" s="14" t="s">
        <v>2030</v>
      </c>
      <c r="E783" s="13">
        <v>43297</v>
      </c>
      <c r="F783" s="14" t="s">
        <v>2141</v>
      </c>
      <c r="G783" s="14" t="s">
        <v>2135</v>
      </c>
      <c r="H783" s="15">
        <v>5988976.1799999997</v>
      </c>
      <c r="I783" s="14" t="s">
        <v>765</v>
      </c>
      <c r="J783" s="14" t="s">
        <v>2142</v>
      </c>
      <c r="K783" s="14" t="s">
        <v>2143</v>
      </c>
      <c r="L783" s="14" t="s">
        <v>2144</v>
      </c>
      <c r="M783" s="14" t="s">
        <v>2145</v>
      </c>
      <c r="N783" s="14" t="s">
        <v>2146</v>
      </c>
      <c r="O783" s="15">
        <v>5988976.1799999997</v>
      </c>
      <c r="P783" s="15" t="s">
        <v>48</v>
      </c>
      <c r="Q783" s="21" t="s">
        <v>940</v>
      </c>
      <c r="R783" s="22">
        <v>2268.5515833333334</v>
      </c>
      <c r="S783" s="12" t="s">
        <v>42</v>
      </c>
      <c r="T783" s="17">
        <v>239877</v>
      </c>
      <c r="U783" s="14" t="s">
        <v>43</v>
      </c>
      <c r="V783" s="12" t="s">
        <v>378</v>
      </c>
      <c r="W783" s="13">
        <v>43297</v>
      </c>
      <c r="X783" s="13">
        <v>43368</v>
      </c>
      <c r="Y783" s="12" t="s">
        <v>439</v>
      </c>
      <c r="Z783" s="12" t="s">
        <v>186</v>
      </c>
      <c r="AA783" s="12" t="s">
        <v>92</v>
      </c>
      <c r="AB783" s="8" t="s">
        <v>48</v>
      </c>
      <c r="AC783" s="14" t="s">
        <v>48</v>
      </c>
      <c r="AD783" s="14"/>
    </row>
    <row r="784" spans="1:30" s="9" customFormat="1" ht="80.099999999999994" customHeight="1">
      <c r="A784" s="10"/>
      <c r="B784" s="12">
        <v>2018</v>
      </c>
      <c r="C784" s="12" t="s">
        <v>31</v>
      </c>
      <c r="D784" s="14" t="s">
        <v>2031</v>
      </c>
      <c r="E784" s="13">
        <v>43297</v>
      </c>
      <c r="F784" s="14" t="s">
        <v>2147</v>
      </c>
      <c r="G784" s="14" t="s">
        <v>2135</v>
      </c>
      <c r="H784" s="15">
        <v>5788492.3099999996</v>
      </c>
      <c r="I784" s="14" t="s">
        <v>765</v>
      </c>
      <c r="J784" s="14" t="s">
        <v>2148</v>
      </c>
      <c r="K784" s="14" t="s">
        <v>2149</v>
      </c>
      <c r="L784" s="14" t="s">
        <v>2150</v>
      </c>
      <c r="M784" s="14" t="s">
        <v>2151</v>
      </c>
      <c r="N784" s="14" t="s">
        <v>2152</v>
      </c>
      <c r="O784" s="15">
        <v>5788492.3099999996</v>
      </c>
      <c r="P784" s="15" t="s">
        <v>48</v>
      </c>
      <c r="Q784" s="21" t="s">
        <v>2128</v>
      </c>
      <c r="R784" s="22">
        <v>2085.9431747747744</v>
      </c>
      <c r="S784" s="12" t="s">
        <v>42</v>
      </c>
      <c r="T784" s="17">
        <v>239877</v>
      </c>
      <c r="U784" s="14" t="s">
        <v>43</v>
      </c>
      <c r="V784" s="12" t="s">
        <v>378</v>
      </c>
      <c r="W784" s="13">
        <v>43297</v>
      </c>
      <c r="X784" s="13">
        <v>43368</v>
      </c>
      <c r="Y784" s="12" t="s">
        <v>439</v>
      </c>
      <c r="Z784" s="12" t="s">
        <v>186</v>
      </c>
      <c r="AA784" s="12" t="s">
        <v>92</v>
      </c>
      <c r="AB784" s="8" t="s">
        <v>48</v>
      </c>
      <c r="AC784" s="14" t="s">
        <v>48</v>
      </c>
      <c r="AD784" s="14"/>
    </row>
    <row r="785" spans="1:30" s="9" customFormat="1" ht="80.099999999999994" customHeight="1">
      <c r="A785" s="10"/>
      <c r="B785" s="12">
        <v>2018</v>
      </c>
      <c r="C785" s="12" t="s">
        <v>31</v>
      </c>
      <c r="D785" s="14" t="s">
        <v>2032</v>
      </c>
      <c r="E785" s="13">
        <v>43297</v>
      </c>
      <c r="F785" s="14" t="s">
        <v>2153</v>
      </c>
      <c r="G785" s="14" t="s">
        <v>2135</v>
      </c>
      <c r="H785" s="15">
        <v>8178432.5199999996</v>
      </c>
      <c r="I785" s="14" t="s">
        <v>2154</v>
      </c>
      <c r="J785" s="14" t="s">
        <v>2155</v>
      </c>
      <c r="K785" s="14" t="s">
        <v>2156</v>
      </c>
      <c r="L785" s="14" t="s">
        <v>2157</v>
      </c>
      <c r="M785" s="14" t="s">
        <v>2158</v>
      </c>
      <c r="N785" s="14" t="s">
        <v>348</v>
      </c>
      <c r="O785" s="15">
        <v>8178432.5199999996</v>
      </c>
      <c r="P785" s="15" t="s">
        <v>48</v>
      </c>
      <c r="Q785" s="21" t="s">
        <v>2129</v>
      </c>
      <c r="R785" s="22">
        <v>2151.6528597737438</v>
      </c>
      <c r="S785" s="12" t="s">
        <v>42</v>
      </c>
      <c r="T785" s="17">
        <v>262158</v>
      </c>
      <c r="U785" s="14" t="s">
        <v>43</v>
      </c>
      <c r="V785" s="12" t="s">
        <v>378</v>
      </c>
      <c r="W785" s="13">
        <v>43297</v>
      </c>
      <c r="X785" s="13">
        <v>43368</v>
      </c>
      <c r="Y785" s="12" t="s">
        <v>439</v>
      </c>
      <c r="Z785" s="12" t="s">
        <v>186</v>
      </c>
      <c r="AA785" s="12" t="s">
        <v>92</v>
      </c>
      <c r="AB785" s="8" t="s">
        <v>48</v>
      </c>
      <c r="AC785" s="14" t="s">
        <v>48</v>
      </c>
      <c r="AD785" s="14"/>
    </row>
    <row r="786" spans="1:30" s="9" customFormat="1" ht="80.099999999999994" customHeight="1">
      <c r="A786" s="10"/>
      <c r="B786" s="12">
        <v>2018</v>
      </c>
      <c r="C786" s="12" t="s">
        <v>31</v>
      </c>
      <c r="D786" s="14" t="s">
        <v>2033</v>
      </c>
      <c r="E786" s="13">
        <v>43297</v>
      </c>
      <c r="F786" s="14" t="s">
        <v>2159</v>
      </c>
      <c r="G786" s="14" t="s">
        <v>2135</v>
      </c>
      <c r="H786" s="15">
        <v>7486762.5300000003</v>
      </c>
      <c r="I786" s="14" t="s">
        <v>2154</v>
      </c>
      <c r="J786" s="14" t="s">
        <v>2160</v>
      </c>
      <c r="K786" s="14" t="s">
        <v>2161</v>
      </c>
      <c r="L786" s="14" t="s">
        <v>2162</v>
      </c>
      <c r="M786" s="14" t="s">
        <v>2163</v>
      </c>
      <c r="N786" s="14" t="s">
        <v>2164</v>
      </c>
      <c r="O786" s="15">
        <v>7486762.5300000003</v>
      </c>
      <c r="P786" s="15" t="s">
        <v>48</v>
      </c>
      <c r="Q786" s="21" t="s">
        <v>2130</v>
      </c>
      <c r="R786" s="22">
        <v>1919.6827000000001</v>
      </c>
      <c r="S786" s="12" t="s">
        <v>42</v>
      </c>
      <c r="T786" s="17">
        <v>262158</v>
      </c>
      <c r="U786" s="14" t="s">
        <v>43</v>
      </c>
      <c r="V786" s="12" t="s">
        <v>378</v>
      </c>
      <c r="W786" s="13">
        <v>43297</v>
      </c>
      <c r="X786" s="13">
        <v>43368</v>
      </c>
      <c r="Y786" s="12" t="s">
        <v>562</v>
      </c>
      <c r="Z786" s="12" t="s">
        <v>2131</v>
      </c>
      <c r="AA786" s="12" t="s">
        <v>2132</v>
      </c>
      <c r="AB786" s="8" t="s">
        <v>48</v>
      </c>
      <c r="AC786" s="14" t="s">
        <v>48</v>
      </c>
      <c r="AD786" s="14"/>
    </row>
    <row r="787" spans="1:30" s="9" customFormat="1" ht="80.099999999999994" customHeight="1">
      <c r="A787" s="10"/>
      <c r="B787" s="12">
        <v>2018</v>
      </c>
      <c r="C787" s="12" t="s">
        <v>31</v>
      </c>
      <c r="D787" s="14" t="s">
        <v>2034</v>
      </c>
      <c r="E787" s="13">
        <v>43297</v>
      </c>
      <c r="F787" s="14" t="s">
        <v>2165</v>
      </c>
      <c r="G787" s="14" t="s">
        <v>2135</v>
      </c>
      <c r="H787" s="15">
        <v>7809826.0599999996</v>
      </c>
      <c r="I787" s="14" t="s">
        <v>2154</v>
      </c>
      <c r="J787" s="14" t="s">
        <v>2115</v>
      </c>
      <c r="K787" s="14" t="s">
        <v>2116</v>
      </c>
      <c r="L787" s="14" t="s">
        <v>2117</v>
      </c>
      <c r="M787" s="14" t="s">
        <v>2118</v>
      </c>
      <c r="N787" s="14" t="s">
        <v>2119</v>
      </c>
      <c r="O787" s="15">
        <v>7809826.0599999996</v>
      </c>
      <c r="P787" s="15" t="s">
        <v>48</v>
      </c>
      <c r="Q787" s="21" t="s">
        <v>2133</v>
      </c>
      <c r="R787" s="22">
        <v>2331.2913611940298</v>
      </c>
      <c r="S787" s="12" t="s">
        <v>42</v>
      </c>
      <c r="T787" s="17">
        <v>262158</v>
      </c>
      <c r="U787" s="14" t="s">
        <v>43</v>
      </c>
      <c r="V787" s="12" t="s">
        <v>378</v>
      </c>
      <c r="W787" s="13">
        <v>43297</v>
      </c>
      <c r="X787" s="13">
        <v>43368</v>
      </c>
      <c r="Y787" s="12" t="s">
        <v>562</v>
      </c>
      <c r="Z787" s="12" t="s">
        <v>2131</v>
      </c>
      <c r="AA787" s="12" t="s">
        <v>2132</v>
      </c>
      <c r="AB787" s="8" t="s">
        <v>48</v>
      </c>
      <c r="AC787" s="14" t="s">
        <v>48</v>
      </c>
      <c r="AD787" s="14"/>
    </row>
    <row r="788" spans="1:30" ht="80.099999999999994" customHeight="1">
      <c r="A788" s="5">
        <v>148</v>
      </c>
      <c r="B788" s="12">
        <v>2018</v>
      </c>
      <c r="C788" s="14" t="str">
        <f>'[1]V, inciso p) (OP)'!B399</f>
        <v>Licitación por Invitación Restringida</v>
      </c>
      <c r="D788" s="14" t="str">
        <f>'[1]V, inciso p) (OP)'!D399</f>
        <v>DOPI-MUN-RM-CONT-CI-148-2018</v>
      </c>
      <c r="E788" s="13">
        <f>'[1]V, inciso p) (OP)'!AD399</f>
        <v>43262</v>
      </c>
      <c r="F788" s="14" t="str">
        <f>'[1]V, inciso p) (OP)'!AL399</f>
        <v>Sistema de estabilización de taludes mediante el sistema de anclajes y recubrimiento de concreto lanzado, sobre la Lateral Poniente de Periférico de Prolongación Av. Central Guillermo González Camarena a calle 5 de Mayo, municipio de Zapopan, Jalisco.</v>
      </c>
      <c r="G788" s="14" t="str">
        <f>'[1]V, inciso p) (OP)'!AR399</f>
        <v>Recurso Propio</v>
      </c>
      <c r="H788" s="15">
        <f>'[1]V, inciso p) (OP)'!AJ399</f>
        <v>7316456.6799999997</v>
      </c>
      <c r="I788" s="14" t="str">
        <f>'[1]V, inciso p) (OP)'!AS399</f>
        <v>Colonia Poniente</v>
      </c>
      <c r="J788" s="14" t="str">
        <f>'[1]V, inciso p) (OP)'!T399</f>
        <v>RODRIGO</v>
      </c>
      <c r="K788" s="14" t="str">
        <f>'[1]V, inciso p) (OP)'!U399</f>
        <v>RAMOS</v>
      </c>
      <c r="L788" s="14" t="str">
        <f>'[1]V, inciso p) (OP)'!V399</f>
        <v>GARIBI</v>
      </c>
      <c r="M788" s="14" t="str">
        <f>'[1]V, inciso p) (OP)'!W399</f>
        <v>METRO ASFALTOS, S.A. DE C.V.</v>
      </c>
      <c r="N788" s="14" t="str">
        <f>'[1]V, inciso p) (OP)'!X399</f>
        <v>CMA070307RU6</v>
      </c>
      <c r="O788" s="15">
        <f t="shared" si="23"/>
        <v>7316456.6799999997</v>
      </c>
      <c r="P788" s="15">
        <f t="shared" si="24"/>
        <v>7316456.6799999997</v>
      </c>
      <c r="Q788" s="23" t="s">
        <v>1326</v>
      </c>
      <c r="R788" s="22">
        <f>O788/3255</f>
        <v>2247.7593486943165</v>
      </c>
      <c r="S788" s="12" t="s">
        <v>42</v>
      </c>
      <c r="T788" s="17">
        <v>369802</v>
      </c>
      <c r="U788" s="14" t="s">
        <v>43</v>
      </c>
      <c r="V788" s="12" t="s">
        <v>378</v>
      </c>
      <c r="W788" s="13">
        <f>'[1]V, inciso p) (OP)'!AM399</f>
        <v>43262</v>
      </c>
      <c r="X788" s="13">
        <f>'[1]V, inciso p) (OP)'!AN399</f>
        <v>43296</v>
      </c>
      <c r="Y788" s="12" t="s">
        <v>322</v>
      </c>
      <c r="Z788" s="12" t="s">
        <v>196</v>
      </c>
      <c r="AA788" s="12" t="s">
        <v>197</v>
      </c>
      <c r="AB788" s="8" t="s">
        <v>1840</v>
      </c>
      <c r="AC788" s="14" t="s">
        <v>48</v>
      </c>
      <c r="AD788" s="14" t="s">
        <v>1571</v>
      </c>
    </row>
    <row r="789" spans="1:30" ht="80.099999999999994" customHeight="1">
      <c r="A789" s="5">
        <v>149</v>
      </c>
      <c r="B789" s="12">
        <v>2018</v>
      </c>
      <c r="C789" s="14" t="str">
        <f>'[1]V, inciso p) (OP)'!B400</f>
        <v>Licitación por Invitación Restringida</v>
      </c>
      <c r="D789" s="14" t="str">
        <f>'[1]V, inciso p) (OP)'!D400</f>
        <v>DOPI-MUN-RM-IH-CI-149-2018</v>
      </c>
      <c r="E789" s="13">
        <f>'[1]V, inciso p) (OP)'!AD400</f>
        <v>43262</v>
      </c>
      <c r="F789" s="14" t="str">
        <f>'[1]V, inciso p) (OP)'!AL400</f>
        <v>Perforación y equipamiento de pozo profundo El Briseño, ubicado en la colonia El Briseño, municipio de Zapopan, Jalisco.</v>
      </c>
      <c r="G789" s="14" t="str">
        <f>'[1]V, inciso p) (OP)'!AR400</f>
        <v>Recurso Propio</v>
      </c>
      <c r="H789" s="15">
        <f>'[1]V, inciso p) (OP)'!AJ400</f>
        <v>6495302.6200000001</v>
      </c>
      <c r="I789" s="14" t="str">
        <f>'[1]V, inciso p) (OP)'!AS400</f>
        <v>Colonia El Briseño</v>
      </c>
      <c r="J789" s="14" t="str">
        <f>'[1]V, inciso p) (OP)'!T400</f>
        <v>KARLA MARÍANA</v>
      </c>
      <c r="K789" s="14" t="str">
        <f>'[1]V, inciso p) (OP)'!U400</f>
        <v>MÉNDEZ</v>
      </c>
      <c r="L789" s="14" t="str">
        <f>'[1]V, inciso p) (OP)'!V400</f>
        <v>RODRÍGUEZ</v>
      </c>
      <c r="M789" s="14" t="str">
        <f>'[1]V, inciso p) (OP)'!W400</f>
        <v>GRUPO LA FUENTE, S.A. DE C.V.</v>
      </c>
      <c r="N789" s="14" t="str">
        <f>'[1]V, inciso p) (OP)'!X400</f>
        <v>GFU021009BC1</v>
      </c>
      <c r="O789" s="15">
        <f t="shared" si="23"/>
        <v>6495302.6200000001</v>
      </c>
      <c r="P789" s="15">
        <f t="shared" si="24"/>
        <v>6495302.6200000001</v>
      </c>
      <c r="Q789" s="23" t="s">
        <v>508</v>
      </c>
      <c r="R789" s="22">
        <f>O789</f>
        <v>6495302.6200000001</v>
      </c>
      <c r="S789" s="12" t="s">
        <v>42</v>
      </c>
      <c r="T789" s="17">
        <v>697</v>
      </c>
      <c r="U789" s="14" t="s">
        <v>43</v>
      </c>
      <c r="V789" s="12" t="s">
        <v>378</v>
      </c>
      <c r="W789" s="13">
        <f>'[1]V, inciso p) (OP)'!AM400</f>
        <v>43262</v>
      </c>
      <c r="X789" s="13">
        <f>'[1]V, inciso p) (OP)'!AN400</f>
        <v>43343</v>
      </c>
      <c r="Y789" s="12" t="s">
        <v>439</v>
      </c>
      <c r="Z789" s="12" t="s">
        <v>186</v>
      </c>
      <c r="AA789" s="12" t="s">
        <v>92</v>
      </c>
      <c r="AB789" s="8" t="s">
        <v>1841</v>
      </c>
      <c r="AC789" s="14" t="s">
        <v>48</v>
      </c>
      <c r="AD789" s="14" t="s">
        <v>1571</v>
      </c>
    </row>
    <row r="790" spans="1:30" ht="80.099999999999994" customHeight="1">
      <c r="A790" s="5">
        <v>150</v>
      </c>
      <c r="B790" s="12">
        <v>2018</v>
      </c>
      <c r="C790" s="14" t="str">
        <f>'[1]V, inciso p) (OP)'!B401</f>
        <v>Licitación por Invitación Restringida</v>
      </c>
      <c r="D790" s="14" t="str">
        <f>'[1]V, inciso p) (OP)'!D401</f>
        <v>DOPI-MUN-RM-PAV-CI-150-2018</v>
      </c>
      <c r="E790" s="13">
        <f>'[1]V, inciso p) (OP)'!AD401</f>
        <v>43262</v>
      </c>
      <c r="F790" s="14" t="str">
        <f>'[1]V, inciso p) (OP)'!AL401</f>
        <v>Construcción de pavimento de concreto hidráulico, incluye: guarniciones, banquetas, señalamiento vertical y horizontal y servicios complementarios en Av. Palmira de Jazmín a Palmitas, colonia La Palmira, municipio de Zapopan, Jalisco.</v>
      </c>
      <c r="G790" s="14" t="str">
        <f>'[1]V, inciso p) (OP)'!AR401</f>
        <v>Recurso Propio</v>
      </c>
      <c r="H790" s="15">
        <f>'[1]V, inciso p) (OP)'!AJ401</f>
        <v>5904431.8300000001</v>
      </c>
      <c r="I790" s="14" t="str">
        <f>'[1]V, inciso p) (OP)'!AS401</f>
        <v>Colonia La Palmira</v>
      </c>
      <c r="J790" s="14" t="str">
        <f>'[1]V, inciso p) (OP)'!T401</f>
        <v>JORGE LUIS</v>
      </c>
      <c r="K790" s="14" t="str">
        <f>'[1]V, inciso p) (OP)'!U401</f>
        <v>MARISCAL</v>
      </c>
      <c r="L790" s="14" t="str">
        <f>'[1]V, inciso p) (OP)'!V401</f>
        <v>TORRES</v>
      </c>
      <c r="M790" s="14" t="str">
        <f>'[1]V, inciso p) (OP)'!W401</f>
        <v>BNKER EDIFICACIONES Y CONSTRUCCIONES, S.A. DE C.V.</v>
      </c>
      <c r="N790" s="14" t="str">
        <f>'[1]V, inciso p) (OP)'!X401</f>
        <v>BEC0906257J5</v>
      </c>
      <c r="O790" s="15">
        <f t="shared" si="23"/>
        <v>5904431.8300000001</v>
      </c>
      <c r="P790" s="15">
        <f t="shared" si="24"/>
        <v>5904431.8300000001</v>
      </c>
      <c r="Q790" s="23" t="s">
        <v>1327</v>
      </c>
      <c r="R790" s="22">
        <f>O790/4775</f>
        <v>1236.5302261780105</v>
      </c>
      <c r="S790" s="12" t="s">
        <v>42</v>
      </c>
      <c r="T790" s="17">
        <v>1267</v>
      </c>
      <c r="U790" s="14" t="s">
        <v>43</v>
      </c>
      <c r="V790" s="12" t="s">
        <v>378</v>
      </c>
      <c r="W790" s="13">
        <f>'[1]V, inciso p) (OP)'!AM401</f>
        <v>43262</v>
      </c>
      <c r="X790" s="13">
        <f>'[1]V, inciso p) (OP)'!AN401</f>
        <v>43311</v>
      </c>
      <c r="Y790" s="12" t="s">
        <v>735</v>
      </c>
      <c r="Z790" s="12" t="s">
        <v>236</v>
      </c>
      <c r="AA790" s="12" t="s">
        <v>147</v>
      </c>
      <c r="AB790" s="8" t="s">
        <v>1842</v>
      </c>
      <c r="AC790" s="14" t="s">
        <v>48</v>
      </c>
      <c r="AD790" s="14" t="s">
        <v>1571</v>
      </c>
    </row>
    <row r="791" spans="1:30" ht="80.099999999999994" customHeight="1">
      <c r="A791" s="5">
        <v>151</v>
      </c>
      <c r="B791" s="12">
        <v>2018</v>
      </c>
      <c r="C791" s="12" t="s">
        <v>65</v>
      </c>
      <c r="D791" s="14" t="str">
        <f>'[1]V, inciso o) (OP)'!C388</f>
        <v>DOPI-MUN-RM-IH-AD-151-2018</v>
      </c>
      <c r="E791" s="13">
        <f>'[1]V, inciso o) (OP)'!V388</f>
        <v>43231</v>
      </c>
      <c r="F791" s="14" t="str">
        <f>'[1]V, inciso o) (OP)'!AA388</f>
        <v>Construcción de drenaje sanitario y red de agua potable en la Av. General Ramón Corona, en la zona de La Mojonera, municipio de Zapopan, Jalisco.</v>
      </c>
      <c r="G791" s="14" t="s">
        <v>499</v>
      </c>
      <c r="H791" s="15">
        <f>'[1]V, inciso o) (OP)'!Y388</f>
        <v>1811019.82</v>
      </c>
      <c r="I791" s="14" t="s">
        <v>1328</v>
      </c>
      <c r="J791" s="14" t="str">
        <f>'[1]V, inciso o) (OP)'!M388</f>
        <v>SERGIO CESAR</v>
      </c>
      <c r="K791" s="14" t="str">
        <f>'[1]V, inciso o) (OP)'!N388</f>
        <v>DÍAZ</v>
      </c>
      <c r="L791" s="14" t="str">
        <f>'[1]V, inciso o) (OP)'!O388</f>
        <v>QUIROZ</v>
      </c>
      <c r="M791" s="14" t="str">
        <f>'[1]V, inciso o) (OP)'!P388</f>
        <v>GRUPO UNICRETO S.A. DE C.V.</v>
      </c>
      <c r="N791" s="14" t="str">
        <f>'[1]V, inciso o) (OP)'!Q388</f>
        <v>GUN880613NY1</v>
      </c>
      <c r="O791" s="15">
        <f t="shared" si="23"/>
        <v>1811019.82</v>
      </c>
      <c r="P791" s="15">
        <f t="shared" si="24"/>
        <v>1811019.82</v>
      </c>
      <c r="Q791" s="21" t="s">
        <v>94</v>
      </c>
      <c r="R791" s="22">
        <f>O791/440</f>
        <v>4115.9541363636363</v>
      </c>
      <c r="S791" s="12" t="s">
        <v>42</v>
      </c>
      <c r="T791" s="17">
        <v>6321</v>
      </c>
      <c r="U791" s="14" t="s">
        <v>43</v>
      </c>
      <c r="V791" s="12" t="s">
        <v>378</v>
      </c>
      <c r="W791" s="13">
        <f>'[1]V, inciso o) (OP)'!AD388</f>
        <v>43234</v>
      </c>
      <c r="X791" s="13">
        <f>'[1]V, inciso o) (OP)'!AE388</f>
        <v>43266</v>
      </c>
      <c r="Y791" s="12" t="s">
        <v>399</v>
      </c>
      <c r="Z791" s="12" t="s">
        <v>284</v>
      </c>
      <c r="AA791" s="12" t="s">
        <v>81</v>
      </c>
      <c r="AB791" s="8" t="s">
        <v>2006</v>
      </c>
      <c r="AC791" s="14" t="s">
        <v>48</v>
      </c>
      <c r="AD791" s="14" t="s">
        <v>1571</v>
      </c>
    </row>
    <row r="792" spans="1:30" ht="80.099999999999994" customHeight="1">
      <c r="A792" s="5">
        <v>152</v>
      </c>
      <c r="B792" s="12">
        <v>2018</v>
      </c>
      <c r="C792" s="12" t="s">
        <v>65</v>
      </c>
      <c r="D792" s="14" t="str">
        <f>'[1]V, inciso o) (OP)'!C389</f>
        <v>DOPI-MUN-RM-PAV-AD-152-2018</v>
      </c>
      <c r="E792" s="13">
        <f>'[1]V, inciso o) (OP)'!V389</f>
        <v>43231</v>
      </c>
      <c r="F792" s="14" t="str">
        <f>'[1]V, inciso o) (OP)'!AA389</f>
        <v>Pavimentación con concreto hidráulico, incluye: banquetas, peatonalización, red de drenaje sanitario, señalamiento y obras complementarias en la calle Santa Mercedez de la Av. Jesús a San Felipe, colonia Tuzania Ejidal, en el municipio de Zapopan, Jalisco, frente 2.</v>
      </c>
      <c r="G792" s="14" t="s">
        <v>499</v>
      </c>
      <c r="H792" s="15">
        <f>'[1]V, inciso o) (OP)'!Y389</f>
        <v>1713723.02</v>
      </c>
      <c r="I792" s="14" t="s">
        <v>1163</v>
      </c>
      <c r="J792" s="14" t="str">
        <f>'[1]V, inciso o) (OP)'!M389</f>
        <v>LAURA LILIA</v>
      </c>
      <c r="K792" s="14" t="str">
        <f>'[1]V, inciso o) (OP)'!N389</f>
        <v>ARELLANO</v>
      </c>
      <c r="L792" s="14" t="str">
        <f>'[1]V, inciso o) (OP)'!O389</f>
        <v>CERNA</v>
      </c>
      <c r="M792" s="14" t="str">
        <f>'[1]V, inciso o) (OP)'!P389</f>
        <v>CONSTRUCCIÓNES E INGENIERIA EL CIPRES, S.A. DE C.V.</v>
      </c>
      <c r="N792" s="14" t="str">
        <f>'[1]V, inciso o) (OP)'!Q389</f>
        <v>CEI120724PR2</v>
      </c>
      <c r="O792" s="15">
        <f t="shared" si="23"/>
        <v>1713723.02</v>
      </c>
      <c r="P792" s="15">
        <f t="shared" si="24"/>
        <v>1713723.02</v>
      </c>
      <c r="Q792" s="21" t="s">
        <v>1329</v>
      </c>
      <c r="R792" s="22">
        <f>O792/4782</f>
        <v>358.36951484734419</v>
      </c>
      <c r="S792" s="12" t="s">
        <v>42</v>
      </c>
      <c r="T792" s="17">
        <v>2569</v>
      </c>
      <c r="U792" s="14" t="s">
        <v>43</v>
      </c>
      <c r="V792" s="12" t="s">
        <v>378</v>
      </c>
      <c r="W792" s="13">
        <f>'[1]V, inciso o) (OP)'!AD389</f>
        <v>43235</v>
      </c>
      <c r="X792" s="13">
        <f>'[1]V, inciso o) (OP)'!AE389</f>
        <v>43296</v>
      </c>
      <c r="Y792" s="12" t="s">
        <v>444</v>
      </c>
      <c r="Z792" s="12" t="s">
        <v>445</v>
      </c>
      <c r="AA792" s="12" t="s">
        <v>367</v>
      </c>
      <c r="AB792" s="8" t="s">
        <v>2007</v>
      </c>
      <c r="AC792" s="14" t="s">
        <v>48</v>
      </c>
      <c r="AD792" s="14" t="s">
        <v>1571</v>
      </c>
    </row>
    <row r="793" spans="1:30" ht="80.099999999999994" customHeight="1">
      <c r="A793" s="5">
        <v>153</v>
      </c>
      <c r="B793" s="12">
        <v>2018</v>
      </c>
      <c r="C793" s="12" t="s">
        <v>65</v>
      </c>
      <c r="D793" s="14" t="str">
        <f>'[1]V, inciso o) (OP)'!C390</f>
        <v>DOPI-MUN-RM-BAN-AD-153-2018</v>
      </c>
      <c r="E793" s="13">
        <f>'[1]V, inciso o) (OP)'!V390</f>
        <v>43224</v>
      </c>
      <c r="F793" s="14" t="str">
        <f>'[1]V, inciso o) (OP)'!AA390</f>
        <v xml:space="preserve">Peatonalización, construcción de banquetas, bolardos, jardinería, señalética y servicios complementarios en la calle Ocampo de Av. Aviación a calle Independencia, en la localidad de San Juan de Ocotan, municipio de Zapopan, Jalisco.  </v>
      </c>
      <c r="G793" s="14" t="s">
        <v>499</v>
      </c>
      <c r="H793" s="15">
        <f>'[1]V, inciso o) (OP)'!Y390</f>
        <v>1752110.87</v>
      </c>
      <c r="I793" s="14" t="s">
        <v>1200</v>
      </c>
      <c r="J793" s="14" t="str">
        <f>'[1]V, inciso o) (OP)'!M390</f>
        <v>JOSÉ ANTONIO</v>
      </c>
      <c r="K793" s="14" t="str">
        <f>'[1]V, inciso o) (OP)'!N390</f>
        <v>CISNEROS</v>
      </c>
      <c r="L793" s="14" t="str">
        <f>'[1]V, inciso o) (OP)'!O390</f>
        <v>CASTILLO</v>
      </c>
      <c r="M793" s="14" t="str">
        <f>'[1]V, inciso o) (OP)'!P390</f>
        <v>AXIOMA PROYECTOS E INGENIERIA, S.A. DE C.V.</v>
      </c>
      <c r="N793" s="14" t="str">
        <f>'[1]V, inciso o) (OP)'!Q390</f>
        <v>APE111122MI0</v>
      </c>
      <c r="O793" s="15">
        <f t="shared" si="23"/>
        <v>1752110.87</v>
      </c>
      <c r="P793" s="15">
        <f t="shared" si="24"/>
        <v>1752110.87</v>
      </c>
      <c r="Q793" s="21" t="s">
        <v>1330</v>
      </c>
      <c r="R793" s="22">
        <f>O793/2562</f>
        <v>683.88402419984391</v>
      </c>
      <c r="S793" s="12" t="s">
        <v>42</v>
      </c>
      <c r="T793" s="17">
        <v>1025</v>
      </c>
      <c r="U793" s="14" t="s">
        <v>43</v>
      </c>
      <c r="V793" s="12" t="s">
        <v>378</v>
      </c>
      <c r="W793" s="13">
        <f>'[1]V, inciso o) (OP)'!AD390</f>
        <v>43227</v>
      </c>
      <c r="X793" s="13">
        <f>'[1]V, inciso o) (OP)'!AE390</f>
        <v>43266</v>
      </c>
      <c r="Y793" s="12" t="s">
        <v>399</v>
      </c>
      <c r="Z793" s="12" t="s">
        <v>284</v>
      </c>
      <c r="AA793" s="12" t="s">
        <v>81</v>
      </c>
      <c r="AB793" s="8" t="s">
        <v>2008</v>
      </c>
      <c r="AC793" s="14" t="s">
        <v>48</v>
      </c>
      <c r="AD793" s="14" t="s">
        <v>1571</v>
      </c>
    </row>
    <row r="794" spans="1:30" ht="80.099999999999994" customHeight="1">
      <c r="A794" s="5">
        <v>154</v>
      </c>
      <c r="B794" s="12">
        <v>2018</v>
      </c>
      <c r="C794" s="12" t="s">
        <v>65</v>
      </c>
      <c r="D794" s="14" t="str">
        <f>'[1]V, inciso o) (OP)'!C391</f>
        <v>DOPI-MUN-RM-CALAFATEO-AD-154-2018</v>
      </c>
      <c r="E794" s="13">
        <f>'[1]V, inciso o) (OP)'!V391</f>
        <v>43231</v>
      </c>
      <c r="F794" s="14" t="str">
        <f>'[1]V, inciso o) (OP)'!AA391</f>
        <v>Calafateo en juntas de pavimentos hidráulicos con sellador asfaltico en vialidades, en la Av. General Ramón Corona, municipio de Zapopan, Jalisco.</v>
      </c>
      <c r="G794" s="14" t="s">
        <v>499</v>
      </c>
      <c r="H794" s="15">
        <f>'[1]V, inciso o) (OP)'!Y391</f>
        <v>829426.31</v>
      </c>
      <c r="I794" s="14" t="s">
        <v>1328</v>
      </c>
      <c r="J794" s="14" t="str">
        <f>'[1]V, inciso o) (OP)'!M391</f>
        <v>LUIS MIGUEL</v>
      </c>
      <c r="K794" s="14" t="str">
        <f>'[1]V, inciso o) (OP)'!N391</f>
        <v>TORRES</v>
      </c>
      <c r="L794" s="14" t="str">
        <f>'[1]V, inciso o) (OP)'!O391</f>
        <v>DÍAZ BARRIGA</v>
      </c>
      <c r="M794" s="14" t="str">
        <f>'[1]V, inciso o) (OP)'!P391</f>
        <v>ARQUITECTURA Y DISEÑO EN ARMONIA, S.A. DE C.V.</v>
      </c>
      <c r="N794" s="14" t="str">
        <f>'[1]V, inciso o) (OP)'!Q391</f>
        <v>ADA040607DY7</v>
      </c>
      <c r="O794" s="15">
        <f t="shared" si="23"/>
        <v>829426.31</v>
      </c>
      <c r="P794" s="15">
        <f t="shared" si="24"/>
        <v>829426.31</v>
      </c>
      <c r="Q794" s="21" t="s">
        <v>1331</v>
      </c>
      <c r="R794" s="22">
        <f>O794/9124</f>
        <v>90.905996273564227</v>
      </c>
      <c r="S794" s="12" t="s">
        <v>42</v>
      </c>
      <c r="T794" s="17">
        <v>3658</v>
      </c>
      <c r="U794" s="14" t="s">
        <v>43</v>
      </c>
      <c r="V794" s="12" t="s">
        <v>378</v>
      </c>
      <c r="W794" s="13">
        <f>'[1]V, inciso o) (OP)'!AD391</f>
        <v>43235</v>
      </c>
      <c r="X794" s="13">
        <f>'[1]V, inciso o) (OP)'!AE391</f>
        <v>43266</v>
      </c>
      <c r="Y794" s="12" t="s">
        <v>399</v>
      </c>
      <c r="Z794" s="12" t="s">
        <v>284</v>
      </c>
      <c r="AA794" s="12" t="s">
        <v>81</v>
      </c>
      <c r="AB794" s="8" t="s">
        <v>2009</v>
      </c>
      <c r="AC794" s="14" t="s">
        <v>48</v>
      </c>
      <c r="AD794" s="14" t="s">
        <v>1571</v>
      </c>
    </row>
    <row r="795" spans="1:30" ht="80.099999999999994" customHeight="1">
      <c r="A795" s="5">
        <v>155</v>
      </c>
      <c r="B795" s="12">
        <v>2018</v>
      </c>
      <c r="C795" s="12" t="s">
        <v>65</v>
      </c>
      <c r="D795" s="14" t="str">
        <f>'[1]V, inciso o) (OP)'!C392</f>
        <v>DOPI-MUN-RM-PAV-AD-155-2018</v>
      </c>
      <c r="E795" s="13">
        <f>'[1]V, inciso o) (OP)'!V392</f>
        <v>43231</v>
      </c>
      <c r="F795" s="14" t="str">
        <f>'[1]V, inciso o) (OP)'!AA392</f>
        <v>Obra complementaria para la terminación de la construcción de la calle Deli con concreto hidráulico de calle Ozomatli a calle Acatl, en la colonia Mesa Colorada, municipio de Zapopan, Jalisco.</v>
      </c>
      <c r="G795" s="14" t="s">
        <v>499</v>
      </c>
      <c r="H795" s="15">
        <f>'[1]V, inciso o) (OP)'!Y392</f>
        <v>1398863.95</v>
      </c>
      <c r="I795" s="14" t="s">
        <v>687</v>
      </c>
      <c r="J795" s="14" t="str">
        <f>'[1]V, inciso o) (OP)'!M392</f>
        <v>CARLOS ALBERTO</v>
      </c>
      <c r="K795" s="14" t="str">
        <f>'[1]V, inciso o) (OP)'!N392</f>
        <v>VALENCIA</v>
      </c>
      <c r="L795" s="14" t="str">
        <f>'[1]V, inciso o) (OP)'!O392</f>
        <v>MENCHACA</v>
      </c>
      <c r="M795" s="14" t="str">
        <f>'[1]V, inciso o) (OP)'!P392</f>
        <v>CONSTRUCTORA AUTLENSE, S.A. DE C.V.</v>
      </c>
      <c r="N795" s="14" t="str">
        <f>'[1]V, inciso o) (OP)'!Q392</f>
        <v>CAU980304DC0</v>
      </c>
      <c r="O795" s="15">
        <f t="shared" si="23"/>
        <v>1398863.95</v>
      </c>
      <c r="P795" s="15">
        <f t="shared" si="24"/>
        <v>1398863.95</v>
      </c>
      <c r="Q795" s="21" t="s">
        <v>1332</v>
      </c>
      <c r="R795" s="22">
        <f>O795/860</f>
        <v>1626.585988372093</v>
      </c>
      <c r="S795" s="12" t="s">
        <v>42</v>
      </c>
      <c r="T795" s="17">
        <v>629</v>
      </c>
      <c r="U795" s="14" t="s">
        <v>43</v>
      </c>
      <c r="V795" s="12" t="s">
        <v>378</v>
      </c>
      <c r="W795" s="13">
        <f>'[1]V, inciso o) (OP)'!AD392</f>
        <v>43234</v>
      </c>
      <c r="X795" s="13">
        <f>'[1]V, inciso o) (OP)'!AE392</f>
        <v>43281</v>
      </c>
      <c r="Y795" s="12" t="s">
        <v>350</v>
      </c>
      <c r="Z795" s="12" t="s">
        <v>351</v>
      </c>
      <c r="AA795" s="12" t="s">
        <v>352</v>
      </c>
      <c r="AB795" s="8" t="s">
        <v>2010</v>
      </c>
      <c r="AC795" s="14" t="s">
        <v>48</v>
      </c>
      <c r="AD795" s="14" t="s">
        <v>1571</v>
      </c>
    </row>
    <row r="796" spans="1:30" ht="80.099999999999994" customHeight="1">
      <c r="A796" s="5">
        <v>156</v>
      </c>
      <c r="B796" s="12">
        <v>2018</v>
      </c>
      <c r="C796" s="12" t="s">
        <v>65</v>
      </c>
      <c r="D796" s="14" t="str">
        <f>'[1]V, inciso o) (OP)'!C393</f>
        <v>DOPI-MUN-R33-ELE-AD-156-2018</v>
      </c>
      <c r="E796" s="13">
        <f>'[1]V, inciso o) (OP)'!V393</f>
        <v>43241</v>
      </c>
      <c r="F796" s="14" t="str">
        <f>'[1]V, inciso o) (OP)'!AA393</f>
        <v>Red de electrificación en la colonia Jardines de Santa Ana, municipio de Zapopan, Jalisco.</v>
      </c>
      <c r="G796" s="14" t="s">
        <v>516</v>
      </c>
      <c r="H796" s="15">
        <f>'[1]V, inciso o) (OP)'!Y393</f>
        <v>591586.15</v>
      </c>
      <c r="I796" s="14" t="s">
        <v>1333</v>
      </c>
      <c r="J796" s="14" t="str">
        <f>'[1]V, inciso o) (OP)'!M393</f>
        <v>ARMANDO</v>
      </c>
      <c r="K796" s="14" t="str">
        <f>'[1]V, inciso o) (OP)'!N393</f>
        <v>ARROYO</v>
      </c>
      <c r="L796" s="14" t="str">
        <f>'[1]V, inciso o) (OP)'!O393</f>
        <v>ZEPEDA</v>
      </c>
      <c r="M796" s="14" t="str">
        <f>'[1]V, inciso o) (OP)'!P393</f>
        <v>CONSTRUCTORA Y URBANIZADORA PORTOKALI, S.A. DE C.V.</v>
      </c>
      <c r="N796" s="14" t="str">
        <f>'[1]V, inciso o) (OP)'!Q393</f>
        <v>CUP160122E20</v>
      </c>
      <c r="O796" s="15">
        <f t="shared" si="23"/>
        <v>591586.15</v>
      </c>
      <c r="P796" s="15">
        <f t="shared" si="24"/>
        <v>591586.15</v>
      </c>
      <c r="Q796" s="21" t="s">
        <v>1334</v>
      </c>
      <c r="R796" s="22">
        <f>O796/326</f>
        <v>1814.6814417177916</v>
      </c>
      <c r="S796" s="12" t="s">
        <v>42</v>
      </c>
      <c r="T796" s="17">
        <v>365</v>
      </c>
      <c r="U796" s="14" t="s">
        <v>43</v>
      </c>
      <c r="V796" s="12" t="s">
        <v>378</v>
      </c>
      <c r="W796" s="13">
        <f>'[1]V, inciso o) (OP)'!AD393</f>
        <v>43242</v>
      </c>
      <c r="X796" s="13">
        <f>'[1]V, inciso o) (OP)'!AE393</f>
        <v>43296</v>
      </c>
      <c r="Y796" s="12" t="s">
        <v>408</v>
      </c>
      <c r="Z796" s="12" t="s">
        <v>301</v>
      </c>
      <c r="AA796" s="12" t="s">
        <v>518</v>
      </c>
      <c r="AB796" s="14" t="s">
        <v>48</v>
      </c>
      <c r="AC796" s="14" t="s">
        <v>48</v>
      </c>
      <c r="AD796" s="14" t="s">
        <v>1571</v>
      </c>
    </row>
    <row r="797" spans="1:30" s="9" customFormat="1" ht="80.099999999999994" customHeight="1">
      <c r="A797" s="10"/>
      <c r="B797" s="12">
        <v>2018</v>
      </c>
      <c r="C797" s="12" t="s">
        <v>65</v>
      </c>
      <c r="D797" s="14" t="s">
        <v>2035</v>
      </c>
      <c r="E797" s="13">
        <v>43241</v>
      </c>
      <c r="F797" s="14" t="s">
        <v>2167</v>
      </c>
      <c r="G797" s="14" t="s">
        <v>499</v>
      </c>
      <c r="H797" s="15">
        <v>990462.1</v>
      </c>
      <c r="I797" s="14" t="s">
        <v>1071</v>
      </c>
      <c r="J797" s="14" t="s">
        <v>2115</v>
      </c>
      <c r="K797" s="14" t="s">
        <v>2116</v>
      </c>
      <c r="L797" s="14" t="s">
        <v>2117</v>
      </c>
      <c r="M797" s="14" t="s">
        <v>2118</v>
      </c>
      <c r="N797" s="14" t="s">
        <v>2119</v>
      </c>
      <c r="O797" s="15">
        <v>990462.1</v>
      </c>
      <c r="P797" s="15" t="s">
        <v>48</v>
      </c>
      <c r="Q797" s="21" t="s">
        <v>2166</v>
      </c>
      <c r="R797" s="22">
        <v>26769.245945945946</v>
      </c>
      <c r="S797" s="12" t="s">
        <v>42</v>
      </c>
      <c r="T797" s="17">
        <v>68952</v>
      </c>
      <c r="U797" s="14" t="s">
        <v>43</v>
      </c>
      <c r="V797" s="12" t="s">
        <v>378</v>
      </c>
      <c r="W797" s="13">
        <v>43242</v>
      </c>
      <c r="X797" s="13">
        <v>43271</v>
      </c>
      <c r="Y797" s="12" t="s">
        <v>875</v>
      </c>
      <c r="Z797" s="12" t="s">
        <v>876</v>
      </c>
      <c r="AA797" s="12" t="s">
        <v>877</v>
      </c>
      <c r="AB797" s="14" t="s">
        <v>48</v>
      </c>
      <c r="AC797" s="14" t="s">
        <v>48</v>
      </c>
      <c r="AD797" s="14"/>
    </row>
    <row r="798" spans="1:30" ht="80.099999999999994" customHeight="1">
      <c r="A798" s="5">
        <v>158</v>
      </c>
      <c r="B798" s="12">
        <v>2018</v>
      </c>
      <c r="C798" s="12" t="s">
        <v>65</v>
      </c>
      <c r="D798" s="14" t="str">
        <f>'[1]V, inciso o) (OP)'!C394</f>
        <v>DOPI-MUN-RM-IM-AD-158-2018</v>
      </c>
      <c r="E798" s="13">
        <f>'[1]V, inciso o) (OP)'!V394</f>
        <v>43234</v>
      </c>
      <c r="F798" s="14" t="str">
        <f>'[1]V, inciso o) (OP)'!AA394</f>
        <v>Construcción de cimentación, apoyos y rampas de acceso para la reubicación de puente peatonal, ubicado sobre carretera Guadalajara - Nogales, colonia Rancho Contento, municipio de Zapopan, Jalisco.</v>
      </c>
      <c r="G798" s="14" t="s">
        <v>499</v>
      </c>
      <c r="H798" s="15">
        <f>'[1]V, inciso o) (OP)'!Y394</f>
        <v>490385.66</v>
      </c>
      <c r="I798" s="14" t="s">
        <v>1335</v>
      </c>
      <c r="J798" s="14" t="str">
        <f>'[1]V, inciso o) (OP)'!M394</f>
        <v xml:space="preserve">EDUARDO </v>
      </c>
      <c r="K798" s="14" t="str">
        <f>'[1]V, inciso o) (OP)'!N394</f>
        <v>ROMERO</v>
      </c>
      <c r="L798" s="14" t="str">
        <f>'[1]V, inciso o) (OP)'!O394</f>
        <v>LUGO</v>
      </c>
      <c r="M798" s="14" t="str">
        <f>'[1]V, inciso o) (OP)'!P394</f>
        <v>RS OBRAS Y SERVICIOS S.A. DE C.V.</v>
      </c>
      <c r="N798" s="14" t="str">
        <f>'[1]V, inciso o) (OP)'!Q394</f>
        <v>ROS120904PV9</v>
      </c>
      <c r="O798" s="15">
        <f t="shared" si="23"/>
        <v>490385.66</v>
      </c>
      <c r="P798" s="15">
        <f t="shared" si="24"/>
        <v>490385.66</v>
      </c>
      <c r="Q798" s="21" t="s">
        <v>1336</v>
      </c>
      <c r="R798" s="22">
        <f>O798/2023</f>
        <v>242.40517053880373</v>
      </c>
      <c r="S798" s="12" t="s">
        <v>42</v>
      </c>
      <c r="T798" s="17">
        <v>1086</v>
      </c>
      <c r="U798" s="14" t="s">
        <v>43</v>
      </c>
      <c r="V798" s="12" t="s">
        <v>378</v>
      </c>
      <c r="W798" s="13">
        <f>'[1]V, inciso o) (OP)'!AD394</f>
        <v>43234</v>
      </c>
      <c r="X798" s="13">
        <f>'[1]V, inciso o) (OP)'!AE394</f>
        <v>43281</v>
      </c>
      <c r="Y798" s="12" t="s">
        <v>385</v>
      </c>
      <c r="Z798" s="12" t="s">
        <v>46</v>
      </c>
      <c r="AA798" s="12" t="s">
        <v>47</v>
      </c>
      <c r="AB798" s="14" t="s">
        <v>48</v>
      </c>
      <c r="AC798" s="14" t="s">
        <v>48</v>
      </c>
      <c r="AD798" s="14" t="s">
        <v>1571</v>
      </c>
    </row>
    <row r="799" spans="1:30" ht="80.099999999999994" customHeight="1">
      <c r="A799" s="5">
        <v>159</v>
      </c>
      <c r="B799" s="12">
        <v>2018</v>
      </c>
      <c r="C799" s="12" t="s">
        <v>65</v>
      </c>
      <c r="D799" s="14" t="str">
        <f>'[1]V, inciso o) (OP)'!C395</f>
        <v>DOPI-MUN-RM-ELE-AD-159-2018</v>
      </c>
      <c r="E799" s="13">
        <f>'[1]V, inciso o) (OP)'!V395</f>
        <v>43241</v>
      </c>
      <c r="F799" s="14" t="str">
        <f>'[1]V, inciso o) (OP)'!AA395</f>
        <v>Red de electrificación y alumbrado público en la colonia Jardines de los Alamos, municipio de Zapopan, Jalisco.</v>
      </c>
      <c r="G799" s="14" t="s">
        <v>499</v>
      </c>
      <c r="H799" s="15">
        <f>'[1]V, inciso o) (OP)'!Y395</f>
        <v>1396209.13</v>
      </c>
      <c r="I799" s="14" t="s">
        <v>1337</v>
      </c>
      <c r="J799" s="14" t="str">
        <f>'[1]V, inciso o) (OP)'!M395</f>
        <v>ARMANDO</v>
      </c>
      <c r="K799" s="14" t="str">
        <f>'[1]V, inciso o) (OP)'!N395</f>
        <v>ARROYO</v>
      </c>
      <c r="L799" s="14" t="str">
        <f>'[1]V, inciso o) (OP)'!O395</f>
        <v>ZEPEDA</v>
      </c>
      <c r="M799" s="14" t="str">
        <f>'[1]V, inciso o) (OP)'!P395</f>
        <v>CONSTRUCCIÓNES Y EXTRUCTURAS ITZ, S.A. DE C.V.</v>
      </c>
      <c r="N799" s="14" t="str">
        <f>'[1]V, inciso o) (OP)'!Q395</f>
        <v>CEI000807E95</v>
      </c>
      <c r="O799" s="15">
        <f t="shared" si="23"/>
        <v>1396209.13</v>
      </c>
      <c r="P799" s="15">
        <f t="shared" si="24"/>
        <v>1396209.13</v>
      </c>
      <c r="Q799" s="21" t="s">
        <v>1338</v>
      </c>
      <c r="R799" s="22">
        <f>O799/485</f>
        <v>2878.7817113402061</v>
      </c>
      <c r="S799" s="12" t="s">
        <v>42</v>
      </c>
      <c r="T799" s="17">
        <v>269</v>
      </c>
      <c r="U799" s="14" t="s">
        <v>43</v>
      </c>
      <c r="V799" s="12" t="s">
        <v>378</v>
      </c>
      <c r="W799" s="13">
        <f>'[1]V, inciso o) (OP)'!AD395</f>
        <v>43242</v>
      </c>
      <c r="X799" s="13">
        <f>'[1]V, inciso o) (OP)'!AE395</f>
        <v>43296</v>
      </c>
      <c r="Y799" s="12" t="s">
        <v>408</v>
      </c>
      <c r="Z799" s="12" t="s">
        <v>301</v>
      </c>
      <c r="AA799" s="12" t="s">
        <v>518</v>
      </c>
      <c r="AB799" s="8" t="s">
        <v>2011</v>
      </c>
      <c r="AC799" s="14" t="s">
        <v>48</v>
      </c>
      <c r="AD799" s="14" t="s">
        <v>1571</v>
      </c>
    </row>
    <row r="800" spans="1:30" ht="80.099999999999994" customHeight="1">
      <c r="A800" s="5">
        <v>160</v>
      </c>
      <c r="B800" s="12">
        <v>2018</v>
      </c>
      <c r="C800" s="12" t="s">
        <v>65</v>
      </c>
      <c r="D800" s="14" t="str">
        <f>'[1]V, inciso o) (OP)'!C396</f>
        <v>DOPI-MUN-RM-IM-AD-160-2018</v>
      </c>
      <c r="E800" s="13">
        <f>'[1]V, inciso o) (OP)'!V396</f>
        <v>43248</v>
      </c>
      <c r="F800" s="14" t="str">
        <f>'[1]V, inciso o) (OP)'!AA396</f>
        <v>Reforzamiento y ampliación de estructura de puente peatonal, ubicado sobre carretera Guadalajara - Nogales, colonia Rancho Contento, municipio de Zapopan, Jalisco.</v>
      </c>
      <c r="G800" s="14" t="s">
        <v>499</v>
      </c>
      <c r="H800" s="15">
        <f>'[1]V, inciso o) (OP)'!Y396</f>
        <v>1660259.98</v>
      </c>
      <c r="I800" s="14" t="s">
        <v>1335</v>
      </c>
      <c r="J800" s="14" t="str">
        <f>'[1]V, inciso o) (OP)'!M396</f>
        <v>CLAUDIO FELIPE</v>
      </c>
      <c r="K800" s="14" t="str">
        <f>'[1]V, inciso o) (OP)'!N396</f>
        <v>TRUJILLO</v>
      </c>
      <c r="L800" s="14" t="str">
        <f>'[1]V, inciso o) (OP)'!O396</f>
        <v>GRACIAN</v>
      </c>
      <c r="M800" s="14" t="str">
        <f>'[1]V, inciso o) (OP)'!P396</f>
        <v>DESARROLLADORA LUMADI, S.A. DE C.V.</v>
      </c>
      <c r="N800" s="14" t="str">
        <f>'[1]V, inciso o) (OP)'!Q396</f>
        <v>DLU100818F46</v>
      </c>
      <c r="O800" s="15">
        <f t="shared" si="23"/>
        <v>1660259.98</v>
      </c>
      <c r="P800" s="15">
        <f t="shared" si="24"/>
        <v>1660259.98</v>
      </c>
      <c r="Q800" s="21" t="s">
        <v>1339</v>
      </c>
      <c r="R800" s="22">
        <f>O800/17000</f>
        <v>97.662351764705875</v>
      </c>
      <c r="S800" s="12" t="s">
        <v>42</v>
      </c>
      <c r="T800" s="17">
        <v>1086</v>
      </c>
      <c r="U800" s="14" t="s">
        <v>43</v>
      </c>
      <c r="V800" s="12" t="s">
        <v>378</v>
      </c>
      <c r="W800" s="13">
        <f>'[1]V, inciso o) (OP)'!AD396</f>
        <v>43248</v>
      </c>
      <c r="X800" s="13">
        <f>'[1]V, inciso o) (OP)'!AE396</f>
        <v>43296</v>
      </c>
      <c r="Y800" s="12" t="s">
        <v>385</v>
      </c>
      <c r="Z800" s="12" t="s">
        <v>46</v>
      </c>
      <c r="AA800" s="12" t="s">
        <v>47</v>
      </c>
      <c r="AB800" s="8" t="s">
        <v>2012</v>
      </c>
      <c r="AC800" s="14" t="s">
        <v>48</v>
      </c>
      <c r="AD800" s="14" t="s">
        <v>1571</v>
      </c>
    </row>
    <row r="801" spans="1:30" ht="80.099999999999994" customHeight="1">
      <c r="A801" s="5">
        <v>161</v>
      </c>
      <c r="B801" s="12">
        <v>2018</v>
      </c>
      <c r="C801" s="12" t="s">
        <v>65</v>
      </c>
      <c r="D801" s="14" t="str">
        <f>'[1]V, inciso o) (OP)'!C397</f>
        <v>DOPI-MUN-RM-AP-AD-161-2018</v>
      </c>
      <c r="E801" s="13">
        <f>'[1]V, inciso o) (OP)'!V397</f>
        <v>43234</v>
      </c>
      <c r="F801" s="14" t="str">
        <f>'[1]V, inciso o) (OP)'!AA397</f>
        <v>Construcción de bocas de tormenta y pozos de absorción en la Av. General Ramón Corona, en la zona de La Mojonera, municipio de Zapopan, Jalisco, frente 2.</v>
      </c>
      <c r="G801" s="14" t="s">
        <v>499</v>
      </c>
      <c r="H801" s="15">
        <f>'[1]V, inciso o) (OP)'!Y397</f>
        <v>1799142.18</v>
      </c>
      <c r="I801" s="14" t="s">
        <v>1328</v>
      </c>
      <c r="J801" s="14" t="str">
        <f>'[1]V, inciso o) (OP)'!M397</f>
        <v>JORGE ALFREDO</v>
      </c>
      <c r="K801" s="14" t="str">
        <f>'[1]V, inciso o) (OP)'!N397</f>
        <v>OCHOA</v>
      </c>
      <c r="L801" s="14" t="str">
        <f>'[1]V, inciso o) (OP)'!O397</f>
        <v>GONZÁLEZ</v>
      </c>
      <c r="M801" s="14" t="str">
        <f>'[1]V, inciso o) (OP)'!P397</f>
        <v>AEDIFICANT, S.A. DE C.V.</v>
      </c>
      <c r="N801" s="14" t="str">
        <f>'[1]V, inciso o) (OP)'!Q397</f>
        <v>AED890925181</v>
      </c>
      <c r="O801" s="15">
        <f t="shared" si="23"/>
        <v>1799142.18</v>
      </c>
      <c r="P801" s="15">
        <f t="shared" si="24"/>
        <v>1799142.18</v>
      </c>
      <c r="Q801" s="21" t="s">
        <v>1340</v>
      </c>
      <c r="R801" s="22">
        <f>O801/25</f>
        <v>71965.6872</v>
      </c>
      <c r="S801" s="12" t="s">
        <v>42</v>
      </c>
      <c r="T801" s="17">
        <v>5622</v>
      </c>
      <c r="U801" s="14" t="s">
        <v>43</v>
      </c>
      <c r="V801" s="12" t="s">
        <v>378</v>
      </c>
      <c r="W801" s="13">
        <f>'[1]V, inciso o) (OP)'!AD397</f>
        <v>43234</v>
      </c>
      <c r="X801" s="13">
        <f>'[1]V, inciso o) (OP)'!AE397</f>
        <v>43281</v>
      </c>
      <c r="Y801" s="12" t="s">
        <v>399</v>
      </c>
      <c r="Z801" s="12" t="s">
        <v>284</v>
      </c>
      <c r="AA801" s="12" t="s">
        <v>81</v>
      </c>
      <c r="AB801" s="14" t="s">
        <v>48</v>
      </c>
      <c r="AC801" s="14" t="s">
        <v>48</v>
      </c>
      <c r="AD801" s="14" t="s">
        <v>1571</v>
      </c>
    </row>
    <row r="802" spans="1:30" s="9" customFormat="1" ht="80.099999999999994" customHeight="1">
      <c r="A802" s="10"/>
      <c r="B802" s="14">
        <v>2018</v>
      </c>
      <c r="C802" s="14" t="s">
        <v>65</v>
      </c>
      <c r="D802" s="14" t="s">
        <v>2014</v>
      </c>
      <c r="E802" s="25">
        <v>43241</v>
      </c>
      <c r="F802" s="24" t="s">
        <v>2015</v>
      </c>
      <c r="G802" s="26" t="s">
        <v>499</v>
      </c>
      <c r="H802" s="27">
        <v>830834.62</v>
      </c>
      <c r="I802" s="14" t="s">
        <v>2016</v>
      </c>
      <c r="J802" s="28" t="s">
        <v>2017</v>
      </c>
      <c r="K802" s="14" t="s">
        <v>2018</v>
      </c>
      <c r="L802" s="14" t="s">
        <v>2019</v>
      </c>
      <c r="M802" s="25" t="s">
        <v>2020</v>
      </c>
      <c r="N802" s="25" t="s">
        <v>2021</v>
      </c>
      <c r="O802" s="24">
        <v>830834.62</v>
      </c>
      <c r="P802" s="24">
        <v>830834.62</v>
      </c>
      <c r="Q802" s="14" t="s">
        <v>2022</v>
      </c>
      <c r="R802" s="24">
        <v>3077.1652592592591</v>
      </c>
      <c r="S802" s="14" t="s">
        <v>42</v>
      </c>
      <c r="T802" s="28">
        <v>2062</v>
      </c>
      <c r="U802" s="14" t="s">
        <v>43</v>
      </c>
      <c r="V802" s="14" t="s">
        <v>378</v>
      </c>
      <c r="W802" s="25">
        <v>43241</v>
      </c>
      <c r="X802" s="25">
        <v>43281</v>
      </c>
      <c r="Y802" s="14" t="s">
        <v>444</v>
      </c>
      <c r="Z802" s="14" t="s">
        <v>445</v>
      </c>
      <c r="AA802" s="14" t="s">
        <v>367</v>
      </c>
      <c r="AB802" s="14" t="s">
        <v>48</v>
      </c>
      <c r="AC802" s="14" t="s">
        <v>48</v>
      </c>
      <c r="AD802" s="14" t="s">
        <v>2023</v>
      </c>
    </row>
    <row r="803" spans="1:30" ht="80.099999999999994" customHeight="1">
      <c r="A803" s="5">
        <v>163</v>
      </c>
      <c r="B803" s="12">
        <v>2018</v>
      </c>
      <c r="C803" s="12" t="s">
        <v>65</v>
      </c>
      <c r="D803" s="14" t="str">
        <f>'[1]V, inciso o) (OP)'!C398</f>
        <v>DOPI-MUN-RM-MOV-AD-163-2018</v>
      </c>
      <c r="E803" s="13">
        <f>'[1]V, inciso o) (OP)'!V398</f>
        <v>43248</v>
      </c>
      <c r="F803" s="14" t="str">
        <f>'[1]V, inciso o) (OP)'!AA398</f>
        <v>Construcción de ciclovía y señalamiento sobre el carril sur de la Av. General Ramón Corona, municipio de Zapopan, Jalisco.</v>
      </c>
      <c r="G803" s="14" t="s">
        <v>499</v>
      </c>
      <c r="H803" s="15">
        <f>'[1]V, inciso o) (OP)'!Y398</f>
        <v>1798376</v>
      </c>
      <c r="I803" s="14" t="s">
        <v>1328</v>
      </c>
      <c r="J803" s="14" t="str">
        <f>'[1]V, inciso o) (OP)'!M398</f>
        <v>JOSÉ ANTONIO</v>
      </c>
      <c r="K803" s="14" t="str">
        <f>'[1]V, inciso o) (OP)'!N398</f>
        <v>CUEVAS</v>
      </c>
      <c r="L803" s="14" t="str">
        <f>'[1]V, inciso o) (OP)'!O398</f>
        <v>BRISEÑO</v>
      </c>
      <c r="M803" s="14" t="str">
        <f>'[1]V, inciso o) (OP)'!P398</f>
        <v>JOSÉ ANTONIO CUEVAS BRISEÑO</v>
      </c>
      <c r="N803" s="14" t="str">
        <f>'[1]V, inciso o) (OP)'!Q398</f>
        <v>CUBA5705179V8</v>
      </c>
      <c r="O803" s="15">
        <f t="shared" si="23"/>
        <v>1798376</v>
      </c>
      <c r="P803" s="15">
        <f t="shared" si="24"/>
        <v>1798376</v>
      </c>
      <c r="Q803" s="21" t="s">
        <v>1341</v>
      </c>
      <c r="R803" s="22">
        <f>O803/1200</f>
        <v>1498.6466666666668</v>
      </c>
      <c r="S803" s="12" t="s">
        <v>42</v>
      </c>
      <c r="T803" s="17">
        <v>5622</v>
      </c>
      <c r="U803" s="14" t="s">
        <v>43</v>
      </c>
      <c r="V803" s="12" t="s">
        <v>378</v>
      </c>
      <c r="W803" s="13">
        <f>'[1]V, inciso o) (OP)'!AD398</f>
        <v>43248</v>
      </c>
      <c r="X803" s="13">
        <f>'[1]V, inciso o) (OP)'!AE398</f>
        <v>43296</v>
      </c>
      <c r="Y803" s="12" t="s">
        <v>399</v>
      </c>
      <c r="Z803" s="12" t="s">
        <v>284</v>
      </c>
      <c r="AA803" s="12" t="s">
        <v>81</v>
      </c>
      <c r="AB803" s="8" t="s">
        <v>2013</v>
      </c>
      <c r="AC803" s="14" t="s">
        <v>48</v>
      </c>
      <c r="AD803" s="14" t="s">
        <v>1571</v>
      </c>
    </row>
    <row r="804" spans="1:30" ht="80.099999999999994" customHeight="1">
      <c r="A804" s="5">
        <v>164</v>
      </c>
      <c r="B804" s="12">
        <v>2018</v>
      </c>
      <c r="C804" s="12" t="s">
        <v>65</v>
      </c>
      <c r="D804" s="14" t="str">
        <f>'[1]V, inciso o) (OP)'!C399</f>
        <v>DOPI-MUN-RM-MOV-AD-164-2018</v>
      </c>
      <c r="E804" s="13">
        <f>'[1]V, inciso o) (OP)'!V399</f>
        <v>43248</v>
      </c>
      <c r="F804" s="14" t="str">
        <f>'[1]V, inciso o) (OP)'!AA399</f>
        <v>Señalamiento horizontal y vertical en la calle Independencia, colonia Santa María del Pueblito, municipio de Zapopan, Jalisco.</v>
      </c>
      <c r="G804" s="14" t="s">
        <v>499</v>
      </c>
      <c r="H804" s="15">
        <f>'[1]V, inciso o) (OP)'!Y399</f>
        <v>319866.61</v>
      </c>
      <c r="I804" s="14" t="s">
        <v>1342</v>
      </c>
      <c r="J804" s="14" t="str">
        <f>'[1]V, inciso o) (OP)'!M399</f>
        <v>ÁNGEL SALOMÓN</v>
      </c>
      <c r="K804" s="14" t="str">
        <f>'[1]V, inciso o) (OP)'!N399</f>
        <v>RINCÓN</v>
      </c>
      <c r="L804" s="14" t="str">
        <f>'[1]V, inciso o) (OP)'!O399</f>
        <v>DE LA ROSA</v>
      </c>
      <c r="M804" s="14" t="str">
        <f>'[1]V, inciso o) (OP)'!P399</f>
        <v>ARO ASFALTOS Y RIEGOS DE OCCIDENTE, S.A. DE C.V.</v>
      </c>
      <c r="N804" s="14" t="str">
        <f>'[1]V, inciso o) (OP)'!Q399</f>
        <v>AAR120507VA9</v>
      </c>
      <c r="O804" s="15">
        <f t="shared" si="23"/>
        <v>319866.61</v>
      </c>
      <c r="P804" s="15">
        <f t="shared" si="24"/>
        <v>319866.61</v>
      </c>
      <c r="Q804" s="21" t="s">
        <v>1343</v>
      </c>
      <c r="R804" s="22">
        <f>O804/2400</f>
        <v>133.27775416666665</v>
      </c>
      <c r="S804" s="12" t="s">
        <v>42</v>
      </c>
      <c r="T804" s="17">
        <v>1255</v>
      </c>
      <c r="U804" s="14" t="s">
        <v>43</v>
      </c>
      <c r="V804" s="12" t="s">
        <v>378</v>
      </c>
      <c r="W804" s="13">
        <f>'[1]V, inciso o) (OP)'!AD399</f>
        <v>43248</v>
      </c>
      <c r="X804" s="13">
        <f>'[1]V, inciso o) (OP)'!AE399</f>
        <v>43266</v>
      </c>
      <c r="Y804" s="12" t="s">
        <v>322</v>
      </c>
      <c r="Z804" s="12" t="s">
        <v>196</v>
      </c>
      <c r="AA804" s="12" t="s">
        <v>197</v>
      </c>
      <c r="AB804" s="12"/>
      <c r="AC804" s="14" t="s">
        <v>48</v>
      </c>
      <c r="AD804" s="14" t="s">
        <v>1571</v>
      </c>
    </row>
    <row r="805" spans="1:30" ht="80.099999999999994" customHeight="1">
      <c r="A805" s="5">
        <v>165</v>
      </c>
      <c r="B805" s="12">
        <v>2018</v>
      </c>
      <c r="C805" s="12" t="s">
        <v>65</v>
      </c>
      <c r="D805" s="14" t="str">
        <f>'[1]V, inciso o) (OP)'!C400</f>
        <v>DOPI-MUN-RM-BAN-AD-165-2018</v>
      </c>
      <c r="E805" s="13">
        <f>'[1]V, inciso o) (OP)'!V400</f>
        <v>43241</v>
      </c>
      <c r="F805" s="14" t="str">
        <f>'[1]V, inciso o) (OP)'!AA400</f>
        <v xml:space="preserve">Peatonalización, construcción de banquetas, bolardos, jardinería y guarniciones en los cruces de la Av. Arco del Triunfo con las calles Arco Pertinax y Arco Valente en la colonia Arcos de Zapopan, municipio de Zapopan, Jalisco.  </v>
      </c>
      <c r="G805" s="14" t="s">
        <v>499</v>
      </c>
      <c r="H805" s="15">
        <f>'[1]V, inciso o) (OP)'!Y400</f>
        <v>672457.74</v>
      </c>
      <c r="I805" s="14" t="s">
        <v>1344</v>
      </c>
      <c r="J805" s="14" t="str">
        <f>'[1]V, inciso o) (OP)'!M400</f>
        <v>OMAR</v>
      </c>
      <c r="K805" s="14" t="str">
        <f>'[1]V, inciso o) (OP)'!N400</f>
        <v>MORA</v>
      </c>
      <c r="L805" s="14" t="str">
        <f>'[1]V, inciso o) (OP)'!O400</f>
        <v>MONTES DE OCA</v>
      </c>
      <c r="M805" s="14" t="str">
        <f>'[1]V, inciso o) (OP)'!P400</f>
        <v>DOMMONT CONSTRUCCIÓNES, S.A. DE C.V.</v>
      </c>
      <c r="N805" s="14" t="str">
        <f>'[1]V, inciso o) (OP)'!Q400</f>
        <v>DCO130215C16</v>
      </c>
      <c r="O805" s="15">
        <f t="shared" si="23"/>
        <v>672457.74</v>
      </c>
      <c r="P805" s="15">
        <f t="shared" si="24"/>
        <v>672457.74</v>
      </c>
      <c r="Q805" s="21" t="s">
        <v>1345</v>
      </c>
      <c r="R805" s="22">
        <f>O805/300</f>
        <v>2241.5257999999999</v>
      </c>
      <c r="S805" s="12" t="s">
        <v>42</v>
      </c>
      <c r="T805" s="17">
        <v>6239</v>
      </c>
      <c r="U805" s="14" t="s">
        <v>43</v>
      </c>
      <c r="V805" s="12" t="s">
        <v>378</v>
      </c>
      <c r="W805" s="13">
        <f>'[1]V, inciso o) (OP)'!AD400</f>
        <v>43241</v>
      </c>
      <c r="X805" s="13">
        <f>'[1]V, inciso o) (OP)'!AE400</f>
        <v>43281</v>
      </c>
      <c r="Y805" s="12" t="s">
        <v>436</v>
      </c>
      <c r="Z805" s="12" t="s">
        <v>295</v>
      </c>
      <c r="AA805" s="12" t="s">
        <v>76</v>
      </c>
      <c r="AB805" s="8" t="s">
        <v>2024</v>
      </c>
      <c r="AC805" s="14" t="s">
        <v>48</v>
      </c>
      <c r="AD805" s="14" t="s">
        <v>1571</v>
      </c>
    </row>
    <row r="806" spans="1:30" ht="80.099999999999994" customHeight="1">
      <c r="A806" s="5">
        <v>166</v>
      </c>
      <c r="B806" s="12">
        <v>2018</v>
      </c>
      <c r="C806" s="12" t="s">
        <v>65</v>
      </c>
      <c r="D806" s="14" t="str">
        <f>'[1]V, inciso o) (OP)'!C401</f>
        <v>DOPI-MUN-RM-EST-AD-166-2018</v>
      </c>
      <c r="E806" s="13">
        <f>'[1]V, inciso o) (OP)'!V401</f>
        <v>43241</v>
      </c>
      <c r="F806" s="14" t="str">
        <f>'[1]V, inciso o) (OP)'!AA401</f>
        <v>Elaboración de estudio de ingeniería de tránsito en vialidades que comprenden el polígono entre las Av. Servidor Público, Paseo Valle Real, Av. Santa Margarita y Periférico Manuel Gómez Morín, municipio de Zapopan, Jalisco.</v>
      </c>
      <c r="G806" s="14" t="s">
        <v>499</v>
      </c>
      <c r="H806" s="15">
        <f>'[1]V, inciso o) (OP)'!Y401</f>
        <v>400896</v>
      </c>
      <c r="I806" s="14" t="s">
        <v>1346</v>
      </c>
      <c r="J806" s="14" t="str">
        <f>'[1]V, inciso o) (OP)'!M401</f>
        <v>SERGIO ALEJANDRO</v>
      </c>
      <c r="K806" s="14" t="str">
        <f>'[1]V, inciso o) (OP)'!N401</f>
        <v>LARIOS</v>
      </c>
      <c r="L806" s="14" t="str">
        <f>'[1]V, inciso o) (OP)'!O401</f>
        <v>VIRGEN</v>
      </c>
      <c r="M806" s="14" t="str">
        <f>'[1]V, inciso o) (OP)'!P401</f>
        <v xml:space="preserve">ESTUDIOS, PROYECTOS Y SEÑALIZACION VIAL, S.A. DE C.V. </v>
      </c>
      <c r="N806" s="14" t="str">
        <f>'[1]V, inciso o) (OP)'!Q401</f>
        <v>EPS040708MA2</v>
      </c>
      <c r="O806" s="15">
        <f t="shared" si="23"/>
        <v>400896</v>
      </c>
      <c r="P806" s="15">
        <f t="shared" si="24"/>
        <v>400896</v>
      </c>
      <c r="Q806" s="21" t="s">
        <v>623</v>
      </c>
      <c r="R806" s="22">
        <f>O806</f>
        <v>400896</v>
      </c>
      <c r="S806" s="12" t="s">
        <v>125</v>
      </c>
      <c r="T806" s="17" t="s">
        <v>125</v>
      </c>
      <c r="U806" s="14" t="s">
        <v>43</v>
      </c>
      <c r="V806" s="12" t="s">
        <v>378</v>
      </c>
      <c r="W806" s="13">
        <f>'[1]V, inciso o) (OP)'!AD401</f>
        <v>43242</v>
      </c>
      <c r="X806" s="13">
        <f>'[1]V, inciso o) (OP)'!AE401</f>
        <v>43312</v>
      </c>
      <c r="Y806" s="12" t="s">
        <v>692</v>
      </c>
      <c r="Z806" s="12" t="s">
        <v>693</v>
      </c>
      <c r="AA806" s="12" t="s">
        <v>136</v>
      </c>
      <c r="AB806" s="8" t="s">
        <v>2025</v>
      </c>
      <c r="AC806" s="14" t="s">
        <v>48</v>
      </c>
      <c r="AD806" s="14" t="s">
        <v>1571</v>
      </c>
    </row>
    <row r="807" spans="1:30" ht="80.099999999999994" customHeight="1">
      <c r="A807" s="5">
        <v>167</v>
      </c>
      <c r="B807" s="12">
        <v>2018</v>
      </c>
      <c r="C807" s="12" t="s">
        <v>65</v>
      </c>
      <c r="D807" s="14" t="str">
        <f>'[1]V, inciso o) (OP)'!C402</f>
        <v>DOPI-MUN-RM-MOV-AD-167-2018</v>
      </c>
      <c r="E807" s="13">
        <f>'[1]V, inciso o) (OP)'!V402</f>
        <v>43241</v>
      </c>
      <c r="F807" s="14" t="str">
        <f>'[1]V, inciso o) (OP)'!AA402</f>
        <v>Construcción de reductores de velocidad, señalamiento y peatonalización en la calle 2 y calle 5, en la colonia Seattle, municipio de Zapopan, Jalisco.</v>
      </c>
      <c r="G807" s="14" t="s">
        <v>499</v>
      </c>
      <c r="H807" s="15">
        <f>'[1]V, inciso o) (OP)'!Y402</f>
        <v>1618909.35</v>
      </c>
      <c r="I807" s="14" t="s">
        <v>1347</v>
      </c>
      <c r="J807" s="14" t="str">
        <f>'[1]V, inciso o) (OP)'!M402</f>
        <v>J. JESÚS</v>
      </c>
      <c r="K807" s="14" t="str">
        <f>'[1]V, inciso o) (OP)'!N402</f>
        <v>CONTRERAS</v>
      </c>
      <c r="L807" s="14" t="str">
        <f>'[1]V, inciso o) (OP)'!O402</f>
        <v>VILLANUEVA</v>
      </c>
      <c r="M807" s="14" t="str">
        <f>'[1]V, inciso o) (OP)'!P402</f>
        <v>CONSTRUCCIÓNES COVIMEX, S.A. DE C.V.</v>
      </c>
      <c r="N807" s="14" t="str">
        <f>'[1]V, inciso o) (OP)'!Q402</f>
        <v>CCO0404226D8</v>
      </c>
      <c r="O807" s="15">
        <f t="shared" si="23"/>
        <v>1618909.35</v>
      </c>
      <c r="P807" s="15">
        <f t="shared" si="24"/>
        <v>1618909.35</v>
      </c>
      <c r="Q807" s="21" t="s">
        <v>461</v>
      </c>
      <c r="R807" s="22">
        <f>O807/720</f>
        <v>2248.4852083333335</v>
      </c>
      <c r="S807" s="12" t="s">
        <v>42</v>
      </c>
      <c r="T807" s="17">
        <v>963</v>
      </c>
      <c r="U807" s="14" t="s">
        <v>43</v>
      </c>
      <c r="V807" s="12" t="s">
        <v>378</v>
      </c>
      <c r="W807" s="13">
        <f>'[1]V, inciso o) (OP)'!AD402</f>
        <v>43241</v>
      </c>
      <c r="X807" s="13">
        <f>'[1]V, inciso o) (OP)'!AE402</f>
        <v>43281</v>
      </c>
      <c r="Y807" s="12" t="s">
        <v>385</v>
      </c>
      <c r="Z807" s="12" t="s">
        <v>46</v>
      </c>
      <c r="AA807" s="12" t="s">
        <v>47</v>
      </c>
      <c r="AB807" s="8" t="s">
        <v>2026</v>
      </c>
      <c r="AC807" s="14" t="s">
        <v>48</v>
      </c>
      <c r="AD807" s="14" t="s">
        <v>1571</v>
      </c>
    </row>
    <row r="808" spans="1:30" ht="80.099999999999994" customHeight="1">
      <c r="B808" s="31">
        <v>2018</v>
      </c>
      <c r="C808" s="31" t="s">
        <v>143</v>
      </c>
      <c r="D808" s="31" t="s">
        <v>2036</v>
      </c>
      <c r="E808" s="13">
        <v>43273</v>
      </c>
      <c r="F808" s="31" t="s">
        <v>2260</v>
      </c>
      <c r="G808" s="31" t="s">
        <v>499</v>
      </c>
      <c r="H808" s="15">
        <v>5920671.9199999999</v>
      </c>
      <c r="I808" s="31" t="s">
        <v>1121</v>
      </c>
      <c r="J808" s="31" t="s">
        <v>2261</v>
      </c>
      <c r="K808" s="31" t="s">
        <v>2156</v>
      </c>
      <c r="L808" s="31" t="s">
        <v>2157</v>
      </c>
      <c r="M808" s="31" t="s">
        <v>2262</v>
      </c>
      <c r="N808" s="31" t="s">
        <v>2263</v>
      </c>
      <c r="O808" s="32">
        <v>5920671.9199999999</v>
      </c>
      <c r="P808" s="33" t="s">
        <v>48</v>
      </c>
      <c r="Q808" s="31" t="s">
        <v>2168</v>
      </c>
      <c r="R808" s="32">
        <v>1208.3003918367347</v>
      </c>
      <c r="S808" s="31" t="s">
        <v>42</v>
      </c>
      <c r="T808" s="31">
        <v>38596</v>
      </c>
      <c r="U808" s="31" t="s">
        <v>43</v>
      </c>
      <c r="V808" s="33" t="s">
        <v>378</v>
      </c>
      <c r="W808" s="13">
        <v>43328</v>
      </c>
      <c r="X808" s="13">
        <v>43372</v>
      </c>
      <c r="Y808" s="31" t="s">
        <v>767</v>
      </c>
      <c r="Z808" s="31" t="s">
        <v>768</v>
      </c>
      <c r="AA808" s="31" t="s">
        <v>820</v>
      </c>
      <c r="AB808" s="31" t="s">
        <v>48</v>
      </c>
      <c r="AC808" s="31" t="s">
        <v>48</v>
      </c>
      <c r="AD808" s="34"/>
    </row>
    <row r="809" spans="1:30" ht="80.099999999999994" customHeight="1">
      <c r="B809" s="31">
        <v>2018</v>
      </c>
      <c r="C809" s="31" t="s">
        <v>143</v>
      </c>
      <c r="D809" s="31" t="s">
        <v>2037</v>
      </c>
      <c r="E809" s="13">
        <v>43328</v>
      </c>
      <c r="F809" s="31" t="s">
        <v>2264</v>
      </c>
      <c r="G809" s="31" t="s">
        <v>499</v>
      </c>
      <c r="H809" s="15">
        <v>4010354.22</v>
      </c>
      <c r="I809" s="31" t="s">
        <v>1328</v>
      </c>
      <c r="J809" s="31" t="s">
        <v>2136</v>
      </c>
      <c r="K809" s="31" t="s">
        <v>2137</v>
      </c>
      <c r="L809" s="31" t="s">
        <v>2138</v>
      </c>
      <c r="M809" s="31" t="s">
        <v>2265</v>
      </c>
      <c r="N809" s="31" t="s">
        <v>2266</v>
      </c>
      <c r="O809" s="32">
        <v>4010354.22</v>
      </c>
      <c r="P809" s="33" t="s">
        <v>48</v>
      </c>
      <c r="Q809" s="31" t="s">
        <v>2169</v>
      </c>
      <c r="R809" s="32">
        <v>384.05997126987171</v>
      </c>
      <c r="S809" s="31" t="s">
        <v>42</v>
      </c>
      <c r="T809" s="31">
        <v>5622</v>
      </c>
      <c r="U809" s="31" t="s">
        <v>43</v>
      </c>
      <c r="V809" s="33" t="s">
        <v>378</v>
      </c>
      <c r="W809" s="13">
        <v>43328</v>
      </c>
      <c r="X809" s="13">
        <v>43372</v>
      </c>
      <c r="Y809" s="31" t="s">
        <v>399</v>
      </c>
      <c r="Z809" s="31" t="s">
        <v>284</v>
      </c>
      <c r="AA809" s="31" t="s">
        <v>81</v>
      </c>
      <c r="AB809" s="31" t="s">
        <v>48</v>
      </c>
      <c r="AC809" s="31" t="s">
        <v>48</v>
      </c>
      <c r="AD809" s="34"/>
    </row>
    <row r="810" spans="1:30" ht="80.099999999999994" customHeight="1">
      <c r="B810" s="31">
        <v>2018</v>
      </c>
      <c r="C810" s="31" t="s">
        <v>143</v>
      </c>
      <c r="D810" s="31" t="s">
        <v>2038</v>
      </c>
      <c r="E810" s="13">
        <v>43328</v>
      </c>
      <c r="F810" s="31" t="s">
        <v>2267</v>
      </c>
      <c r="G810" s="31" t="s">
        <v>499</v>
      </c>
      <c r="H810" s="15">
        <v>2681920.31</v>
      </c>
      <c r="I810" s="31" t="s">
        <v>1133</v>
      </c>
      <c r="J810" s="31" t="s">
        <v>2268</v>
      </c>
      <c r="K810" s="31" t="s">
        <v>2269</v>
      </c>
      <c r="L810" s="31" t="s">
        <v>2270</v>
      </c>
      <c r="M810" s="31" t="s">
        <v>2271</v>
      </c>
      <c r="N810" s="31" t="s">
        <v>2272</v>
      </c>
      <c r="O810" s="32">
        <v>2681920.31</v>
      </c>
      <c r="P810" s="33" t="s">
        <v>48</v>
      </c>
      <c r="Q810" s="31" t="s">
        <v>2170</v>
      </c>
      <c r="R810" s="32">
        <v>8053.8147447447445</v>
      </c>
      <c r="S810" s="31" t="s">
        <v>42</v>
      </c>
      <c r="T810" s="31">
        <v>186</v>
      </c>
      <c r="U810" s="31" t="s">
        <v>43</v>
      </c>
      <c r="V810" s="33" t="s">
        <v>378</v>
      </c>
      <c r="W810" s="13">
        <v>43328</v>
      </c>
      <c r="X810" s="13">
        <v>43415</v>
      </c>
      <c r="Y810" s="31" t="s">
        <v>468</v>
      </c>
      <c r="Z810" s="31" t="s">
        <v>307</v>
      </c>
      <c r="AA810" s="31" t="s">
        <v>308</v>
      </c>
      <c r="AB810" s="31" t="s">
        <v>48</v>
      </c>
      <c r="AC810" s="31" t="s">
        <v>48</v>
      </c>
      <c r="AD810" s="34"/>
    </row>
    <row r="811" spans="1:30" ht="80.099999999999994" customHeight="1">
      <c r="B811" s="31">
        <v>2018</v>
      </c>
      <c r="C811" s="31" t="s">
        <v>143</v>
      </c>
      <c r="D811" s="31" t="s">
        <v>2039</v>
      </c>
      <c r="E811" s="13">
        <v>43328</v>
      </c>
      <c r="F811" s="31" t="s">
        <v>2273</v>
      </c>
      <c r="G811" s="31" t="s">
        <v>499</v>
      </c>
      <c r="H811" s="15">
        <v>6482094.9500000002</v>
      </c>
      <c r="I811" s="31" t="s">
        <v>2171</v>
      </c>
      <c r="J811" s="31" t="s">
        <v>2268</v>
      </c>
      <c r="K811" s="31" t="s">
        <v>2156</v>
      </c>
      <c r="L811" s="31" t="s">
        <v>2274</v>
      </c>
      <c r="M811" s="31" t="s">
        <v>2275</v>
      </c>
      <c r="N811" s="31" t="s">
        <v>2276</v>
      </c>
      <c r="O811" s="32">
        <v>6482094.9500000002</v>
      </c>
      <c r="P811" s="33" t="s">
        <v>48</v>
      </c>
      <c r="Q811" s="31" t="s">
        <v>2172</v>
      </c>
      <c r="R811" s="32">
        <v>2779.629052315609</v>
      </c>
      <c r="S811" s="31" t="s">
        <v>42</v>
      </c>
      <c r="T811" s="31">
        <v>84152</v>
      </c>
      <c r="U811" s="31" t="s">
        <v>43</v>
      </c>
      <c r="V811" s="33" t="s">
        <v>378</v>
      </c>
      <c r="W811" s="13">
        <v>43328</v>
      </c>
      <c r="X811" s="13">
        <v>43367</v>
      </c>
      <c r="Y811" s="31" t="s">
        <v>418</v>
      </c>
      <c r="Z811" s="31" t="s">
        <v>419</v>
      </c>
      <c r="AA811" s="31" t="s">
        <v>420</v>
      </c>
      <c r="AB811" s="31" t="s">
        <v>48</v>
      </c>
      <c r="AC811" s="31" t="s">
        <v>48</v>
      </c>
      <c r="AD811" s="34"/>
    </row>
    <row r="812" spans="1:30" ht="80.099999999999994" customHeight="1">
      <c r="B812" s="31">
        <v>2018</v>
      </c>
      <c r="C812" s="31" t="s">
        <v>143</v>
      </c>
      <c r="D812" s="31" t="s">
        <v>2040</v>
      </c>
      <c r="E812" s="13">
        <v>43328</v>
      </c>
      <c r="F812" s="31" t="s">
        <v>2277</v>
      </c>
      <c r="G812" s="31" t="s">
        <v>499</v>
      </c>
      <c r="H812" s="15">
        <v>4223236.53</v>
      </c>
      <c r="I812" s="31" t="s">
        <v>2171</v>
      </c>
      <c r="J812" s="31" t="s">
        <v>2278</v>
      </c>
      <c r="K812" s="31" t="s">
        <v>2279</v>
      </c>
      <c r="L812" s="31" t="s">
        <v>2280</v>
      </c>
      <c r="M812" s="31" t="s">
        <v>2281</v>
      </c>
      <c r="N812" s="31" t="s">
        <v>2282</v>
      </c>
      <c r="O812" s="32">
        <v>4223236.53</v>
      </c>
      <c r="P812" s="33" t="s">
        <v>48</v>
      </c>
      <c r="Q812" s="31" t="s">
        <v>2173</v>
      </c>
      <c r="R812" s="32">
        <v>2843.9303232323232</v>
      </c>
      <c r="S812" s="31" t="s">
        <v>42</v>
      </c>
      <c r="T812" s="31">
        <v>2698</v>
      </c>
      <c r="U812" s="31" t="s">
        <v>43</v>
      </c>
      <c r="V812" s="33" t="s">
        <v>378</v>
      </c>
      <c r="W812" s="13">
        <v>43328</v>
      </c>
      <c r="X812" s="13">
        <v>43372</v>
      </c>
      <c r="Y812" s="31" t="s">
        <v>439</v>
      </c>
      <c r="Z812" s="31" t="s">
        <v>186</v>
      </c>
      <c r="AA812" s="31" t="s">
        <v>92</v>
      </c>
      <c r="AB812" s="31" t="s">
        <v>48</v>
      </c>
      <c r="AC812" s="31" t="s">
        <v>48</v>
      </c>
      <c r="AD812" s="34"/>
    </row>
    <row r="813" spans="1:30" ht="80.099999999999994" customHeight="1">
      <c r="B813" s="31">
        <v>2018</v>
      </c>
      <c r="C813" s="31" t="s">
        <v>143</v>
      </c>
      <c r="D813" s="31" t="s">
        <v>2041</v>
      </c>
      <c r="E813" s="13">
        <v>43328</v>
      </c>
      <c r="F813" s="31" t="s">
        <v>2283</v>
      </c>
      <c r="G813" s="31" t="s">
        <v>499</v>
      </c>
      <c r="H813" s="15">
        <v>1894450.13</v>
      </c>
      <c r="I813" s="31" t="s">
        <v>2171</v>
      </c>
      <c r="J813" s="31" t="s">
        <v>2284</v>
      </c>
      <c r="K813" s="31" t="s">
        <v>2285</v>
      </c>
      <c r="L813" s="31" t="s">
        <v>2286</v>
      </c>
      <c r="M813" s="31" t="s">
        <v>2287</v>
      </c>
      <c r="N813" s="31" t="s">
        <v>2288</v>
      </c>
      <c r="O813" s="32">
        <v>1894450.13</v>
      </c>
      <c r="P813" s="33" t="s">
        <v>48</v>
      </c>
      <c r="Q813" s="31" t="s">
        <v>2174</v>
      </c>
      <c r="R813" s="32">
        <v>2928.0527511591963</v>
      </c>
      <c r="S813" s="31" t="s">
        <v>42</v>
      </c>
      <c r="T813" s="31">
        <v>2698</v>
      </c>
      <c r="U813" s="31" t="s">
        <v>43</v>
      </c>
      <c r="V813" s="33" t="s">
        <v>378</v>
      </c>
      <c r="W813" s="13">
        <v>43328</v>
      </c>
      <c r="X813" s="13">
        <v>43372</v>
      </c>
      <c r="Y813" s="31" t="s">
        <v>439</v>
      </c>
      <c r="Z813" s="31" t="s">
        <v>186</v>
      </c>
      <c r="AA813" s="31" t="s">
        <v>92</v>
      </c>
      <c r="AB813" s="31" t="s">
        <v>48</v>
      </c>
      <c r="AC813" s="31" t="s">
        <v>48</v>
      </c>
      <c r="AD813" s="34"/>
    </row>
    <row r="814" spans="1:30" ht="80.099999999999994" customHeight="1">
      <c r="B814" s="31">
        <v>2018</v>
      </c>
      <c r="C814" s="31" t="s">
        <v>143</v>
      </c>
      <c r="D814" s="31" t="s">
        <v>2042</v>
      </c>
      <c r="E814" s="13">
        <v>43328</v>
      </c>
      <c r="F814" s="31" t="s">
        <v>2289</v>
      </c>
      <c r="G814" s="31" t="s">
        <v>499</v>
      </c>
      <c r="H814" s="15">
        <v>5154857.8099999996</v>
      </c>
      <c r="I814" s="31" t="s">
        <v>2175</v>
      </c>
      <c r="J814" s="31" t="s">
        <v>2136</v>
      </c>
      <c r="K814" s="31" t="s">
        <v>2137</v>
      </c>
      <c r="L814" s="31" t="s">
        <v>2138</v>
      </c>
      <c r="M814" s="31" t="s">
        <v>2290</v>
      </c>
      <c r="N814" s="31" t="s">
        <v>2291</v>
      </c>
      <c r="O814" s="32">
        <v>5154857.8099999996</v>
      </c>
      <c r="P814" s="33" t="s">
        <v>48</v>
      </c>
      <c r="Q814" s="31" t="s">
        <v>2176</v>
      </c>
      <c r="R814" s="32">
        <v>2127.4691745769705</v>
      </c>
      <c r="S814" s="31" t="s">
        <v>42</v>
      </c>
      <c r="T814" s="31">
        <v>1332272</v>
      </c>
      <c r="U814" s="31" t="s">
        <v>43</v>
      </c>
      <c r="V814" s="33" t="s">
        <v>378</v>
      </c>
      <c r="W814" s="13">
        <v>43328</v>
      </c>
      <c r="X814" s="13">
        <v>43372</v>
      </c>
      <c r="Y814" s="31" t="s">
        <v>826</v>
      </c>
      <c r="Z814" s="31" t="s">
        <v>827</v>
      </c>
      <c r="AA814" s="31" t="s">
        <v>47</v>
      </c>
      <c r="AB814" s="31" t="s">
        <v>48</v>
      </c>
      <c r="AC814" s="31" t="s">
        <v>48</v>
      </c>
      <c r="AD814" s="34"/>
    </row>
    <row r="815" spans="1:30" ht="80.099999999999994" customHeight="1">
      <c r="B815" s="31">
        <v>2018</v>
      </c>
      <c r="C815" s="31" t="s">
        <v>143</v>
      </c>
      <c r="D815" s="31" t="s">
        <v>2043</v>
      </c>
      <c r="E815" s="13">
        <v>43328</v>
      </c>
      <c r="F815" s="31" t="s">
        <v>2292</v>
      </c>
      <c r="G815" s="31" t="s">
        <v>499</v>
      </c>
      <c r="H815" s="15">
        <v>3051303.9</v>
      </c>
      <c r="I815" s="31" t="s">
        <v>787</v>
      </c>
      <c r="J815" s="31" t="s">
        <v>2293</v>
      </c>
      <c r="K815" s="31" t="s">
        <v>2294</v>
      </c>
      <c r="L815" s="31" t="s">
        <v>2295</v>
      </c>
      <c r="M815" s="31" t="s">
        <v>2296</v>
      </c>
      <c r="N815" s="31" t="s">
        <v>2297</v>
      </c>
      <c r="O815" s="32">
        <v>3051303.9</v>
      </c>
      <c r="P815" s="33" t="s">
        <v>48</v>
      </c>
      <c r="Q815" s="31" t="s">
        <v>2177</v>
      </c>
      <c r="R815" s="32">
        <v>215.96035812867152</v>
      </c>
      <c r="S815" s="31" t="s">
        <v>42</v>
      </c>
      <c r="T815" s="31">
        <v>6874</v>
      </c>
      <c r="U815" s="31" t="s">
        <v>43</v>
      </c>
      <c r="V815" s="33" t="s">
        <v>378</v>
      </c>
      <c r="W815" s="13">
        <v>43328</v>
      </c>
      <c r="X815" s="13">
        <v>43367</v>
      </c>
      <c r="Y815" s="31" t="s">
        <v>399</v>
      </c>
      <c r="Z815" s="31" t="s">
        <v>284</v>
      </c>
      <c r="AA815" s="31" t="s">
        <v>81</v>
      </c>
      <c r="AB815" s="31" t="s">
        <v>48</v>
      </c>
      <c r="AC815" s="31" t="s">
        <v>48</v>
      </c>
      <c r="AD815" s="34"/>
    </row>
    <row r="816" spans="1:30" ht="80.099999999999994" customHeight="1">
      <c r="B816" s="31">
        <v>2018</v>
      </c>
      <c r="C816" s="31" t="s">
        <v>143</v>
      </c>
      <c r="D816" s="31" t="s">
        <v>2044</v>
      </c>
      <c r="E816" s="13">
        <v>43328</v>
      </c>
      <c r="F816" s="31" t="s">
        <v>2298</v>
      </c>
      <c r="G816" s="31" t="s">
        <v>499</v>
      </c>
      <c r="H816" s="15">
        <v>2798765.91</v>
      </c>
      <c r="I816" s="31" t="s">
        <v>2178</v>
      </c>
      <c r="J816" s="31" t="s">
        <v>2299</v>
      </c>
      <c r="K816" s="31" t="s">
        <v>2294</v>
      </c>
      <c r="L816" s="31" t="s">
        <v>2300</v>
      </c>
      <c r="M816" s="31" t="s">
        <v>2301</v>
      </c>
      <c r="N816" s="31" t="s">
        <v>2302</v>
      </c>
      <c r="O816" s="32">
        <v>2798765.91</v>
      </c>
      <c r="P816" s="33" t="s">
        <v>48</v>
      </c>
      <c r="Q816" s="31" t="s">
        <v>2179</v>
      </c>
      <c r="R816" s="32">
        <v>1399382.9550000001</v>
      </c>
      <c r="S816" s="31" t="s">
        <v>42</v>
      </c>
      <c r="T816" s="31">
        <v>8563</v>
      </c>
      <c r="U816" s="31" t="s">
        <v>43</v>
      </c>
      <c r="V816" s="33" t="s">
        <v>378</v>
      </c>
      <c r="W816" s="13">
        <v>43328</v>
      </c>
      <c r="X816" s="13">
        <v>43367</v>
      </c>
      <c r="Y816" s="31" t="s">
        <v>735</v>
      </c>
      <c r="Z816" s="31" t="s">
        <v>236</v>
      </c>
      <c r="AA816" s="31" t="s">
        <v>147</v>
      </c>
      <c r="AB816" s="31" t="s">
        <v>48</v>
      </c>
      <c r="AC816" s="31" t="s">
        <v>48</v>
      </c>
      <c r="AD816" s="34"/>
    </row>
    <row r="817" spans="2:30" ht="80.099999999999994" customHeight="1">
      <c r="B817" s="31">
        <v>2018</v>
      </c>
      <c r="C817" s="31" t="s">
        <v>65</v>
      </c>
      <c r="D817" s="31" t="s">
        <v>2045</v>
      </c>
      <c r="E817" s="13">
        <v>43234</v>
      </c>
      <c r="F817" s="31" t="s">
        <v>2303</v>
      </c>
      <c r="G817" s="31" t="s">
        <v>499</v>
      </c>
      <c r="H817" s="15">
        <v>649364.4</v>
      </c>
      <c r="I817" s="31" t="s">
        <v>108</v>
      </c>
      <c r="J817" s="31" t="s">
        <v>2304</v>
      </c>
      <c r="K817" s="31" t="s">
        <v>2305</v>
      </c>
      <c r="L817" s="31" t="s">
        <v>2306</v>
      </c>
      <c r="M817" s="31" t="s">
        <v>2307</v>
      </c>
      <c r="N817" s="31" t="s">
        <v>2308</v>
      </c>
      <c r="O817" s="32">
        <v>649364.4</v>
      </c>
      <c r="P817" s="33" t="s">
        <v>48</v>
      </c>
      <c r="Q817" s="31" t="s">
        <v>2180</v>
      </c>
      <c r="R817" s="32">
        <v>791.90780487804886</v>
      </c>
      <c r="S817" s="31" t="s">
        <v>42</v>
      </c>
      <c r="T817" s="31">
        <v>4431</v>
      </c>
      <c r="U817" s="31" t="s">
        <v>43</v>
      </c>
      <c r="V817" s="33" t="s">
        <v>378</v>
      </c>
      <c r="W817" s="13">
        <v>43235</v>
      </c>
      <c r="X817" s="13">
        <v>43271</v>
      </c>
      <c r="Y817" s="31" t="s">
        <v>408</v>
      </c>
      <c r="Z817" s="31" t="s">
        <v>728</v>
      </c>
      <c r="AA817" s="31" t="s">
        <v>2181</v>
      </c>
      <c r="AB817" s="31" t="s">
        <v>48</v>
      </c>
      <c r="AC817" s="31" t="s">
        <v>48</v>
      </c>
      <c r="AD817" s="34"/>
    </row>
    <row r="818" spans="2:30" ht="80.099999999999994" customHeight="1">
      <c r="B818" s="31">
        <v>2018</v>
      </c>
      <c r="C818" s="31" t="s">
        <v>65</v>
      </c>
      <c r="D818" s="31" t="s">
        <v>2046</v>
      </c>
      <c r="E818" s="13">
        <v>43269</v>
      </c>
      <c r="F818" s="31" t="s">
        <v>2309</v>
      </c>
      <c r="G818" s="31" t="s">
        <v>499</v>
      </c>
      <c r="H818" s="15">
        <v>1200856.94</v>
      </c>
      <c r="I818" s="31" t="s">
        <v>2182</v>
      </c>
      <c r="J818" s="31" t="s">
        <v>2268</v>
      </c>
      <c r="K818" s="31" t="s">
        <v>2310</v>
      </c>
      <c r="L818" s="31" t="s">
        <v>2311</v>
      </c>
      <c r="M818" s="31" t="s">
        <v>2312</v>
      </c>
      <c r="N818" s="31" t="s">
        <v>2313</v>
      </c>
      <c r="O818" s="32">
        <v>1200856.94</v>
      </c>
      <c r="P818" s="33" t="s">
        <v>48</v>
      </c>
      <c r="Q818" s="31" t="s">
        <v>2183</v>
      </c>
      <c r="R818" s="32">
        <v>2001.4282333333333</v>
      </c>
      <c r="S818" s="31" t="s">
        <v>42</v>
      </c>
      <c r="T818" s="31">
        <v>3685</v>
      </c>
      <c r="U818" s="31" t="s">
        <v>43</v>
      </c>
      <c r="V818" s="33" t="s">
        <v>378</v>
      </c>
      <c r="W818" s="13">
        <v>43269</v>
      </c>
      <c r="X818" s="13">
        <v>43327</v>
      </c>
      <c r="Y818" s="31" t="s">
        <v>830</v>
      </c>
      <c r="Z818" s="31" t="s">
        <v>831</v>
      </c>
      <c r="AA818" s="31" t="s">
        <v>134</v>
      </c>
      <c r="AB818" s="31" t="s">
        <v>48</v>
      </c>
      <c r="AC818" s="31" t="s">
        <v>48</v>
      </c>
      <c r="AD818" s="34"/>
    </row>
    <row r="819" spans="2:30" ht="80.099999999999994" customHeight="1">
      <c r="B819" s="31">
        <v>2018</v>
      </c>
      <c r="C819" s="31" t="s">
        <v>65</v>
      </c>
      <c r="D819" s="31" t="s">
        <v>2047</v>
      </c>
      <c r="E819" s="13">
        <v>43234</v>
      </c>
      <c r="F819" s="31" t="s">
        <v>2314</v>
      </c>
      <c r="G819" s="31" t="s">
        <v>499</v>
      </c>
      <c r="H819" s="15">
        <v>581876.29</v>
      </c>
      <c r="I819" s="31" t="s">
        <v>621</v>
      </c>
      <c r="J819" s="31" t="s">
        <v>2315</v>
      </c>
      <c r="K819" s="31" t="s">
        <v>2316</v>
      </c>
      <c r="L819" s="31" t="s">
        <v>2317</v>
      </c>
      <c r="M819" s="31" t="s">
        <v>2318</v>
      </c>
      <c r="N819" s="31" t="s">
        <v>2319</v>
      </c>
      <c r="O819" s="32">
        <v>581876.29</v>
      </c>
      <c r="P819" s="33" t="s">
        <v>48</v>
      </c>
      <c r="Q819" s="31" t="s">
        <v>2184</v>
      </c>
      <c r="R819" s="32">
        <v>534.81276654411772</v>
      </c>
      <c r="S819" s="31" t="s">
        <v>42</v>
      </c>
      <c r="T819" s="31">
        <v>8369</v>
      </c>
      <c r="U819" s="31" t="s">
        <v>43</v>
      </c>
      <c r="V819" s="33" t="s">
        <v>378</v>
      </c>
      <c r="W819" s="13">
        <v>43238</v>
      </c>
      <c r="X819" s="13">
        <v>43273</v>
      </c>
      <c r="Y819" s="31" t="s">
        <v>444</v>
      </c>
      <c r="Z819" s="31" t="s">
        <v>2185</v>
      </c>
      <c r="AA819" s="31" t="s">
        <v>1269</v>
      </c>
      <c r="AB819" s="31" t="s">
        <v>48</v>
      </c>
      <c r="AC819" s="31" t="s">
        <v>48</v>
      </c>
      <c r="AD819" s="34"/>
    </row>
    <row r="820" spans="2:30" ht="80.099999999999994" customHeight="1">
      <c r="B820" s="31">
        <v>2018</v>
      </c>
      <c r="C820" s="31" t="s">
        <v>65</v>
      </c>
      <c r="D820" s="31" t="s">
        <v>2048</v>
      </c>
      <c r="E820" s="13">
        <v>43234</v>
      </c>
      <c r="F820" s="31" t="s">
        <v>2320</v>
      </c>
      <c r="G820" s="31" t="s">
        <v>499</v>
      </c>
      <c r="H820" s="15">
        <v>894692.6</v>
      </c>
      <c r="I820" s="31" t="s">
        <v>2186</v>
      </c>
      <c r="J820" s="31" t="s">
        <v>2321</v>
      </c>
      <c r="K820" s="31" t="s">
        <v>2322</v>
      </c>
      <c r="L820" s="31" t="s">
        <v>2323</v>
      </c>
      <c r="M820" s="31" t="s">
        <v>2324</v>
      </c>
      <c r="N820" s="31" t="s">
        <v>2325</v>
      </c>
      <c r="O820" s="32">
        <v>894692.6</v>
      </c>
      <c r="P820" s="33" t="s">
        <v>48</v>
      </c>
      <c r="Q820" s="31" t="s">
        <v>2187</v>
      </c>
      <c r="R820" s="32">
        <v>178938.52</v>
      </c>
      <c r="S820" s="31" t="s">
        <v>42</v>
      </c>
      <c r="T820" s="31">
        <v>236152</v>
      </c>
      <c r="U820" s="31" t="s">
        <v>43</v>
      </c>
      <c r="V820" s="33" t="s">
        <v>378</v>
      </c>
      <c r="W820" s="13">
        <v>43235</v>
      </c>
      <c r="X820" s="13">
        <v>43281</v>
      </c>
      <c r="Y820" s="31" t="s">
        <v>399</v>
      </c>
      <c r="Z820" s="31" t="s">
        <v>284</v>
      </c>
      <c r="AA820" s="31" t="s">
        <v>81</v>
      </c>
      <c r="AB820" s="31" t="s">
        <v>48</v>
      </c>
      <c r="AC820" s="31" t="s">
        <v>48</v>
      </c>
      <c r="AD820" s="34"/>
    </row>
    <row r="821" spans="2:30" ht="80.099999999999994" customHeight="1">
      <c r="B821" s="31">
        <v>2018</v>
      </c>
      <c r="C821" s="31" t="s">
        <v>65</v>
      </c>
      <c r="D821" s="31" t="s">
        <v>2049</v>
      </c>
      <c r="E821" s="13">
        <v>43234</v>
      </c>
      <c r="F821" s="31" t="s">
        <v>2326</v>
      </c>
      <c r="G821" s="31" t="s">
        <v>499</v>
      </c>
      <c r="H821" s="15">
        <v>1665982.64</v>
      </c>
      <c r="I821" s="31" t="s">
        <v>93</v>
      </c>
      <c r="J821" s="31" t="s">
        <v>2327</v>
      </c>
      <c r="K821" s="31" t="s">
        <v>2328</v>
      </c>
      <c r="L821" s="31" t="s">
        <v>2329</v>
      </c>
      <c r="M821" s="31" t="s">
        <v>2330</v>
      </c>
      <c r="N821" s="31" t="s">
        <v>2331</v>
      </c>
      <c r="O821" s="32">
        <v>1665982.64</v>
      </c>
      <c r="P821" s="33" t="s">
        <v>48</v>
      </c>
      <c r="Q821" s="31" t="s">
        <v>2188</v>
      </c>
      <c r="R821" s="32">
        <v>832.99131999999997</v>
      </c>
      <c r="S821" s="31" t="s">
        <v>42</v>
      </c>
      <c r="T821" s="31">
        <v>869</v>
      </c>
      <c r="U821" s="31" t="s">
        <v>43</v>
      </c>
      <c r="V821" s="33" t="s">
        <v>378</v>
      </c>
      <c r="W821" s="13">
        <v>43237</v>
      </c>
      <c r="X821" s="13">
        <v>43281</v>
      </c>
      <c r="Y821" s="31" t="s">
        <v>449</v>
      </c>
      <c r="Z821" s="31" t="s">
        <v>450</v>
      </c>
      <c r="AA821" s="31" t="s">
        <v>451</v>
      </c>
      <c r="AB821" s="31" t="s">
        <v>48</v>
      </c>
      <c r="AC821" s="31" t="s">
        <v>48</v>
      </c>
      <c r="AD821" s="34"/>
    </row>
    <row r="822" spans="2:30" ht="80.099999999999994" customHeight="1">
      <c r="B822" s="31">
        <v>2018</v>
      </c>
      <c r="C822" s="31" t="s">
        <v>65</v>
      </c>
      <c r="D822" s="31" t="s">
        <v>2050</v>
      </c>
      <c r="E822" s="13">
        <v>43252</v>
      </c>
      <c r="F822" s="31" t="s">
        <v>2332</v>
      </c>
      <c r="G822" s="31" t="s">
        <v>499</v>
      </c>
      <c r="H822" s="15">
        <v>1259555.1000000001</v>
      </c>
      <c r="I822" s="31" t="s">
        <v>2189</v>
      </c>
      <c r="J822" s="31" t="s">
        <v>2333</v>
      </c>
      <c r="K822" s="31" t="s">
        <v>2144</v>
      </c>
      <c r="L822" s="31" t="s">
        <v>2334</v>
      </c>
      <c r="M822" s="31" t="s">
        <v>2335</v>
      </c>
      <c r="N822" s="31" t="s">
        <v>2336</v>
      </c>
      <c r="O822" s="32">
        <v>1259555.1000000001</v>
      </c>
      <c r="P822" s="33" t="s">
        <v>48</v>
      </c>
      <c r="Q822" s="31" t="s">
        <v>2190</v>
      </c>
      <c r="R822" s="32">
        <v>286.9146013667426</v>
      </c>
      <c r="S822" s="31" t="s">
        <v>42</v>
      </c>
      <c r="T822" s="31">
        <v>5239</v>
      </c>
      <c r="U822" s="31" t="s">
        <v>43</v>
      </c>
      <c r="V822" s="33" t="s">
        <v>378</v>
      </c>
      <c r="W822" s="13">
        <v>43255</v>
      </c>
      <c r="X822" s="13">
        <v>43312</v>
      </c>
      <c r="Y822" s="31" t="s">
        <v>418</v>
      </c>
      <c r="Z822" s="31" t="s">
        <v>419</v>
      </c>
      <c r="AA822" s="31" t="s">
        <v>420</v>
      </c>
      <c r="AB822" s="31" t="s">
        <v>48</v>
      </c>
      <c r="AC822" s="31" t="s">
        <v>48</v>
      </c>
      <c r="AD822" s="34"/>
    </row>
    <row r="823" spans="2:30" ht="80.099999999999994" customHeight="1">
      <c r="B823" s="31">
        <v>2018</v>
      </c>
      <c r="C823" s="31" t="s">
        <v>65</v>
      </c>
      <c r="D823" s="31" t="s">
        <v>2051</v>
      </c>
      <c r="E823" s="13">
        <v>43252</v>
      </c>
      <c r="F823" s="31" t="s">
        <v>2337</v>
      </c>
      <c r="G823" s="31" t="s">
        <v>499</v>
      </c>
      <c r="H823" s="15">
        <v>1737208.12</v>
      </c>
      <c r="I823" s="31" t="s">
        <v>2189</v>
      </c>
      <c r="J823" s="31" t="s">
        <v>2338</v>
      </c>
      <c r="K823" s="31" t="s">
        <v>2339</v>
      </c>
      <c r="L823" s="31" t="s">
        <v>2340</v>
      </c>
      <c r="M823" s="31" t="s">
        <v>2341</v>
      </c>
      <c r="N823" s="31" t="s">
        <v>2342</v>
      </c>
      <c r="O823" s="32">
        <v>1737208.12</v>
      </c>
      <c r="P823" s="33" t="s">
        <v>48</v>
      </c>
      <c r="Q823" s="31" t="s">
        <v>2191</v>
      </c>
      <c r="R823" s="32">
        <v>3895.0854708520183</v>
      </c>
      <c r="S823" s="31" t="s">
        <v>42</v>
      </c>
      <c r="T823" s="31">
        <v>5239</v>
      </c>
      <c r="U823" s="31" t="s">
        <v>43</v>
      </c>
      <c r="V823" s="33" t="s">
        <v>378</v>
      </c>
      <c r="W823" s="13">
        <v>43255</v>
      </c>
      <c r="X823" s="13">
        <v>43312</v>
      </c>
      <c r="Y823" s="31" t="s">
        <v>418</v>
      </c>
      <c r="Z823" s="31" t="s">
        <v>419</v>
      </c>
      <c r="AA823" s="31" t="s">
        <v>420</v>
      </c>
      <c r="AB823" s="31" t="s">
        <v>48</v>
      </c>
      <c r="AC823" s="31" t="s">
        <v>48</v>
      </c>
      <c r="AD823" s="34"/>
    </row>
    <row r="824" spans="2:30" ht="80.099999999999994" customHeight="1">
      <c r="B824" s="31">
        <v>2018</v>
      </c>
      <c r="C824" s="31" t="s">
        <v>65</v>
      </c>
      <c r="D824" s="31" t="s">
        <v>2052</v>
      </c>
      <c r="E824" s="13">
        <v>43241</v>
      </c>
      <c r="F824" s="31" t="s">
        <v>2343</v>
      </c>
      <c r="G824" s="31" t="s">
        <v>499</v>
      </c>
      <c r="H824" s="15">
        <v>604216.80000000005</v>
      </c>
      <c r="I824" s="31" t="s">
        <v>2192</v>
      </c>
      <c r="J824" s="31" t="s">
        <v>2344</v>
      </c>
      <c r="K824" s="31" t="s">
        <v>2345</v>
      </c>
      <c r="L824" s="31" t="s">
        <v>2346</v>
      </c>
      <c r="M824" s="31" t="s">
        <v>2347</v>
      </c>
      <c r="N824" s="31" t="s">
        <v>2348</v>
      </c>
      <c r="O824" s="32">
        <v>604216.80000000005</v>
      </c>
      <c r="P824" s="33" t="s">
        <v>48</v>
      </c>
      <c r="Q824" s="31" t="s">
        <v>2193</v>
      </c>
      <c r="R824" s="32">
        <v>2369.4776470588235</v>
      </c>
      <c r="S824" s="31" t="s">
        <v>42</v>
      </c>
      <c r="T824" s="31">
        <v>236</v>
      </c>
      <c r="U824" s="31" t="s">
        <v>43</v>
      </c>
      <c r="V824" s="33" t="s">
        <v>378</v>
      </c>
      <c r="W824" s="13">
        <v>43242</v>
      </c>
      <c r="X824" s="13">
        <v>43296</v>
      </c>
      <c r="Y824" s="31" t="s">
        <v>468</v>
      </c>
      <c r="Z824" s="31" t="s">
        <v>307</v>
      </c>
      <c r="AA824" s="31" t="s">
        <v>308</v>
      </c>
      <c r="AB824" s="31" t="s">
        <v>48</v>
      </c>
      <c r="AC824" s="31" t="s">
        <v>48</v>
      </c>
      <c r="AD824" s="34"/>
    </row>
    <row r="825" spans="2:30" ht="80.099999999999994" customHeight="1">
      <c r="B825" s="31">
        <v>2018</v>
      </c>
      <c r="C825" s="31" t="s">
        <v>65</v>
      </c>
      <c r="D825" s="31" t="s">
        <v>2053</v>
      </c>
      <c r="E825" s="13">
        <v>43231</v>
      </c>
      <c r="F825" s="31" t="s">
        <v>2349</v>
      </c>
      <c r="G825" s="31" t="s">
        <v>499</v>
      </c>
      <c r="H825" s="15">
        <v>1415720.18</v>
      </c>
      <c r="I825" s="31" t="s">
        <v>1349</v>
      </c>
      <c r="J825" s="31" t="s">
        <v>2148</v>
      </c>
      <c r="K825" s="31" t="s">
        <v>2350</v>
      </c>
      <c r="L825" s="31" t="s">
        <v>2351</v>
      </c>
      <c r="M825" s="31" t="s">
        <v>2352</v>
      </c>
      <c r="N825" s="31" t="s">
        <v>2353</v>
      </c>
      <c r="O825" s="32">
        <v>1415720.18</v>
      </c>
      <c r="P825" s="33" t="s">
        <v>48</v>
      </c>
      <c r="Q825" s="31" t="s">
        <v>124</v>
      </c>
      <c r="R825" s="32">
        <v>1415720.18</v>
      </c>
      <c r="S825" s="31" t="s">
        <v>42</v>
      </c>
      <c r="T825" s="31" t="s">
        <v>125</v>
      </c>
      <c r="U825" s="31" t="s">
        <v>43</v>
      </c>
      <c r="V825" s="33" t="s">
        <v>378</v>
      </c>
      <c r="W825" s="13">
        <v>43234</v>
      </c>
      <c r="X825" s="13">
        <v>43363</v>
      </c>
      <c r="Y825" s="31" t="s">
        <v>531</v>
      </c>
      <c r="Z825" s="31" t="s">
        <v>2194</v>
      </c>
      <c r="AA825" s="31" t="s">
        <v>2195</v>
      </c>
      <c r="AB825" s="31" t="s">
        <v>48</v>
      </c>
      <c r="AC825" s="31" t="s">
        <v>48</v>
      </c>
      <c r="AD825" s="34"/>
    </row>
    <row r="826" spans="2:30" ht="80.099999999999994" customHeight="1">
      <c r="B826" s="31">
        <v>2018</v>
      </c>
      <c r="C826" s="31" t="s">
        <v>65</v>
      </c>
      <c r="D826" s="31" t="s">
        <v>2054</v>
      </c>
      <c r="E826" s="13">
        <v>43266</v>
      </c>
      <c r="F826" s="31" t="s">
        <v>2354</v>
      </c>
      <c r="G826" s="31" t="s">
        <v>499</v>
      </c>
      <c r="H826" s="15">
        <v>686483.01</v>
      </c>
      <c r="I826" s="31" t="s">
        <v>2196</v>
      </c>
      <c r="J826" s="31" t="s">
        <v>2261</v>
      </c>
      <c r="K826" s="31" t="s">
        <v>2355</v>
      </c>
      <c r="L826" s="31" t="s">
        <v>2356</v>
      </c>
      <c r="M826" s="31" t="s">
        <v>2357</v>
      </c>
      <c r="N826" s="31" t="s">
        <v>2358</v>
      </c>
      <c r="O826" s="32">
        <v>686483.01</v>
      </c>
      <c r="P826" s="33" t="s">
        <v>48</v>
      </c>
      <c r="Q826" s="31" t="s">
        <v>2197</v>
      </c>
      <c r="R826" s="32">
        <v>8581.0376250000008</v>
      </c>
      <c r="S826" s="31" t="s">
        <v>42</v>
      </c>
      <c r="T826" s="31">
        <v>629</v>
      </c>
      <c r="U826" s="31" t="s">
        <v>43</v>
      </c>
      <c r="V826" s="33" t="s">
        <v>378</v>
      </c>
      <c r="W826" s="13">
        <v>43269</v>
      </c>
      <c r="X826" s="13">
        <v>43358</v>
      </c>
      <c r="Y826" s="31" t="s">
        <v>854</v>
      </c>
      <c r="Z826" s="31" t="s">
        <v>583</v>
      </c>
      <c r="AA826" s="31" t="s">
        <v>584</v>
      </c>
      <c r="AB826" s="31" t="s">
        <v>48</v>
      </c>
      <c r="AC826" s="31" t="s">
        <v>48</v>
      </c>
      <c r="AD826" s="34"/>
    </row>
    <row r="827" spans="2:30" ht="80.099999999999994" customHeight="1">
      <c r="B827" s="31">
        <v>2018</v>
      </c>
      <c r="C827" s="31" t="s">
        <v>65</v>
      </c>
      <c r="D827" s="31" t="s">
        <v>2055</v>
      </c>
      <c r="E827" s="13">
        <v>43266</v>
      </c>
      <c r="F827" s="31" t="s">
        <v>2359</v>
      </c>
      <c r="G827" s="31" t="s">
        <v>499</v>
      </c>
      <c r="H827" s="15">
        <v>1790644.31</v>
      </c>
      <c r="I827" s="31" t="s">
        <v>2198</v>
      </c>
      <c r="J827" s="31" t="s">
        <v>2360</v>
      </c>
      <c r="K827" s="31" t="s">
        <v>2144</v>
      </c>
      <c r="L827" s="31" t="s">
        <v>2361</v>
      </c>
      <c r="M827" s="31" t="s">
        <v>2362</v>
      </c>
      <c r="N827" s="31" t="s">
        <v>2363</v>
      </c>
      <c r="O827" s="32">
        <v>1790644.31</v>
      </c>
      <c r="P827" s="33" t="s">
        <v>48</v>
      </c>
      <c r="Q827" s="31" t="s">
        <v>2199</v>
      </c>
      <c r="R827" s="32">
        <v>6559.1366666666672</v>
      </c>
      <c r="S827" s="31" t="s">
        <v>42</v>
      </c>
      <c r="T827" s="31">
        <v>2301</v>
      </c>
      <c r="U827" s="31" t="s">
        <v>43</v>
      </c>
      <c r="V827" s="33" t="s">
        <v>378</v>
      </c>
      <c r="W827" s="13">
        <v>43269</v>
      </c>
      <c r="X827" s="13">
        <v>43337</v>
      </c>
      <c r="Y827" s="31" t="s">
        <v>705</v>
      </c>
      <c r="Z827" s="31" t="s">
        <v>2200</v>
      </c>
      <c r="AA827" s="31" t="s">
        <v>76</v>
      </c>
      <c r="AB827" s="31" t="s">
        <v>48</v>
      </c>
      <c r="AC827" s="31" t="s">
        <v>48</v>
      </c>
      <c r="AD827" s="34"/>
    </row>
    <row r="828" spans="2:30" ht="80.099999999999994" customHeight="1">
      <c r="B828" s="31">
        <v>2018</v>
      </c>
      <c r="C828" s="31" t="s">
        <v>143</v>
      </c>
      <c r="D828" s="31" t="s">
        <v>2056</v>
      </c>
      <c r="E828" s="13">
        <v>43328</v>
      </c>
      <c r="F828" s="31" t="s">
        <v>2364</v>
      </c>
      <c r="G828" s="31" t="s">
        <v>1135</v>
      </c>
      <c r="H828" s="15">
        <v>4829696.8600000003</v>
      </c>
      <c r="I828" s="31" t="s">
        <v>2201</v>
      </c>
      <c r="J828" s="31" t="s">
        <v>2365</v>
      </c>
      <c r="K828" s="31" t="s">
        <v>2366</v>
      </c>
      <c r="L828" s="31" t="s">
        <v>2367</v>
      </c>
      <c r="M828" s="31" t="s">
        <v>2368</v>
      </c>
      <c r="N828" s="31" t="s">
        <v>2369</v>
      </c>
      <c r="O828" s="32">
        <v>4829696.8600000003</v>
      </c>
      <c r="P828" s="33" t="s">
        <v>48</v>
      </c>
      <c r="Q828" s="31" t="s">
        <v>2202</v>
      </c>
      <c r="R828" s="32">
        <v>5463.4579864253401</v>
      </c>
      <c r="S828" s="31" t="s">
        <v>42</v>
      </c>
      <c r="T828" s="31">
        <v>263</v>
      </c>
      <c r="U828" s="31" t="s">
        <v>43</v>
      </c>
      <c r="V828" s="33" t="s">
        <v>378</v>
      </c>
      <c r="W828" s="13">
        <v>43328</v>
      </c>
      <c r="X828" s="13">
        <v>43417</v>
      </c>
      <c r="Y828" s="31" t="s">
        <v>767</v>
      </c>
      <c r="Z828" s="31" t="s">
        <v>843</v>
      </c>
      <c r="AA828" s="31" t="s">
        <v>769</v>
      </c>
      <c r="AB828" s="31" t="s">
        <v>48</v>
      </c>
      <c r="AC828" s="31" t="s">
        <v>48</v>
      </c>
      <c r="AD828" s="34"/>
    </row>
    <row r="829" spans="2:30" ht="80.099999999999994" customHeight="1">
      <c r="B829" s="31">
        <v>2018</v>
      </c>
      <c r="C829" s="31" t="s">
        <v>143</v>
      </c>
      <c r="D829" s="31" t="s">
        <v>2057</v>
      </c>
      <c r="E829" s="13">
        <v>43370</v>
      </c>
      <c r="F829" s="31" t="s">
        <v>2370</v>
      </c>
      <c r="G829" s="31" t="s">
        <v>499</v>
      </c>
      <c r="H829" s="15">
        <v>7282055.1699999999</v>
      </c>
      <c r="I829" s="31" t="s">
        <v>2189</v>
      </c>
      <c r="J829" s="31" t="s">
        <v>2371</v>
      </c>
      <c r="K829" s="31" t="s">
        <v>2372</v>
      </c>
      <c r="L829" s="31" t="s">
        <v>2373</v>
      </c>
      <c r="M829" s="31" t="s">
        <v>2374</v>
      </c>
      <c r="N829" s="31" t="s">
        <v>2375</v>
      </c>
      <c r="O829" s="32">
        <v>7282055.1699999999</v>
      </c>
      <c r="P829" s="33" t="s">
        <v>48</v>
      </c>
      <c r="Q829" s="31" t="s">
        <v>2203</v>
      </c>
      <c r="R829" s="32">
        <v>4608.8956772151896</v>
      </c>
      <c r="S829" s="31" t="s">
        <v>42</v>
      </c>
      <c r="T829" s="31">
        <v>3988</v>
      </c>
      <c r="U829" s="31" t="s">
        <v>43</v>
      </c>
      <c r="V829" s="33" t="s">
        <v>378</v>
      </c>
      <c r="W829" s="13">
        <v>43381</v>
      </c>
      <c r="X829" s="13">
        <v>43460</v>
      </c>
      <c r="Y829" s="31" t="s">
        <v>875</v>
      </c>
      <c r="Z829" s="31" t="s">
        <v>876</v>
      </c>
      <c r="AA829" s="31" t="s">
        <v>877</v>
      </c>
      <c r="AB829" s="31" t="s">
        <v>48</v>
      </c>
      <c r="AC829" s="31" t="s">
        <v>48</v>
      </c>
      <c r="AD829" s="34"/>
    </row>
    <row r="830" spans="2:30" ht="80.099999999999994" customHeight="1">
      <c r="B830" s="31">
        <v>2018</v>
      </c>
      <c r="C830" s="31" t="s">
        <v>143</v>
      </c>
      <c r="D830" s="31" t="s">
        <v>2058</v>
      </c>
      <c r="E830" s="13">
        <v>43370</v>
      </c>
      <c r="F830" s="31" t="s">
        <v>2376</v>
      </c>
      <c r="G830" s="31" t="s">
        <v>499</v>
      </c>
      <c r="H830" s="15">
        <v>4693352</v>
      </c>
      <c r="I830" s="31" t="s">
        <v>2189</v>
      </c>
      <c r="J830" s="31" t="s">
        <v>2261</v>
      </c>
      <c r="K830" s="31" t="s">
        <v>2377</v>
      </c>
      <c r="L830" s="31" t="s">
        <v>2378</v>
      </c>
      <c r="M830" s="31" t="s">
        <v>2379</v>
      </c>
      <c r="N830" s="31" t="s">
        <v>2380</v>
      </c>
      <c r="O830" s="32">
        <v>4693352</v>
      </c>
      <c r="P830" s="33" t="s">
        <v>48</v>
      </c>
      <c r="Q830" s="31" t="s">
        <v>2204</v>
      </c>
      <c r="R830" s="32">
        <v>9025.6769230769223</v>
      </c>
      <c r="S830" s="31" t="s">
        <v>42</v>
      </c>
      <c r="T830" s="31">
        <v>3988</v>
      </c>
      <c r="U830" s="31" t="s">
        <v>43</v>
      </c>
      <c r="V830" s="33" t="s">
        <v>378</v>
      </c>
      <c r="W830" s="13">
        <v>43381</v>
      </c>
      <c r="X830" s="13">
        <v>43460</v>
      </c>
      <c r="Y830" s="31" t="s">
        <v>875</v>
      </c>
      <c r="Z830" s="31" t="s">
        <v>876</v>
      </c>
      <c r="AA830" s="31" t="s">
        <v>877</v>
      </c>
      <c r="AB830" s="31" t="s">
        <v>48</v>
      </c>
      <c r="AC830" s="31" t="s">
        <v>48</v>
      </c>
      <c r="AD830" s="34"/>
    </row>
    <row r="831" spans="2:30" ht="80.099999999999994" customHeight="1">
      <c r="B831" s="31">
        <v>2018</v>
      </c>
      <c r="C831" s="31" t="s">
        <v>143</v>
      </c>
      <c r="D831" s="31" t="s">
        <v>2059</v>
      </c>
      <c r="E831" s="13">
        <v>43370</v>
      </c>
      <c r="F831" s="31" t="s">
        <v>2381</v>
      </c>
      <c r="G831" s="31" t="s">
        <v>499</v>
      </c>
      <c r="H831" s="15">
        <v>5172049.45</v>
      </c>
      <c r="I831" s="31" t="s">
        <v>2382</v>
      </c>
      <c r="J831" s="31" t="s">
        <v>2383</v>
      </c>
      <c r="K831" s="31" t="s">
        <v>2384</v>
      </c>
      <c r="L831" s="31" t="s">
        <v>2351</v>
      </c>
      <c r="M831" s="31" t="s">
        <v>2385</v>
      </c>
      <c r="N831" s="31" t="s">
        <v>2386</v>
      </c>
      <c r="O831" s="32">
        <v>5172049.45</v>
      </c>
      <c r="P831" s="33" t="s">
        <v>48</v>
      </c>
      <c r="Q831" s="31" t="s">
        <v>2205</v>
      </c>
      <c r="R831" s="32">
        <v>2105.8833265472313</v>
      </c>
      <c r="S831" s="31" t="s">
        <v>42</v>
      </c>
      <c r="T831" s="31">
        <v>5887</v>
      </c>
      <c r="U831" s="31" t="s">
        <v>43</v>
      </c>
      <c r="V831" s="33" t="s">
        <v>378</v>
      </c>
      <c r="W831" s="13">
        <v>43381</v>
      </c>
      <c r="X831" s="13">
        <v>43460</v>
      </c>
      <c r="Y831" s="31" t="s">
        <v>854</v>
      </c>
      <c r="Z831" s="31" t="s">
        <v>583</v>
      </c>
      <c r="AA831" s="31" t="s">
        <v>584</v>
      </c>
      <c r="AB831" s="31" t="s">
        <v>48</v>
      </c>
      <c r="AC831" s="31" t="s">
        <v>48</v>
      </c>
      <c r="AD831" s="34"/>
    </row>
    <row r="832" spans="2:30" ht="80.099999999999994" customHeight="1">
      <c r="B832" s="31">
        <v>2018</v>
      </c>
      <c r="C832" s="31" t="s">
        <v>143</v>
      </c>
      <c r="D832" s="31" t="s">
        <v>2060</v>
      </c>
      <c r="E832" s="13">
        <v>43370</v>
      </c>
      <c r="F832" s="31" t="s">
        <v>2387</v>
      </c>
      <c r="G832" s="31" t="s">
        <v>499</v>
      </c>
      <c r="H832" s="15">
        <v>5709686.7999999998</v>
      </c>
      <c r="I832" s="31" t="s">
        <v>2382</v>
      </c>
      <c r="J832" s="31" t="s">
        <v>2388</v>
      </c>
      <c r="K832" s="31" t="s">
        <v>2389</v>
      </c>
      <c r="L832" s="31" t="s">
        <v>2390</v>
      </c>
      <c r="M832" s="31" t="s">
        <v>2391</v>
      </c>
      <c r="N832" s="31" t="s">
        <v>2392</v>
      </c>
      <c r="O832" s="32">
        <v>5709686.7999999998</v>
      </c>
      <c r="P832" s="33" t="s">
        <v>48</v>
      </c>
      <c r="Q832" s="31" t="s">
        <v>2206</v>
      </c>
      <c r="R832" s="32">
        <v>943.28214108706425</v>
      </c>
      <c r="S832" s="31" t="s">
        <v>42</v>
      </c>
      <c r="T832" s="31">
        <v>5887</v>
      </c>
      <c r="U832" s="31" t="s">
        <v>43</v>
      </c>
      <c r="V832" s="33" t="s">
        <v>378</v>
      </c>
      <c r="W832" s="13">
        <v>43381</v>
      </c>
      <c r="X832" s="13">
        <v>43460</v>
      </c>
      <c r="Y832" s="31" t="s">
        <v>854</v>
      </c>
      <c r="Z832" s="31" t="s">
        <v>583</v>
      </c>
      <c r="AA832" s="31" t="s">
        <v>584</v>
      </c>
      <c r="AB832" s="31" t="s">
        <v>48</v>
      </c>
      <c r="AC832" s="31" t="s">
        <v>48</v>
      </c>
      <c r="AD832" s="34"/>
    </row>
    <row r="833" spans="2:30" ht="80.099999999999994" customHeight="1">
      <c r="B833" s="31">
        <v>2018</v>
      </c>
      <c r="C833" s="31" t="s">
        <v>143</v>
      </c>
      <c r="D833" s="31" t="s">
        <v>2061</v>
      </c>
      <c r="E833" s="13">
        <v>43370</v>
      </c>
      <c r="F833" s="31" t="s">
        <v>2393</v>
      </c>
      <c r="G833" s="31" t="s">
        <v>499</v>
      </c>
      <c r="H833" s="15">
        <v>6109995.0199999996</v>
      </c>
      <c r="I833" s="31" t="s">
        <v>2382</v>
      </c>
      <c r="J833" s="31" t="s">
        <v>2394</v>
      </c>
      <c r="K833" s="31" t="s">
        <v>2395</v>
      </c>
      <c r="L833" s="31" t="s">
        <v>2396</v>
      </c>
      <c r="M833" s="31" t="s">
        <v>2397</v>
      </c>
      <c r="N833" s="31" t="s">
        <v>2398</v>
      </c>
      <c r="O833" s="32">
        <v>6109995.0199999996</v>
      </c>
      <c r="P833" s="33" t="s">
        <v>48</v>
      </c>
      <c r="Q833" s="31" t="s">
        <v>2207</v>
      </c>
      <c r="R833" s="32">
        <v>2399.8409347996858</v>
      </c>
      <c r="S833" s="31" t="s">
        <v>42</v>
      </c>
      <c r="T833" s="31">
        <v>5887</v>
      </c>
      <c r="U833" s="31" t="s">
        <v>43</v>
      </c>
      <c r="V833" s="33" t="s">
        <v>378</v>
      </c>
      <c r="W833" s="13">
        <v>43381</v>
      </c>
      <c r="X833" s="13">
        <v>43460</v>
      </c>
      <c r="Y833" s="31" t="s">
        <v>854</v>
      </c>
      <c r="Z833" s="31" t="s">
        <v>583</v>
      </c>
      <c r="AA833" s="31" t="s">
        <v>584</v>
      </c>
      <c r="AB833" s="31" t="s">
        <v>48</v>
      </c>
      <c r="AC833" s="31" t="s">
        <v>48</v>
      </c>
      <c r="AD833" s="34"/>
    </row>
    <row r="834" spans="2:30" ht="80.099999999999994" customHeight="1">
      <c r="B834" s="31">
        <v>2018</v>
      </c>
      <c r="C834" s="31" t="s">
        <v>143</v>
      </c>
      <c r="D834" s="31" t="s">
        <v>2062</v>
      </c>
      <c r="E834" s="13">
        <v>43370</v>
      </c>
      <c r="F834" s="31" t="s">
        <v>2399</v>
      </c>
      <c r="G834" s="31" t="s">
        <v>499</v>
      </c>
      <c r="H834" s="15">
        <v>7735620.2800000003</v>
      </c>
      <c r="I834" s="31" t="s">
        <v>2400</v>
      </c>
      <c r="J834" s="31" t="s">
        <v>2401</v>
      </c>
      <c r="K834" s="31" t="s">
        <v>2402</v>
      </c>
      <c r="L834" s="31" t="s">
        <v>2377</v>
      </c>
      <c r="M834" s="31" t="s">
        <v>2403</v>
      </c>
      <c r="N834" s="31" t="s">
        <v>2404</v>
      </c>
      <c r="O834" s="32">
        <v>7735620.2800000003</v>
      </c>
      <c r="P834" s="33" t="s">
        <v>48</v>
      </c>
      <c r="Q834" s="31" t="s">
        <v>2208</v>
      </c>
      <c r="R834" s="32">
        <v>1008.555447196871</v>
      </c>
      <c r="S834" s="31" t="s">
        <v>42</v>
      </c>
      <c r="T834" s="31">
        <v>2674</v>
      </c>
      <c r="U834" s="31" t="s">
        <v>43</v>
      </c>
      <c r="V834" s="33" t="s">
        <v>378</v>
      </c>
      <c r="W834" s="13">
        <v>43381</v>
      </c>
      <c r="X834" s="13">
        <v>43460</v>
      </c>
      <c r="Y834" s="31" t="s">
        <v>705</v>
      </c>
      <c r="Z834" s="31" t="s">
        <v>2200</v>
      </c>
      <c r="AA834" s="31" t="s">
        <v>76</v>
      </c>
      <c r="AB834" s="31" t="s">
        <v>48</v>
      </c>
      <c r="AC834" s="31" t="s">
        <v>48</v>
      </c>
      <c r="AD834" s="34"/>
    </row>
    <row r="835" spans="2:30" ht="80.099999999999994" customHeight="1">
      <c r="B835" s="31">
        <v>2018</v>
      </c>
      <c r="C835" s="31" t="s">
        <v>143</v>
      </c>
      <c r="D835" s="31" t="s">
        <v>2063</v>
      </c>
      <c r="E835" s="13">
        <v>43370</v>
      </c>
      <c r="F835" s="31" t="s">
        <v>2405</v>
      </c>
      <c r="G835" s="31" t="s">
        <v>499</v>
      </c>
      <c r="H835" s="15">
        <v>7379000.1100000003</v>
      </c>
      <c r="I835" s="31" t="s">
        <v>2400</v>
      </c>
      <c r="J835" s="31" t="s">
        <v>2406</v>
      </c>
      <c r="K835" s="31" t="s">
        <v>2117</v>
      </c>
      <c r="L835" s="31" t="s">
        <v>2407</v>
      </c>
      <c r="M835" s="31" t="s">
        <v>2408</v>
      </c>
      <c r="N835" s="31" t="s">
        <v>2409</v>
      </c>
      <c r="O835" s="32">
        <v>7379000.1100000003</v>
      </c>
      <c r="P835" s="33" t="s">
        <v>48</v>
      </c>
      <c r="Q835" s="31" t="s">
        <v>2208</v>
      </c>
      <c r="R835" s="32">
        <v>962.05998826597136</v>
      </c>
      <c r="S835" s="31" t="s">
        <v>42</v>
      </c>
      <c r="T835" s="31">
        <v>2674</v>
      </c>
      <c r="U835" s="31" t="s">
        <v>43</v>
      </c>
      <c r="V835" s="33" t="s">
        <v>378</v>
      </c>
      <c r="W835" s="13">
        <v>43381</v>
      </c>
      <c r="X835" s="13">
        <v>43460</v>
      </c>
      <c r="Y835" s="31" t="s">
        <v>705</v>
      </c>
      <c r="Z835" s="31" t="s">
        <v>2200</v>
      </c>
      <c r="AA835" s="31" t="s">
        <v>76</v>
      </c>
      <c r="AB835" s="31" t="s">
        <v>48</v>
      </c>
      <c r="AC835" s="31" t="s">
        <v>48</v>
      </c>
      <c r="AD835" s="34"/>
    </row>
    <row r="836" spans="2:30" ht="80.099999999999994" customHeight="1">
      <c r="B836" s="31">
        <v>2018</v>
      </c>
      <c r="C836" s="31" t="s">
        <v>143</v>
      </c>
      <c r="D836" s="31" t="s">
        <v>2064</v>
      </c>
      <c r="E836" s="13">
        <v>43370</v>
      </c>
      <c r="F836" s="31" t="s">
        <v>2410</v>
      </c>
      <c r="G836" s="31" t="s">
        <v>499</v>
      </c>
      <c r="H836" s="15">
        <v>6522184.2999999998</v>
      </c>
      <c r="I836" s="31" t="s">
        <v>2400</v>
      </c>
      <c r="J836" s="31" t="s">
        <v>2411</v>
      </c>
      <c r="K836" s="31" t="s">
        <v>2402</v>
      </c>
      <c r="L836" s="31" t="s">
        <v>2412</v>
      </c>
      <c r="M836" s="31" t="s">
        <v>2413</v>
      </c>
      <c r="N836" s="31" t="s">
        <v>2414</v>
      </c>
      <c r="O836" s="32">
        <v>6522184.2999999998</v>
      </c>
      <c r="P836" s="33" t="s">
        <v>48</v>
      </c>
      <c r="Q836" s="31" t="s">
        <v>2209</v>
      </c>
      <c r="R836" s="32">
        <v>1692.3155941878567</v>
      </c>
      <c r="S836" s="31" t="s">
        <v>42</v>
      </c>
      <c r="T836" s="31">
        <v>2674</v>
      </c>
      <c r="U836" s="31" t="s">
        <v>43</v>
      </c>
      <c r="V836" s="33" t="s">
        <v>378</v>
      </c>
      <c r="W836" s="13">
        <v>43381</v>
      </c>
      <c r="X836" s="13">
        <v>43460</v>
      </c>
      <c r="Y836" s="31" t="s">
        <v>705</v>
      </c>
      <c r="Z836" s="31" t="s">
        <v>2200</v>
      </c>
      <c r="AA836" s="31" t="s">
        <v>76</v>
      </c>
      <c r="AB836" s="31" t="s">
        <v>48</v>
      </c>
      <c r="AC836" s="31" t="s">
        <v>48</v>
      </c>
      <c r="AD836" s="34"/>
    </row>
    <row r="837" spans="2:30" ht="80.099999999999994" customHeight="1">
      <c r="B837" s="31">
        <v>2018</v>
      </c>
      <c r="C837" s="31" t="s">
        <v>143</v>
      </c>
      <c r="D837" s="31" t="s">
        <v>2065</v>
      </c>
      <c r="E837" s="13">
        <v>43370</v>
      </c>
      <c r="F837" s="31" t="s">
        <v>2415</v>
      </c>
      <c r="G837" s="31" t="s">
        <v>499</v>
      </c>
      <c r="H837" s="15">
        <v>6176886.6799999997</v>
      </c>
      <c r="I837" s="31" t="s">
        <v>2400</v>
      </c>
      <c r="J837" s="31" t="s">
        <v>2338</v>
      </c>
      <c r="K837" s="31" t="s">
        <v>2339</v>
      </c>
      <c r="L837" s="31" t="s">
        <v>2340</v>
      </c>
      <c r="M837" s="31" t="s">
        <v>2416</v>
      </c>
      <c r="N837" s="31" t="s">
        <v>2417</v>
      </c>
      <c r="O837" s="32">
        <v>6176886.6799999997</v>
      </c>
      <c r="P837" s="33" t="s">
        <v>48</v>
      </c>
      <c r="Q837" s="31" t="s">
        <v>2210</v>
      </c>
      <c r="R837" s="32">
        <v>1332.374176013805</v>
      </c>
      <c r="S837" s="31" t="s">
        <v>42</v>
      </c>
      <c r="T837" s="31">
        <v>2674</v>
      </c>
      <c r="U837" s="31" t="s">
        <v>43</v>
      </c>
      <c r="V837" s="33" t="s">
        <v>378</v>
      </c>
      <c r="W837" s="13">
        <v>43381</v>
      </c>
      <c r="X837" s="13">
        <v>43460</v>
      </c>
      <c r="Y837" s="31" t="s">
        <v>705</v>
      </c>
      <c r="Z837" s="31" t="s">
        <v>2200</v>
      </c>
      <c r="AA837" s="31" t="s">
        <v>76</v>
      </c>
      <c r="AB837" s="31" t="s">
        <v>48</v>
      </c>
      <c r="AC837" s="31" t="s">
        <v>48</v>
      </c>
      <c r="AD837" s="34"/>
    </row>
    <row r="838" spans="2:30" ht="80.099999999999994" customHeight="1">
      <c r="B838" s="31">
        <v>2018</v>
      </c>
      <c r="C838" s="31" t="s">
        <v>143</v>
      </c>
      <c r="D838" s="31" t="s">
        <v>2066</v>
      </c>
      <c r="E838" s="13">
        <v>43370</v>
      </c>
      <c r="F838" s="31" t="s">
        <v>2418</v>
      </c>
      <c r="G838" s="31" t="s">
        <v>499</v>
      </c>
      <c r="H838" s="15">
        <v>6164996.7599999998</v>
      </c>
      <c r="I838" s="31" t="s">
        <v>2400</v>
      </c>
      <c r="J838" s="31" t="s">
        <v>2360</v>
      </c>
      <c r="K838" s="31" t="s">
        <v>2144</v>
      </c>
      <c r="L838" s="31" t="s">
        <v>2361</v>
      </c>
      <c r="M838" s="31" t="s">
        <v>2362</v>
      </c>
      <c r="N838" s="31" t="s">
        <v>2363</v>
      </c>
      <c r="O838" s="32">
        <v>6164996.7599999998</v>
      </c>
      <c r="P838" s="33" t="s">
        <v>48</v>
      </c>
      <c r="Q838" s="31" t="s">
        <v>2211</v>
      </c>
      <c r="R838" s="32">
        <v>1330.6705719835959</v>
      </c>
      <c r="S838" s="31" t="s">
        <v>42</v>
      </c>
      <c r="T838" s="31">
        <v>2674</v>
      </c>
      <c r="U838" s="31" t="s">
        <v>43</v>
      </c>
      <c r="V838" s="33" t="s">
        <v>378</v>
      </c>
      <c r="W838" s="13">
        <v>43381</v>
      </c>
      <c r="X838" s="13">
        <v>43460</v>
      </c>
      <c r="Y838" s="31" t="s">
        <v>705</v>
      </c>
      <c r="Z838" s="31" t="s">
        <v>2200</v>
      </c>
      <c r="AA838" s="31" t="s">
        <v>76</v>
      </c>
      <c r="AB838" s="31" t="s">
        <v>48</v>
      </c>
      <c r="AC838" s="31" t="s">
        <v>48</v>
      </c>
      <c r="AD838" s="34"/>
    </row>
    <row r="839" spans="2:30" ht="80.099999999999994" customHeight="1">
      <c r="B839" s="31">
        <v>2018</v>
      </c>
      <c r="C839" s="31" t="s">
        <v>143</v>
      </c>
      <c r="D839" s="31" t="s">
        <v>2067</v>
      </c>
      <c r="E839" s="13">
        <v>43370</v>
      </c>
      <c r="F839" s="31" t="s">
        <v>2419</v>
      </c>
      <c r="G839" s="31" t="s">
        <v>499</v>
      </c>
      <c r="H839" s="15">
        <v>7272507.75</v>
      </c>
      <c r="I839" s="31" t="s">
        <v>2420</v>
      </c>
      <c r="J839" s="31" t="s">
        <v>2136</v>
      </c>
      <c r="K839" s="31" t="s">
        <v>2137</v>
      </c>
      <c r="L839" s="31" t="s">
        <v>2138</v>
      </c>
      <c r="M839" s="31" t="s">
        <v>2290</v>
      </c>
      <c r="N839" s="31" t="s">
        <v>2291</v>
      </c>
      <c r="O839" s="32">
        <v>7272507.75</v>
      </c>
      <c r="P839" s="33" t="s">
        <v>48</v>
      </c>
      <c r="Q839" s="31" t="s">
        <v>2212</v>
      </c>
      <c r="R839" s="32">
        <v>2327.9474231754161</v>
      </c>
      <c r="S839" s="31" t="s">
        <v>42</v>
      </c>
      <c r="T839" s="31">
        <v>17866</v>
      </c>
      <c r="U839" s="31" t="s">
        <v>43</v>
      </c>
      <c r="V839" s="33" t="s">
        <v>378</v>
      </c>
      <c r="W839" s="13">
        <v>43381</v>
      </c>
      <c r="X839" s="13">
        <v>43460</v>
      </c>
      <c r="Y839" s="31" t="s">
        <v>439</v>
      </c>
      <c r="Z839" s="31" t="s">
        <v>186</v>
      </c>
      <c r="AA839" s="31" t="s">
        <v>92</v>
      </c>
      <c r="AB839" s="31" t="s">
        <v>48</v>
      </c>
      <c r="AC839" s="31" t="s">
        <v>48</v>
      </c>
      <c r="AD839" s="34"/>
    </row>
    <row r="840" spans="2:30" ht="80.099999999999994" customHeight="1">
      <c r="B840" s="31">
        <v>2018</v>
      </c>
      <c r="C840" s="31" t="s">
        <v>143</v>
      </c>
      <c r="D840" s="31" t="s">
        <v>2068</v>
      </c>
      <c r="E840" s="13">
        <v>43370</v>
      </c>
      <c r="F840" s="31" t="s">
        <v>2421</v>
      </c>
      <c r="G840" s="31" t="s">
        <v>499</v>
      </c>
      <c r="H840" s="15">
        <v>7623519.0300000003</v>
      </c>
      <c r="I840" s="31" t="s">
        <v>2420</v>
      </c>
      <c r="J840" s="31" t="s">
        <v>2422</v>
      </c>
      <c r="K840" s="31" t="s">
        <v>2423</v>
      </c>
      <c r="L840" s="31" t="s">
        <v>2424</v>
      </c>
      <c r="M840" s="31" t="s">
        <v>2425</v>
      </c>
      <c r="N840" s="31" t="s">
        <v>2426</v>
      </c>
      <c r="O840" s="32">
        <v>7623519.0300000003</v>
      </c>
      <c r="P840" s="33" t="s">
        <v>48</v>
      </c>
      <c r="Q840" s="31" t="s">
        <v>2212</v>
      </c>
      <c r="R840" s="32">
        <v>2440.3069878361075</v>
      </c>
      <c r="S840" s="31" t="s">
        <v>42</v>
      </c>
      <c r="T840" s="31">
        <v>17866</v>
      </c>
      <c r="U840" s="31" t="s">
        <v>43</v>
      </c>
      <c r="V840" s="33" t="s">
        <v>378</v>
      </c>
      <c r="W840" s="13">
        <v>43381</v>
      </c>
      <c r="X840" s="13">
        <v>43460</v>
      </c>
      <c r="Y840" s="31" t="s">
        <v>439</v>
      </c>
      <c r="Z840" s="31" t="s">
        <v>186</v>
      </c>
      <c r="AA840" s="31" t="s">
        <v>92</v>
      </c>
      <c r="AB840" s="31" t="s">
        <v>48</v>
      </c>
      <c r="AC840" s="31" t="s">
        <v>48</v>
      </c>
      <c r="AD840" s="34"/>
    </row>
    <row r="841" spans="2:30" ht="80.099999999999994" customHeight="1">
      <c r="B841" s="31">
        <v>2018</v>
      </c>
      <c r="C841" s="31" t="s">
        <v>143</v>
      </c>
      <c r="D841" s="31" t="s">
        <v>2069</v>
      </c>
      <c r="E841" s="13">
        <v>43370</v>
      </c>
      <c r="F841" s="31" t="s">
        <v>2427</v>
      </c>
      <c r="G841" s="31" t="s">
        <v>499</v>
      </c>
      <c r="H841" s="15">
        <v>7220064.3700000001</v>
      </c>
      <c r="I841" s="31" t="s">
        <v>2420</v>
      </c>
      <c r="J841" s="31" t="s">
        <v>2428</v>
      </c>
      <c r="K841" s="31" t="s">
        <v>2429</v>
      </c>
      <c r="L841" s="31" t="s">
        <v>2430</v>
      </c>
      <c r="M841" s="31" t="s">
        <v>2431</v>
      </c>
      <c r="N841" s="31" t="s">
        <v>2432</v>
      </c>
      <c r="O841" s="32">
        <v>7220064.3700000001</v>
      </c>
      <c r="P841" s="33" t="s">
        <v>48</v>
      </c>
      <c r="Q841" s="31" t="s">
        <v>2213</v>
      </c>
      <c r="R841" s="32">
        <v>2257.6811663539711</v>
      </c>
      <c r="S841" s="31" t="s">
        <v>42</v>
      </c>
      <c r="T841" s="31">
        <v>17866</v>
      </c>
      <c r="U841" s="31" t="s">
        <v>43</v>
      </c>
      <c r="V841" s="33" t="s">
        <v>378</v>
      </c>
      <c r="W841" s="13">
        <v>43381</v>
      </c>
      <c r="X841" s="13">
        <v>43460</v>
      </c>
      <c r="Y841" s="31" t="s">
        <v>439</v>
      </c>
      <c r="Z841" s="31" t="s">
        <v>186</v>
      </c>
      <c r="AA841" s="31" t="s">
        <v>92</v>
      </c>
      <c r="AB841" s="31" t="s">
        <v>48</v>
      </c>
      <c r="AC841" s="31" t="s">
        <v>48</v>
      </c>
      <c r="AD841" s="34"/>
    </row>
    <row r="842" spans="2:30" ht="80.099999999999994" customHeight="1">
      <c r="B842" s="31">
        <v>2018</v>
      </c>
      <c r="C842" s="31" t="s">
        <v>143</v>
      </c>
      <c r="D842" s="31" t="s">
        <v>2070</v>
      </c>
      <c r="E842" s="13">
        <v>43370</v>
      </c>
      <c r="F842" s="31" t="s">
        <v>2433</v>
      </c>
      <c r="G842" s="31" t="s">
        <v>499</v>
      </c>
      <c r="H842" s="15">
        <v>7414333.3099999996</v>
      </c>
      <c r="I842" s="31" t="s">
        <v>2420</v>
      </c>
      <c r="J842" s="31" t="s">
        <v>2434</v>
      </c>
      <c r="K842" s="31" t="s">
        <v>2435</v>
      </c>
      <c r="L842" s="31" t="s">
        <v>2436</v>
      </c>
      <c r="M842" s="31" t="s">
        <v>2437</v>
      </c>
      <c r="N842" s="31" t="s">
        <v>2438</v>
      </c>
      <c r="O842" s="32">
        <v>7414333.3099999996</v>
      </c>
      <c r="P842" s="33" t="s">
        <v>48</v>
      </c>
      <c r="Q842" s="31" t="s">
        <v>2213</v>
      </c>
      <c r="R842" s="32">
        <v>2318.4281769856157</v>
      </c>
      <c r="S842" s="31" t="s">
        <v>42</v>
      </c>
      <c r="T842" s="31">
        <v>17866</v>
      </c>
      <c r="U842" s="31" t="s">
        <v>43</v>
      </c>
      <c r="V842" s="33" t="s">
        <v>378</v>
      </c>
      <c r="W842" s="13">
        <v>43381</v>
      </c>
      <c r="X842" s="13">
        <v>43460</v>
      </c>
      <c r="Y842" s="31" t="s">
        <v>439</v>
      </c>
      <c r="Z842" s="31" t="s">
        <v>186</v>
      </c>
      <c r="AA842" s="31" t="s">
        <v>92</v>
      </c>
      <c r="AB842" s="31" t="s">
        <v>48</v>
      </c>
      <c r="AC842" s="31" t="s">
        <v>48</v>
      </c>
      <c r="AD842" s="34"/>
    </row>
    <row r="843" spans="2:30" ht="80.099999999999994" customHeight="1">
      <c r="B843" s="31">
        <v>2018</v>
      </c>
      <c r="C843" s="31" t="s">
        <v>143</v>
      </c>
      <c r="D843" s="31" t="s">
        <v>2071</v>
      </c>
      <c r="E843" s="13">
        <v>43370</v>
      </c>
      <c r="F843" s="31" t="s">
        <v>2439</v>
      </c>
      <c r="G843" s="31" t="s">
        <v>499</v>
      </c>
      <c r="H843" s="15">
        <v>7454983.7300000004</v>
      </c>
      <c r="I843" s="31" t="s">
        <v>2420</v>
      </c>
      <c r="J843" s="31" t="s">
        <v>2440</v>
      </c>
      <c r="K843" s="31" t="s">
        <v>2441</v>
      </c>
      <c r="L843" s="31" t="s">
        <v>2306</v>
      </c>
      <c r="M843" s="31" t="s">
        <v>2442</v>
      </c>
      <c r="N843" s="31" t="s">
        <v>2443</v>
      </c>
      <c r="O843" s="32">
        <v>7454983.7300000004</v>
      </c>
      <c r="P843" s="33" t="s">
        <v>48</v>
      </c>
      <c r="Q843" s="31" t="s">
        <v>2213</v>
      </c>
      <c r="R843" s="32">
        <v>2331.1393777360854</v>
      </c>
      <c r="S843" s="31" t="s">
        <v>42</v>
      </c>
      <c r="T843" s="31">
        <v>17866</v>
      </c>
      <c r="U843" s="31" t="s">
        <v>43</v>
      </c>
      <c r="V843" s="33" t="s">
        <v>378</v>
      </c>
      <c r="W843" s="13">
        <v>43381</v>
      </c>
      <c r="X843" s="13">
        <v>43460</v>
      </c>
      <c r="Y843" s="31" t="s">
        <v>439</v>
      </c>
      <c r="Z843" s="31" t="s">
        <v>186</v>
      </c>
      <c r="AA843" s="31" t="s">
        <v>92</v>
      </c>
      <c r="AB843" s="31" t="s">
        <v>48</v>
      </c>
      <c r="AC843" s="31" t="s">
        <v>48</v>
      </c>
      <c r="AD843" s="34"/>
    </row>
    <row r="844" spans="2:30" ht="80.099999999999994" customHeight="1">
      <c r="B844" s="31">
        <v>2018</v>
      </c>
      <c r="C844" s="31" t="s">
        <v>143</v>
      </c>
      <c r="D844" s="31" t="s">
        <v>2072</v>
      </c>
      <c r="E844" s="13">
        <v>43370</v>
      </c>
      <c r="F844" s="31" t="s">
        <v>2444</v>
      </c>
      <c r="G844" s="31" t="s">
        <v>499</v>
      </c>
      <c r="H844" s="15">
        <v>6589616.9900000002</v>
      </c>
      <c r="I844" s="31" t="s">
        <v>1308</v>
      </c>
      <c r="J844" s="31" t="s">
        <v>2299</v>
      </c>
      <c r="K844" s="31" t="s">
        <v>2294</v>
      </c>
      <c r="L844" s="31" t="s">
        <v>2300</v>
      </c>
      <c r="M844" s="31" t="s">
        <v>2301</v>
      </c>
      <c r="N844" s="31" t="s">
        <v>2302</v>
      </c>
      <c r="O844" s="32">
        <v>6589616.9900000002</v>
      </c>
      <c r="P844" s="33" t="s">
        <v>48</v>
      </c>
      <c r="Q844" s="31" t="s">
        <v>2214</v>
      </c>
      <c r="R844" s="32">
        <v>2732.013677446103</v>
      </c>
      <c r="S844" s="31" t="s">
        <v>42</v>
      </c>
      <c r="T844" s="31">
        <v>1852</v>
      </c>
      <c r="U844" s="31" t="s">
        <v>43</v>
      </c>
      <c r="V844" s="33" t="s">
        <v>378</v>
      </c>
      <c r="W844" s="13">
        <v>43381</v>
      </c>
      <c r="X844" s="13">
        <v>43460</v>
      </c>
      <c r="Y844" s="31" t="s">
        <v>611</v>
      </c>
      <c r="Z844" s="31" t="s">
        <v>312</v>
      </c>
      <c r="AA844" s="31" t="s">
        <v>64</v>
      </c>
      <c r="AB844" s="31" t="s">
        <v>48</v>
      </c>
      <c r="AC844" s="31" t="s">
        <v>48</v>
      </c>
      <c r="AD844" s="34"/>
    </row>
    <row r="845" spans="2:30" ht="80.099999999999994" customHeight="1">
      <c r="B845" s="31">
        <v>2018</v>
      </c>
      <c r="C845" s="31" t="s">
        <v>143</v>
      </c>
      <c r="D845" s="31" t="s">
        <v>2073</v>
      </c>
      <c r="E845" s="13">
        <v>43370</v>
      </c>
      <c r="F845" s="31" t="s">
        <v>2445</v>
      </c>
      <c r="G845" s="31" t="s">
        <v>499</v>
      </c>
      <c r="H845" s="15">
        <v>6696628.2599999998</v>
      </c>
      <c r="I845" s="31" t="s">
        <v>1308</v>
      </c>
      <c r="J845" s="31" t="s">
        <v>2268</v>
      </c>
      <c r="K845" s="31" t="s">
        <v>2156</v>
      </c>
      <c r="L845" s="31" t="s">
        <v>2274</v>
      </c>
      <c r="M845" s="31" t="s">
        <v>2446</v>
      </c>
      <c r="N845" s="31" t="s">
        <v>2447</v>
      </c>
      <c r="O845" s="32">
        <v>6696628.2599999998</v>
      </c>
      <c r="P845" s="33" t="s">
        <v>48</v>
      </c>
      <c r="Q845" s="31" t="s">
        <v>2215</v>
      </c>
      <c r="R845" s="32">
        <v>1459.5963949433303</v>
      </c>
      <c r="S845" s="31" t="s">
        <v>42</v>
      </c>
      <c r="T845" s="31">
        <v>1852</v>
      </c>
      <c r="U845" s="31" t="s">
        <v>43</v>
      </c>
      <c r="V845" s="33" t="s">
        <v>378</v>
      </c>
      <c r="W845" s="13">
        <v>43381</v>
      </c>
      <c r="X845" s="13">
        <v>43460</v>
      </c>
      <c r="Y845" s="31" t="s">
        <v>611</v>
      </c>
      <c r="Z845" s="31" t="s">
        <v>312</v>
      </c>
      <c r="AA845" s="31" t="s">
        <v>64</v>
      </c>
      <c r="AB845" s="31" t="s">
        <v>48</v>
      </c>
      <c r="AC845" s="31" t="s">
        <v>48</v>
      </c>
      <c r="AD845" s="34"/>
    </row>
    <row r="846" spans="2:30" ht="80.099999999999994" customHeight="1">
      <c r="B846" s="31">
        <v>2018</v>
      </c>
      <c r="C846" s="31" t="s">
        <v>143</v>
      </c>
      <c r="D846" s="31" t="s">
        <v>2074</v>
      </c>
      <c r="E846" s="13">
        <v>43367</v>
      </c>
      <c r="F846" s="31" t="s">
        <v>2448</v>
      </c>
      <c r="G846" s="31" t="s">
        <v>499</v>
      </c>
      <c r="H846" s="15">
        <v>6673412.8700000001</v>
      </c>
      <c r="I846" s="31" t="s">
        <v>1308</v>
      </c>
      <c r="J846" s="31" t="s">
        <v>2449</v>
      </c>
      <c r="K846" s="31" t="s">
        <v>2143</v>
      </c>
      <c r="L846" s="31" t="s">
        <v>2450</v>
      </c>
      <c r="M846" s="31" t="s">
        <v>2451</v>
      </c>
      <c r="N846" s="31" t="s">
        <v>2452</v>
      </c>
      <c r="O846" s="32">
        <v>6673412.8700000001</v>
      </c>
      <c r="P846" s="33" t="s">
        <v>48</v>
      </c>
      <c r="Q846" s="31" t="s">
        <v>2216</v>
      </c>
      <c r="R846" s="32">
        <v>21527.138290322582</v>
      </c>
      <c r="S846" s="31" t="s">
        <v>42</v>
      </c>
      <c r="T846" s="31">
        <v>1852</v>
      </c>
      <c r="U846" s="31" t="s">
        <v>43</v>
      </c>
      <c r="V846" s="33" t="s">
        <v>378</v>
      </c>
      <c r="W846" s="13">
        <v>43381</v>
      </c>
      <c r="X846" s="13">
        <v>43460</v>
      </c>
      <c r="Y846" s="31" t="s">
        <v>611</v>
      </c>
      <c r="Z846" s="31" t="s">
        <v>312</v>
      </c>
      <c r="AA846" s="31" t="s">
        <v>64</v>
      </c>
      <c r="AB846" s="31" t="s">
        <v>48</v>
      </c>
      <c r="AC846" s="31" t="s">
        <v>48</v>
      </c>
      <c r="AD846" s="34"/>
    </row>
    <row r="847" spans="2:30" ht="80.099999999999994" customHeight="1">
      <c r="B847" s="31">
        <v>2018</v>
      </c>
      <c r="C847" s="31" t="s">
        <v>143</v>
      </c>
      <c r="D847" s="31" t="s">
        <v>2075</v>
      </c>
      <c r="E847" s="13">
        <v>43328</v>
      </c>
      <c r="F847" s="31" t="s">
        <v>2453</v>
      </c>
      <c r="G847" s="31" t="s">
        <v>499</v>
      </c>
      <c r="H847" s="15">
        <v>5615198.2800000003</v>
      </c>
      <c r="I847" s="31" t="s">
        <v>1335</v>
      </c>
      <c r="J847" s="31" t="s">
        <v>2454</v>
      </c>
      <c r="K847" s="31" t="s">
        <v>2455</v>
      </c>
      <c r="L847" s="31" t="s">
        <v>2456</v>
      </c>
      <c r="M847" s="31" t="s">
        <v>2457</v>
      </c>
      <c r="N847" s="31" t="s">
        <v>2458</v>
      </c>
      <c r="O847" s="32">
        <v>5615198.2800000003</v>
      </c>
      <c r="P847" s="33" t="s">
        <v>48</v>
      </c>
      <c r="Q847" s="31" t="s">
        <v>2217</v>
      </c>
      <c r="R847" s="32">
        <v>5347.8078857142864</v>
      </c>
      <c r="S847" s="31" t="s">
        <v>42</v>
      </c>
      <c r="T847" s="31">
        <v>1332272</v>
      </c>
      <c r="U847" s="31" t="s">
        <v>43</v>
      </c>
      <c r="V847" s="33" t="s">
        <v>378</v>
      </c>
      <c r="W847" s="13">
        <v>43328</v>
      </c>
      <c r="X847" s="13">
        <v>43357</v>
      </c>
      <c r="Y847" s="31" t="s">
        <v>385</v>
      </c>
      <c r="Z847" s="31" t="s">
        <v>46</v>
      </c>
      <c r="AA847" s="31" t="s">
        <v>47</v>
      </c>
      <c r="AB847" s="31" t="s">
        <v>48</v>
      </c>
      <c r="AC847" s="31" t="s">
        <v>48</v>
      </c>
      <c r="AD847" s="34"/>
    </row>
    <row r="848" spans="2:30" ht="80.099999999999994" customHeight="1">
      <c r="B848" s="31">
        <v>2018</v>
      </c>
      <c r="C848" s="31" t="s">
        <v>65</v>
      </c>
      <c r="D848" s="31" t="s">
        <v>2076</v>
      </c>
      <c r="E848" s="13">
        <v>43290</v>
      </c>
      <c r="F848" s="31" t="s">
        <v>2459</v>
      </c>
      <c r="G848" s="31" t="s">
        <v>499</v>
      </c>
      <c r="H848" s="15">
        <v>1789144.68</v>
      </c>
      <c r="I848" s="31" t="s">
        <v>98</v>
      </c>
      <c r="J848" s="31" t="s">
        <v>2460</v>
      </c>
      <c r="K848" s="31" t="s">
        <v>2019</v>
      </c>
      <c r="L848" s="31" t="s">
        <v>2461</v>
      </c>
      <c r="M848" s="31" t="s">
        <v>2462</v>
      </c>
      <c r="N848" s="31" t="s">
        <v>2463</v>
      </c>
      <c r="O848" s="32">
        <v>1789144.68</v>
      </c>
      <c r="P848" s="33" t="s">
        <v>48</v>
      </c>
      <c r="Q848" s="31" t="s">
        <v>1235</v>
      </c>
      <c r="R848" s="32">
        <v>1110.5801862197393</v>
      </c>
      <c r="S848" s="31" t="s">
        <v>42</v>
      </c>
      <c r="T848" s="31">
        <v>3688</v>
      </c>
      <c r="U848" s="31" t="s">
        <v>43</v>
      </c>
      <c r="V848" s="33" t="s">
        <v>378</v>
      </c>
      <c r="W848" s="13">
        <v>43290</v>
      </c>
      <c r="X848" s="13">
        <v>43332</v>
      </c>
      <c r="Y848" s="31" t="s">
        <v>336</v>
      </c>
      <c r="Z848" s="31" t="s">
        <v>337</v>
      </c>
      <c r="AA848" s="31" t="s">
        <v>120</v>
      </c>
      <c r="AB848" s="31" t="s">
        <v>48</v>
      </c>
      <c r="AC848" s="31" t="s">
        <v>48</v>
      </c>
      <c r="AD848" s="34"/>
    </row>
    <row r="849" spans="2:30" ht="80.099999999999994" customHeight="1">
      <c r="B849" s="31">
        <v>2018</v>
      </c>
      <c r="C849" s="31" t="s">
        <v>65</v>
      </c>
      <c r="D849" s="31" t="s">
        <v>2077</v>
      </c>
      <c r="E849" s="13">
        <v>43306</v>
      </c>
      <c r="F849" s="31" t="s">
        <v>2464</v>
      </c>
      <c r="G849" s="31" t="s">
        <v>499</v>
      </c>
      <c r="H849" s="15">
        <v>1718982.13</v>
      </c>
      <c r="I849" s="31" t="s">
        <v>98</v>
      </c>
      <c r="J849" s="31" t="s">
        <v>2465</v>
      </c>
      <c r="K849" s="31" t="s">
        <v>2466</v>
      </c>
      <c r="L849" s="31" t="s">
        <v>2467</v>
      </c>
      <c r="M849" s="31" t="s">
        <v>2468</v>
      </c>
      <c r="N849" s="31" t="s">
        <v>2469</v>
      </c>
      <c r="O849" s="32">
        <v>1718982.13</v>
      </c>
      <c r="P849" s="33" t="s">
        <v>48</v>
      </c>
      <c r="Q849" s="31" t="s">
        <v>321</v>
      </c>
      <c r="R849" s="32">
        <v>2291.976173333333</v>
      </c>
      <c r="S849" s="31" t="s">
        <v>42</v>
      </c>
      <c r="T849" s="31">
        <v>1896</v>
      </c>
      <c r="U849" s="31" t="s">
        <v>43</v>
      </c>
      <c r="V849" s="33" t="s">
        <v>378</v>
      </c>
      <c r="W849" s="13">
        <v>43308</v>
      </c>
      <c r="X849" s="13">
        <v>43367</v>
      </c>
      <c r="Y849" s="31" t="s">
        <v>336</v>
      </c>
      <c r="Z849" s="31" t="s">
        <v>337</v>
      </c>
      <c r="AA849" s="31" t="s">
        <v>120</v>
      </c>
      <c r="AB849" s="31" t="s">
        <v>48</v>
      </c>
      <c r="AC849" s="31" t="s">
        <v>48</v>
      </c>
      <c r="AD849" s="34"/>
    </row>
    <row r="850" spans="2:30" ht="80.099999999999994" customHeight="1">
      <c r="B850" s="31">
        <v>2018</v>
      </c>
      <c r="C850" s="31" t="s">
        <v>65</v>
      </c>
      <c r="D850" s="31" t="s">
        <v>2078</v>
      </c>
      <c r="E850" s="13">
        <v>43307</v>
      </c>
      <c r="F850" s="31" t="s">
        <v>2470</v>
      </c>
      <c r="G850" s="31" t="s">
        <v>499</v>
      </c>
      <c r="H850" s="15">
        <v>1798216.5</v>
      </c>
      <c r="I850" s="31" t="s">
        <v>713</v>
      </c>
      <c r="J850" s="31" t="s">
        <v>2471</v>
      </c>
      <c r="K850" s="31" t="s">
        <v>2472</v>
      </c>
      <c r="L850" s="31" t="s">
        <v>2473</v>
      </c>
      <c r="M850" s="31" t="s">
        <v>2474</v>
      </c>
      <c r="N850" s="31" t="s">
        <v>2475</v>
      </c>
      <c r="O850" s="32">
        <v>1798216.5</v>
      </c>
      <c r="P850" s="33" t="s">
        <v>48</v>
      </c>
      <c r="Q850" s="31" t="s">
        <v>2218</v>
      </c>
      <c r="R850" s="32">
        <v>1198.8109999999999</v>
      </c>
      <c r="S850" s="31" t="s">
        <v>42</v>
      </c>
      <c r="T850" s="31">
        <v>26859</v>
      </c>
      <c r="U850" s="31" t="s">
        <v>43</v>
      </c>
      <c r="V850" s="33" t="s">
        <v>378</v>
      </c>
      <c r="W850" s="13">
        <v>43307</v>
      </c>
      <c r="X850" s="13">
        <v>43363</v>
      </c>
      <c r="Y850" s="31" t="s">
        <v>826</v>
      </c>
      <c r="Z850" s="31" t="s">
        <v>827</v>
      </c>
      <c r="AA850" s="31" t="s">
        <v>47</v>
      </c>
      <c r="AB850" s="31" t="s">
        <v>48</v>
      </c>
      <c r="AC850" s="31" t="s">
        <v>48</v>
      </c>
      <c r="AD850" s="34"/>
    </row>
    <row r="851" spans="2:30" ht="80.099999999999994" customHeight="1">
      <c r="B851" s="31">
        <v>2018</v>
      </c>
      <c r="C851" s="31" t="s">
        <v>65</v>
      </c>
      <c r="D851" s="31" t="s">
        <v>2079</v>
      </c>
      <c r="E851" s="13">
        <v>43307</v>
      </c>
      <c r="F851" s="31" t="s">
        <v>2476</v>
      </c>
      <c r="G851" s="31" t="s">
        <v>499</v>
      </c>
      <c r="H851" s="15">
        <v>535250.24</v>
      </c>
      <c r="I851" s="31" t="s">
        <v>1203</v>
      </c>
      <c r="J851" s="31" t="s">
        <v>2477</v>
      </c>
      <c r="K851" s="31" t="s">
        <v>2478</v>
      </c>
      <c r="L851" s="31" t="s">
        <v>2157</v>
      </c>
      <c r="M851" s="31" t="s">
        <v>2479</v>
      </c>
      <c r="N851" s="31" t="s">
        <v>2480</v>
      </c>
      <c r="O851" s="32">
        <v>535250.24</v>
      </c>
      <c r="P851" s="33" t="s">
        <v>48</v>
      </c>
      <c r="Q851" s="31" t="s">
        <v>2219</v>
      </c>
      <c r="R851" s="32">
        <v>13724.365128205129</v>
      </c>
      <c r="S851" s="31" t="s">
        <v>42</v>
      </c>
      <c r="T851" s="31">
        <v>635</v>
      </c>
      <c r="U851" s="31" t="s">
        <v>43</v>
      </c>
      <c r="V851" s="33" t="s">
        <v>378</v>
      </c>
      <c r="W851" s="13">
        <v>43307</v>
      </c>
      <c r="X851" s="13">
        <v>43358</v>
      </c>
      <c r="Y851" s="31" t="s">
        <v>794</v>
      </c>
      <c r="Z851" s="31" t="s">
        <v>833</v>
      </c>
      <c r="AA851" s="31" t="s">
        <v>191</v>
      </c>
      <c r="AB851" s="31" t="s">
        <v>48</v>
      </c>
      <c r="AC851" s="31" t="s">
        <v>48</v>
      </c>
      <c r="AD851" s="34"/>
    </row>
    <row r="852" spans="2:30" ht="80.099999999999994" customHeight="1">
      <c r="B852" s="31">
        <v>2018</v>
      </c>
      <c r="C852" s="31" t="s">
        <v>65</v>
      </c>
      <c r="D852" s="31" t="s">
        <v>2080</v>
      </c>
      <c r="E852" s="13">
        <v>43297</v>
      </c>
      <c r="F852" s="31" t="s">
        <v>2481</v>
      </c>
      <c r="G852" s="31" t="s">
        <v>499</v>
      </c>
      <c r="H852" s="15">
        <v>703428.12</v>
      </c>
      <c r="I852" s="31" t="s">
        <v>1133</v>
      </c>
      <c r="J852" s="31" t="s">
        <v>2278</v>
      </c>
      <c r="K852" s="31" t="s">
        <v>2279</v>
      </c>
      <c r="L852" s="31" t="s">
        <v>2280</v>
      </c>
      <c r="M852" s="31" t="s">
        <v>2281</v>
      </c>
      <c r="N852" s="31" t="s">
        <v>2282</v>
      </c>
      <c r="O852" s="32">
        <v>703428.12</v>
      </c>
      <c r="P852" s="33" t="s">
        <v>48</v>
      </c>
      <c r="Q852" s="31" t="s">
        <v>2220</v>
      </c>
      <c r="R852" s="32">
        <v>175857.03</v>
      </c>
      <c r="S852" s="31" t="s">
        <v>42</v>
      </c>
      <c r="T852" s="31">
        <v>186</v>
      </c>
      <c r="U852" s="31" t="s">
        <v>43</v>
      </c>
      <c r="V852" s="33" t="s">
        <v>378</v>
      </c>
      <c r="W852" s="13">
        <v>43297</v>
      </c>
      <c r="X852" s="13">
        <v>43343</v>
      </c>
      <c r="Y852" s="31" t="s">
        <v>830</v>
      </c>
      <c r="Z852" s="31" t="s">
        <v>1251</v>
      </c>
      <c r="AA852" s="31" t="s">
        <v>471</v>
      </c>
      <c r="AB852" s="31" t="s">
        <v>48</v>
      </c>
      <c r="AC852" s="31" t="s">
        <v>48</v>
      </c>
      <c r="AD852" s="34"/>
    </row>
    <row r="853" spans="2:30" ht="80.099999999999994" customHeight="1">
      <c r="B853" s="31">
        <v>2018</v>
      </c>
      <c r="C853" s="31" t="s">
        <v>65</v>
      </c>
      <c r="D853" s="31" t="s">
        <v>2081</v>
      </c>
      <c r="E853" s="13">
        <v>43280</v>
      </c>
      <c r="F853" s="31" t="s">
        <v>2482</v>
      </c>
      <c r="G853" s="31" t="s">
        <v>499</v>
      </c>
      <c r="H853" s="15">
        <v>773869.53</v>
      </c>
      <c r="I853" s="31" t="s">
        <v>957</v>
      </c>
      <c r="J853" s="31" t="s">
        <v>2454</v>
      </c>
      <c r="K853" s="31" t="s">
        <v>2455</v>
      </c>
      <c r="L853" s="31" t="s">
        <v>2456</v>
      </c>
      <c r="M853" s="31" t="s">
        <v>2457</v>
      </c>
      <c r="N853" s="31" t="s">
        <v>2458</v>
      </c>
      <c r="O853" s="32">
        <v>773869.53</v>
      </c>
      <c r="P853" s="33" t="s">
        <v>48</v>
      </c>
      <c r="Q853" s="31" t="s">
        <v>688</v>
      </c>
      <c r="R853" s="32">
        <v>1172.529590909091</v>
      </c>
      <c r="S853" s="31" t="s">
        <v>42</v>
      </c>
      <c r="T853" s="31">
        <v>106</v>
      </c>
      <c r="U853" s="31" t="s">
        <v>43</v>
      </c>
      <c r="V853" s="33" t="s">
        <v>378</v>
      </c>
      <c r="W853" s="13">
        <v>43282</v>
      </c>
      <c r="X853" s="13">
        <v>43322</v>
      </c>
      <c r="Y853" s="31" t="s">
        <v>336</v>
      </c>
      <c r="Z853" s="31" t="s">
        <v>337</v>
      </c>
      <c r="AA853" s="31" t="s">
        <v>120</v>
      </c>
      <c r="AB853" s="31" t="s">
        <v>48</v>
      </c>
      <c r="AC853" s="31" t="s">
        <v>48</v>
      </c>
      <c r="AD853" s="34"/>
    </row>
    <row r="854" spans="2:30" ht="80.099999999999994" customHeight="1">
      <c r="B854" s="31">
        <v>2018</v>
      </c>
      <c r="C854" s="31" t="s">
        <v>65</v>
      </c>
      <c r="D854" s="31" t="s">
        <v>2082</v>
      </c>
      <c r="E854" s="13">
        <v>43294</v>
      </c>
      <c r="F854" s="31" t="s">
        <v>2483</v>
      </c>
      <c r="G854" s="31" t="s">
        <v>499</v>
      </c>
      <c r="H854" s="15">
        <v>325959.03000000003</v>
      </c>
      <c r="I854" s="31" t="s">
        <v>249</v>
      </c>
      <c r="J854" s="31" t="s">
        <v>2401</v>
      </c>
      <c r="K854" s="31" t="s">
        <v>2402</v>
      </c>
      <c r="L854" s="31" t="s">
        <v>2377</v>
      </c>
      <c r="M854" s="31" t="s">
        <v>2403</v>
      </c>
      <c r="N854" s="31" t="s">
        <v>2404</v>
      </c>
      <c r="O854" s="32">
        <v>325959.03000000003</v>
      </c>
      <c r="P854" s="33" t="s">
        <v>48</v>
      </c>
      <c r="Q854" s="31" t="s">
        <v>2221</v>
      </c>
      <c r="R854" s="32">
        <v>382.58102112676062</v>
      </c>
      <c r="S854" s="31" t="s">
        <v>42</v>
      </c>
      <c r="T854" s="31">
        <v>1268</v>
      </c>
      <c r="U854" s="31" t="s">
        <v>43</v>
      </c>
      <c r="V854" s="33" t="s">
        <v>378</v>
      </c>
      <c r="W854" s="13">
        <v>43297</v>
      </c>
      <c r="X854" s="13">
        <v>43343</v>
      </c>
      <c r="Y854" s="31" t="s">
        <v>336</v>
      </c>
      <c r="Z854" s="31" t="s">
        <v>337</v>
      </c>
      <c r="AA854" s="31" t="s">
        <v>120</v>
      </c>
      <c r="AB854" s="31" t="s">
        <v>48</v>
      </c>
      <c r="AC854" s="31" t="s">
        <v>48</v>
      </c>
      <c r="AD854" s="34"/>
    </row>
    <row r="855" spans="2:30" ht="80.099999999999994" customHeight="1">
      <c r="B855" s="31">
        <v>2018</v>
      </c>
      <c r="C855" s="31" t="s">
        <v>65</v>
      </c>
      <c r="D855" s="31" t="s">
        <v>2083</v>
      </c>
      <c r="E855" s="13">
        <v>43306</v>
      </c>
      <c r="F855" s="31" t="s">
        <v>2484</v>
      </c>
      <c r="G855" s="31" t="s">
        <v>499</v>
      </c>
      <c r="H855" s="15">
        <v>1686315.2</v>
      </c>
      <c r="I855" s="31" t="s">
        <v>713</v>
      </c>
      <c r="J855" s="31" t="s">
        <v>2485</v>
      </c>
      <c r="K855" s="31" t="s">
        <v>2486</v>
      </c>
      <c r="L855" s="31" t="s">
        <v>2487</v>
      </c>
      <c r="M855" s="31" t="s">
        <v>2488</v>
      </c>
      <c r="N855" s="31" t="s">
        <v>2489</v>
      </c>
      <c r="O855" s="32">
        <v>1686315.2</v>
      </c>
      <c r="P855" s="33" t="s">
        <v>48</v>
      </c>
      <c r="Q855" s="31" t="s">
        <v>2218</v>
      </c>
      <c r="R855" s="32">
        <v>1124.2101333333333</v>
      </c>
      <c r="S855" s="31" t="s">
        <v>42</v>
      </c>
      <c r="T855" s="31">
        <v>26859</v>
      </c>
      <c r="U855" s="31" t="s">
        <v>43</v>
      </c>
      <c r="V855" s="33" t="s">
        <v>378</v>
      </c>
      <c r="W855" s="13">
        <v>43307</v>
      </c>
      <c r="X855" s="13">
        <v>43363</v>
      </c>
      <c r="Y855" s="31" t="s">
        <v>385</v>
      </c>
      <c r="Z855" s="31" t="s">
        <v>637</v>
      </c>
      <c r="AA855" s="31" t="s">
        <v>1214</v>
      </c>
      <c r="AB855" s="31" t="s">
        <v>48</v>
      </c>
      <c r="AC855" s="31" t="s">
        <v>48</v>
      </c>
      <c r="AD855" s="34"/>
    </row>
    <row r="856" spans="2:30" ht="80.099999999999994" customHeight="1">
      <c r="B856" s="31">
        <v>2018</v>
      </c>
      <c r="C856" s="31" t="s">
        <v>143</v>
      </c>
      <c r="D856" s="31" t="s">
        <v>2084</v>
      </c>
      <c r="E856" s="13">
        <v>43370</v>
      </c>
      <c r="F856" s="31" t="s">
        <v>2490</v>
      </c>
      <c r="G856" s="31" t="s">
        <v>499</v>
      </c>
      <c r="H856" s="15">
        <v>4439643.33</v>
      </c>
      <c r="I856" s="31" t="s">
        <v>2171</v>
      </c>
      <c r="J856" s="31" t="s">
        <v>2491</v>
      </c>
      <c r="K856" s="31" t="s">
        <v>2492</v>
      </c>
      <c r="L856" s="31" t="s">
        <v>2493</v>
      </c>
      <c r="M856" s="31" t="s">
        <v>2494</v>
      </c>
      <c r="N856" s="31" t="s">
        <v>2495</v>
      </c>
      <c r="O856" s="32">
        <v>4439643.33</v>
      </c>
      <c r="P856" s="33" t="s">
        <v>48</v>
      </c>
      <c r="Q856" s="31" t="s">
        <v>2222</v>
      </c>
      <c r="R856" s="32">
        <v>2319.562868338558</v>
      </c>
      <c r="S856" s="31" t="s">
        <v>42</v>
      </c>
      <c r="T856" s="31">
        <v>2087</v>
      </c>
      <c r="U856" s="31" t="s">
        <v>43</v>
      </c>
      <c r="V856" s="33" t="s">
        <v>378</v>
      </c>
      <c r="W856" s="13">
        <v>43381</v>
      </c>
      <c r="X856" s="13">
        <v>43460</v>
      </c>
      <c r="Y856" s="31" t="s">
        <v>439</v>
      </c>
      <c r="Z856" s="31" t="s">
        <v>186</v>
      </c>
      <c r="AA856" s="31" t="s">
        <v>92</v>
      </c>
      <c r="AB856" s="31" t="s">
        <v>48</v>
      </c>
      <c r="AC856" s="31" t="s">
        <v>48</v>
      </c>
      <c r="AD856" s="34"/>
    </row>
    <row r="857" spans="2:30" ht="80.099999999999994" customHeight="1">
      <c r="B857" s="31">
        <v>2018</v>
      </c>
      <c r="C857" s="31" t="s">
        <v>65</v>
      </c>
      <c r="D857" s="31" t="s">
        <v>2085</v>
      </c>
      <c r="E857" s="13">
        <v>43349</v>
      </c>
      <c r="F857" s="31" t="s">
        <v>2496</v>
      </c>
      <c r="G857" s="31" t="s">
        <v>499</v>
      </c>
      <c r="H857" s="15">
        <v>1241392.93</v>
      </c>
      <c r="I857" s="31" t="s">
        <v>88</v>
      </c>
      <c r="J857" s="31" t="s">
        <v>2497</v>
      </c>
      <c r="K857" s="31" t="s">
        <v>2498</v>
      </c>
      <c r="L857" s="31" t="s">
        <v>2499</v>
      </c>
      <c r="M857" s="31" t="s">
        <v>2500</v>
      </c>
      <c r="N857" s="31" t="s">
        <v>2501</v>
      </c>
      <c r="O857" s="32">
        <v>1241392.93</v>
      </c>
      <c r="P857" s="33" t="s">
        <v>48</v>
      </c>
      <c r="Q857" s="31" t="s">
        <v>2223</v>
      </c>
      <c r="R857" s="32">
        <v>1679.8280514208388</v>
      </c>
      <c r="S857" s="31" t="s">
        <v>42</v>
      </c>
      <c r="T857" s="31">
        <v>659</v>
      </c>
      <c r="U857" s="31" t="s">
        <v>43</v>
      </c>
      <c r="V857" s="33" t="s">
        <v>378</v>
      </c>
      <c r="W857" s="13">
        <v>43353</v>
      </c>
      <c r="X857" s="13">
        <v>43417</v>
      </c>
      <c r="Y857" s="31" t="s">
        <v>822</v>
      </c>
      <c r="Z857" s="31" t="s">
        <v>823</v>
      </c>
      <c r="AA857" s="31" t="s">
        <v>97</v>
      </c>
      <c r="AB857" s="31" t="s">
        <v>48</v>
      </c>
      <c r="AC857" s="31" t="s">
        <v>48</v>
      </c>
      <c r="AD857" s="34"/>
    </row>
    <row r="858" spans="2:30" ht="80.099999999999994" customHeight="1">
      <c r="B858" s="31">
        <v>2018</v>
      </c>
      <c r="C858" s="31" t="s">
        <v>65</v>
      </c>
      <c r="D858" s="31" t="s">
        <v>2086</v>
      </c>
      <c r="E858" s="13">
        <v>43312</v>
      </c>
      <c r="F858" s="31" t="s">
        <v>2502</v>
      </c>
      <c r="G858" s="31" t="s">
        <v>499</v>
      </c>
      <c r="H858" s="15">
        <v>415877.36</v>
      </c>
      <c r="I858" s="31" t="s">
        <v>2224</v>
      </c>
      <c r="J858" s="31" t="s">
        <v>2503</v>
      </c>
      <c r="K858" s="31" t="s">
        <v>2269</v>
      </c>
      <c r="L858" s="31" t="s">
        <v>2504</v>
      </c>
      <c r="M858" s="31" t="s">
        <v>2505</v>
      </c>
      <c r="N858" s="31" t="s">
        <v>2506</v>
      </c>
      <c r="O858" s="32">
        <v>415877.36</v>
      </c>
      <c r="P858" s="33" t="s">
        <v>48</v>
      </c>
      <c r="Q858" s="31" t="s">
        <v>1073</v>
      </c>
      <c r="R858" s="32">
        <v>51984.67</v>
      </c>
      <c r="S858" s="31" t="s">
        <v>42</v>
      </c>
      <c r="T858" s="31">
        <v>2556</v>
      </c>
      <c r="U858" s="31" t="s">
        <v>43</v>
      </c>
      <c r="V858" s="33" t="s">
        <v>378</v>
      </c>
      <c r="W858" s="13">
        <v>43313</v>
      </c>
      <c r="X858" s="13">
        <v>43353</v>
      </c>
      <c r="Y858" s="31" t="s">
        <v>439</v>
      </c>
      <c r="Z858" s="31" t="s">
        <v>186</v>
      </c>
      <c r="AA858" s="31" t="s">
        <v>92</v>
      </c>
      <c r="AB858" s="31" t="s">
        <v>48</v>
      </c>
      <c r="AC858" s="31" t="s">
        <v>48</v>
      </c>
      <c r="AD858" s="34"/>
    </row>
    <row r="859" spans="2:30" ht="80.099999999999994" customHeight="1">
      <c r="B859" s="31">
        <v>2018</v>
      </c>
      <c r="C859" s="31" t="s">
        <v>65</v>
      </c>
      <c r="D859" s="31" t="s">
        <v>2087</v>
      </c>
      <c r="E859" s="13">
        <v>43314</v>
      </c>
      <c r="F859" s="31" t="s">
        <v>2507</v>
      </c>
      <c r="G859" s="31" t="s">
        <v>499</v>
      </c>
      <c r="H859" s="15">
        <v>1653913.04</v>
      </c>
      <c r="I859" s="31" t="s">
        <v>2225</v>
      </c>
      <c r="J859" s="31" t="s">
        <v>2454</v>
      </c>
      <c r="K859" s="31" t="s">
        <v>2508</v>
      </c>
      <c r="L859" s="31" t="s">
        <v>2478</v>
      </c>
      <c r="M859" s="31" t="s">
        <v>2509</v>
      </c>
      <c r="N859" s="31" t="s">
        <v>2510</v>
      </c>
      <c r="O859" s="32">
        <v>1653913.04</v>
      </c>
      <c r="P859" s="33" t="s">
        <v>48</v>
      </c>
      <c r="Q859" s="31" t="s">
        <v>1120</v>
      </c>
      <c r="R859" s="32">
        <v>689.13043333333337</v>
      </c>
      <c r="S859" s="31" t="s">
        <v>42</v>
      </c>
      <c r="T859" s="31">
        <v>1842</v>
      </c>
      <c r="U859" s="31" t="s">
        <v>43</v>
      </c>
      <c r="V859" s="33" t="s">
        <v>378</v>
      </c>
      <c r="W859" s="13">
        <v>43315</v>
      </c>
      <c r="X859" s="13">
        <v>43358</v>
      </c>
      <c r="Y859" s="31" t="s">
        <v>611</v>
      </c>
      <c r="Z859" s="31" t="s">
        <v>63</v>
      </c>
      <c r="AA859" s="31" t="s">
        <v>612</v>
      </c>
      <c r="AB859" s="31" t="s">
        <v>48</v>
      </c>
      <c r="AC859" s="31" t="s">
        <v>48</v>
      </c>
      <c r="AD859" s="34"/>
    </row>
    <row r="860" spans="2:30" ht="80.099999999999994" customHeight="1">
      <c r="B860" s="31">
        <v>2018</v>
      </c>
      <c r="C860" s="31" t="s">
        <v>65</v>
      </c>
      <c r="D860" s="31" t="s">
        <v>2088</v>
      </c>
      <c r="E860" s="13">
        <v>43312</v>
      </c>
      <c r="F860" s="31" t="s">
        <v>2511</v>
      </c>
      <c r="G860" s="31" t="s">
        <v>499</v>
      </c>
      <c r="H860" s="15">
        <v>268464.48</v>
      </c>
      <c r="I860" s="31" t="s">
        <v>1317</v>
      </c>
      <c r="J860" s="31" t="s">
        <v>2512</v>
      </c>
      <c r="K860" s="31" t="s">
        <v>2513</v>
      </c>
      <c r="L860" s="31" t="s">
        <v>2514</v>
      </c>
      <c r="M860" s="31" t="s">
        <v>2515</v>
      </c>
      <c r="N860" s="31" t="s">
        <v>60</v>
      </c>
      <c r="O860" s="32">
        <v>268464.48</v>
      </c>
      <c r="P860" s="33" t="s">
        <v>48</v>
      </c>
      <c r="Q860" s="31" t="s">
        <v>2226</v>
      </c>
      <c r="R860" s="32">
        <v>796.63050445103852</v>
      </c>
      <c r="S860" s="31" t="s">
        <v>42</v>
      </c>
      <c r="T860" s="31">
        <v>987</v>
      </c>
      <c r="U860" s="31" t="s">
        <v>43</v>
      </c>
      <c r="V860" s="33" t="s">
        <v>378</v>
      </c>
      <c r="W860" s="13">
        <v>43313</v>
      </c>
      <c r="X860" s="13">
        <v>43343</v>
      </c>
      <c r="Y860" s="31" t="s">
        <v>826</v>
      </c>
      <c r="Z860" s="31" t="s">
        <v>827</v>
      </c>
      <c r="AA860" s="31" t="s">
        <v>47</v>
      </c>
      <c r="AB860" s="31" t="s">
        <v>48</v>
      </c>
      <c r="AC860" s="31" t="s">
        <v>48</v>
      </c>
      <c r="AD860" s="34"/>
    </row>
    <row r="861" spans="2:30" ht="80.099999999999994" customHeight="1">
      <c r="B861" s="31">
        <v>2018</v>
      </c>
      <c r="C861" s="31" t="s">
        <v>65</v>
      </c>
      <c r="D861" s="31" t="s">
        <v>2089</v>
      </c>
      <c r="E861" s="13">
        <v>43314</v>
      </c>
      <c r="F861" s="31" t="s">
        <v>2516</v>
      </c>
      <c r="G861" s="31" t="s">
        <v>499</v>
      </c>
      <c r="H861" s="15">
        <v>1297355.8899999999</v>
      </c>
      <c r="I861" s="31" t="s">
        <v>2227</v>
      </c>
      <c r="J861" s="31" t="s">
        <v>2517</v>
      </c>
      <c r="K861" s="31" t="s">
        <v>2518</v>
      </c>
      <c r="L861" s="31" t="s">
        <v>2294</v>
      </c>
      <c r="M861" s="31" t="s">
        <v>2519</v>
      </c>
      <c r="N861" s="31" t="s">
        <v>2520</v>
      </c>
      <c r="O861" s="32">
        <v>1297355.8899999999</v>
      </c>
      <c r="P861" s="33" t="s">
        <v>48</v>
      </c>
      <c r="Q861" s="31" t="s">
        <v>2228</v>
      </c>
      <c r="R861" s="32">
        <v>368.25316207777462</v>
      </c>
      <c r="S861" s="31" t="s">
        <v>42</v>
      </c>
      <c r="T861" s="31">
        <v>1566</v>
      </c>
      <c r="U861" s="31" t="s">
        <v>43</v>
      </c>
      <c r="V861" s="33" t="s">
        <v>378</v>
      </c>
      <c r="W861" s="13">
        <v>43315</v>
      </c>
      <c r="X861" s="13">
        <v>43358</v>
      </c>
      <c r="Y861" s="31" t="s">
        <v>436</v>
      </c>
      <c r="Z861" s="31" t="s">
        <v>295</v>
      </c>
      <c r="AA861" s="31" t="s">
        <v>76</v>
      </c>
      <c r="AB861" s="31" t="s">
        <v>48</v>
      </c>
      <c r="AC861" s="31" t="s">
        <v>48</v>
      </c>
      <c r="AD861" s="34"/>
    </row>
    <row r="862" spans="2:30" ht="80.099999999999994" customHeight="1">
      <c r="B862" s="31">
        <v>2018</v>
      </c>
      <c r="C862" s="31" t="s">
        <v>65</v>
      </c>
      <c r="D862" s="31" t="s">
        <v>2090</v>
      </c>
      <c r="E862" s="13">
        <v>43312</v>
      </c>
      <c r="F862" s="31" t="s">
        <v>2521</v>
      </c>
      <c r="G862" s="31" t="s">
        <v>499</v>
      </c>
      <c r="H862" s="15">
        <v>1586132.46</v>
      </c>
      <c r="I862" s="31" t="s">
        <v>787</v>
      </c>
      <c r="J862" s="31" t="s">
        <v>2522</v>
      </c>
      <c r="K862" s="31" t="s">
        <v>2137</v>
      </c>
      <c r="L862" s="31" t="s">
        <v>2523</v>
      </c>
      <c r="M862" s="31" t="s">
        <v>2524</v>
      </c>
      <c r="N862" s="31" t="s">
        <v>183</v>
      </c>
      <c r="O862" s="32">
        <v>1586132.46</v>
      </c>
      <c r="P862" s="33" t="s">
        <v>48</v>
      </c>
      <c r="Q862" s="31" t="s">
        <v>2229</v>
      </c>
      <c r="R862" s="32">
        <v>526.95430564784056</v>
      </c>
      <c r="S862" s="31" t="s">
        <v>42</v>
      </c>
      <c r="T862" s="31">
        <v>2029</v>
      </c>
      <c r="U862" s="31" t="s">
        <v>43</v>
      </c>
      <c r="V862" s="33" t="s">
        <v>378</v>
      </c>
      <c r="W862" s="13">
        <v>43313</v>
      </c>
      <c r="X862" s="13">
        <v>43353</v>
      </c>
      <c r="Y862" s="31" t="s">
        <v>322</v>
      </c>
      <c r="Z862" s="31" t="s">
        <v>196</v>
      </c>
      <c r="AA862" s="31" t="s">
        <v>197</v>
      </c>
      <c r="AB862" s="31" t="s">
        <v>48</v>
      </c>
      <c r="AC862" s="31" t="s">
        <v>48</v>
      </c>
      <c r="AD862" s="34"/>
    </row>
    <row r="863" spans="2:30" ht="80.099999999999994" customHeight="1">
      <c r="B863" s="31">
        <v>2018</v>
      </c>
      <c r="C863" s="31" t="s">
        <v>65</v>
      </c>
      <c r="D863" s="31" t="s">
        <v>2091</v>
      </c>
      <c r="E863" s="13">
        <v>43312</v>
      </c>
      <c r="F863" s="31" t="s">
        <v>2525</v>
      </c>
      <c r="G863" s="31" t="s">
        <v>499</v>
      </c>
      <c r="H863" s="15">
        <v>162222.35</v>
      </c>
      <c r="I863" s="31" t="s">
        <v>2230</v>
      </c>
      <c r="J863" s="31" t="s">
        <v>2017</v>
      </c>
      <c r="K863" s="31" t="s">
        <v>2018</v>
      </c>
      <c r="L863" s="31" t="s">
        <v>2019</v>
      </c>
      <c r="M863" s="31" t="s">
        <v>2020</v>
      </c>
      <c r="N863" s="31" t="s">
        <v>2021</v>
      </c>
      <c r="O863" s="32">
        <v>162222.35</v>
      </c>
      <c r="P863" s="33" t="s">
        <v>48</v>
      </c>
      <c r="Q863" s="31" t="s">
        <v>2231</v>
      </c>
      <c r="R863" s="32">
        <v>687.38283898305087</v>
      </c>
      <c r="S863" s="31" t="s">
        <v>42</v>
      </c>
      <c r="T863" s="31">
        <v>367</v>
      </c>
      <c r="U863" s="31" t="s">
        <v>43</v>
      </c>
      <c r="V863" s="33" t="s">
        <v>378</v>
      </c>
      <c r="W863" s="13">
        <v>43313</v>
      </c>
      <c r="X863" s="13">
        <v>43343</v>
      </c>
      <c r="Y863" s="31" t="s">
        <v>731</v>
      </c>
      <c r="Z863" s="31" t="s">
        <v>2232</v>
      </c>
      <c r="AA863" s="31" t="s">
        <v>2233</v>
      </c>
      <c r="AB863" s="31" t="s">
        <v>48</v>
      </c>
      <c r="AC863" s="31" t="s">
        <v>48</v>
      </c>
      <c r="AD863" s="34"/>
    </row>
    <row r="864" spans="2:30" ht="80.099999999999994" customHeight="1">
      <c r="B864" s="31">
        <v>2018</v>
      </c>
      <c r="C864" s="31" t="s">
        <v>65</v>
      </c>
      <c r="D864" s="31" t="s">
        <v>2092</v>
      </c>
      <c r="E864" s="13">
        <v>43314</v>
      </c>
      <c r="F864" s="31" t="s">
        <v>2526</v>
      </c>
      <c r="G864" s="31" t="s">
        <v>499</v>
      </c>
      <c r="H864" s="15">
        <v>950254.36</v>
      </c>
      <c r="I864" s="31" t="s">
        <v>1349</v>
      </c>
      <c r="J864" s="31" t="s">
        <v>2527</v>
      </c>
      <c r="K864" s="31" t="s">
        <v>2528</v>
      </c>
      <c r="L864" s="31" t="s">
        <v>2529</v>
      </c>
      <c r="M864" s="31" t="s">
        <v>2530</v>
      </c>
      <c r="N864" s="31" t="s">
        <v>2531</v>
      </c>
      <c r="O864" s="32">
        <v>950254.36</v>
      </c>
      <c r="P864" s="33" t="s">
        <v>48</v>
      </c>
      <c r="Q864" s="31" t="s">
        <v>2234</v>
      </c>
      <c r="R864" s="32">
        <v>316751.45333333331</v>
      </c>
      <c r="S864" s="31" t="s">
        <v>42</v>
      </c>
      <c r="T864" s="31">
        <v>3690</v>
      </c>
      <c r="U864" s="31" t="s">
        <v>43</v>
      </c>
      <c r="V864" s="33" t="s">
        <v>378</v>
      </c>
      <c r="W864" s="13">
        <v>43315</v>
      </c>
      <c r="X864" s="13">
        <v>43358</v>
      </c>
      <c r="Y864" s="31" t="s">
        <v>724</v>
      </c>
      <c r="Z864" s="31" t="s">
        <v>2235</v>
      </c>
      <c r="AA864" s="31" t="s">
        <v>420</v>
      </c>
      <c r="AB864" s="31" t="s">
        <v>48</v>
      </c>
      <c r="AC864" s="31" t="s">
        <v>48</v>
      </c>
      <c r="AD864" s="34"/>
    </row>
    <row r="865" spans="2:30" ht="80.099999999999994" customHeight="1">
      <c r="B865" s="31">
        <v>2018</v>
      </c>
      <c r="C865" s="31" t="s">
        <v>65</v>
      </c>
      <c r="D865" s="31" t="s">
        <v>2093</v>
      </c>
      <c r="E865" s="13">
        <v>43313</v>
      </c>
      <c r="F865" s="31" t="s">
        <v>2532</v>
      </c>
      <c r="G865" s="31" t="s">
        <v>499</v>
      </c>
      <c r="H865" s="15">
        <v>1059160.18</v>
      </c>
      <c r="I865" s="31" t="s">
        <v>997</v>
      </c>
      <c r="J865" s="31" t="s">
        <v>2533</v>
      </c>
      <c r="K865" s="31" t="s">
        <v>2466</v>
      </c>
      <c r="L865" s="31" t="s">
        <v>2534</v>
      </c>
      <c r="M865" s="31" t="s">
        <v>2535</v>
      </c>
      <c r="N865" s="31" t="s">
        <v>2536</v>
      </c>
      <c r="O865" s="32">
        <v>1059160.18</v>
      </c>
      <c r="P865" s="33" t="s">
        <v>48</v>
      </c>
      <c r="Q865" s="31" t="s">
        <v>508</v>
      </c>
      <c r="R865" s="32">
        <v>1059160.18</v>
      </c>
      <c r="S865" s="31" t="s">
        <v>42</v>
      </c>
      <c r="T865" s="31">
        <v>9855</v>
      </c>
      <c r="U865" s="31" t="s">
        <v>43</v>
      </c>
      <c r="V865" s="33" t="s">
        <v>378</v>
      </c>
      <c r="W865" s="13">
        <v>43314</v>
      </c>
      <c r="X865" s="13">
        <v>43373</v>
      </c>
      <c r="Y865" s="31" t="s">
        <v>794</v>
      </c>
      <c r="Z865" s="31" t="s">
        <v>833</v>
      </c>
      <c r="AA865" s="31" t="s">
        <v>191</v>
      </c>
      <c r="AB865" s="31" t="s">
        <v>48</v>
      </c>
      <c r="AC865" s="31" t="s">
        <v>48</v>
      </c>
      <c r="AD865" s="34"/>
    </row>
    <row r="866" spans="2:30" ht="80.099999999999994" customHeight="1">
      <c r="B866" s="31">
        <v>2018</v>
      </c>
      <c r="C866" s="31" t="s">
        <v>65</v>
      </c>
      <c r="D866" s="31" t="s">
        <v>2094</v>
      </c>
      <c r="E866" s="13">
        <v>43314</v>
      </c>
      <c r="F866" s="31" t="s">
        <v>2537</v>
      </c>
      <c r="G866" s="31" t="s">
        <v>499</v>
      </c>
      <c r="H866" s="15">
        <v>1237299.54</v>
      </c>
      <c r="I866" s="31" t="s">
        <v>2236</v>
      </c>
      <c r="J866" s="31" t="s">
        <v>2321</v>
      </c>
      <c r="K866" s="31" t="s">
        <v>2322</v>
      </c>
      <c r="L866" s="31" t="s">
        <v>2323</v>
      </c>
      <c r="M866" s="31" t="s">
        <v>2324</v>
      </c>
      <c r="N866" s="31" t="s">
        <v>2325</v>
      </c>
      <c r="O866" s="32">
        <v>1237299.54</v>
      </c>
      <c r="P866" s="33" t="s">
        <v>48</v>
      </c>
      <c r="Q866" s="31" t="s">
        <v>2237</v>
      </c>
      <c r="R866" s="32">
        <v>123729.954</v>
      </c>
      <c r="S866" s="31" t="s">
        <v>42</v>
      </c>
      <c r="T866" s="31">
        <v>21598</v>
      </c>
      <c r="U866" s="31" t="s">
        <v>43</v>
      </c>
      <c r="V866" s="33" t="s">
        <v>378</v>
      </c>
      <c r="W866" s="13">
        <v>43315</v>
      </c>
      <c r="X866" s="13">
        <v>43358</v>
      </c>
      <c r="Y866" s="31" t="s">
        <v>322</v>
      </c>
      <c r="Z866" s="31" t="s">
        <v>196</v>
      </c>
      <c r="AA866" s="31" t="s">
        <v>197</v>
      </c>
      <c r="AB866" s="31" t="s">
        <v>48</v>
      </c>
      <c r="AC866" s="31" t="s">
        <v>48</v>
      </c>
      <c r="AD866" s="34"/>
    </row>
    <row r="867" spans="2:30" ht="80.099999999999994" customHeight="1">
      <c r="B867" s="31">
        <v>2018</v>
      </c>
      <c r="C867" s="31" t="s">
        <v>65</v>
      </c>
      <c r="D867" s="31" t="s">
        <v>2095</v>
      </c>
      <c r="E867" s="13">
        <v>43313</v>
      </c>
      <c r="F867" s="31" t="s">
        <v>2538</v>
      </c>
      <c r="G867" s="31" t="s">
        <v>499</v>
      </c>
      <c r="H867" s="15">
        <v>1064477.6000000001</v>
      </c>
      <c r="I867" s="31" t="s">
        <v>1349</v>
      </c>
      <c r="J867" s="31" t="s">
        <v>2539</v>
      </c>
      <c r="K867" s="31" t="s">
        <v>2540</v>
      </c>
      <c r="L867" s="31" t="s">
        <v>2466</v>
      </c>
      <c r="M867" s="31" t="s">
        <v>2541</v>
      </c>
      <c r="N867" s="31" t="s">
        <v>2542</v>
      </c>
      <c r="O867" s="32">
        <v>1064477.6000000001</v>
      </c>
      <c r="P867" s="33" t="s">
        <v>48</v>
      </c>
      <c r="Q867" s="31" t="s">
        <v>2238</v>
      </c>
      <c r="R867" s="32">
        <v>88706.466666666674</v>
      </c>
      <c r="S867" s="31" t="s">
        <v>2239</v>
      </c>
      <c r="T867" s="31" t="s">
        <v>125</v>
      </c>
      <c r="U867" s="31" t="s">
        <v>43</v>
      </c>
      <c r="V867" s="33" t="s">
        <v>378</v>
      </c>
      <c r="W867" s="13">
        <v>43314</v>
      </c>
      <c r="X867" s="13">
        <v>43373</v>
      </c>
      <c r="Y867" s="31" t="s">
        <v>692</v>
      </c>
      <c r="Z867" s="31" t="s">
        <v>693</v>
      </c>
      <c r="AA867" s="31" t="s">
        <v>136</v>
      </c>
      <c r="AB867" s="31" t="s">
        <v>48</v>
      </c>
      <c r="AC867" s="31" t="s">
        <v>48</v>
      </c>
      <c r="AD867" s="34"/>
    </row>
    <row r="868" spans="2:30" ht="80.099999999999994" customHeight="1">
      <c r="B868" s="31">
        <v>2018</v>
      </c>
      <c r="C868" s="31" t="s">
        <v>65</v>
      </c>
      <c r="D868" s="31" t="s">
        <v>2096</v>
      </c>
      <c r="E868" s="13">
        <v>43313</v>
      </c>
      <c r="F868" s="31" t="s">
        <v>2543</v>
      </c>
      <c r="G868" s="31" t="s">
        <v>499</v>
      </c>
      <c r="H868" s="15">
        <v>108640.8</v>
      </c>
      <c r="I868" s="31" t="s">
        <v>93</v>
      </c>
      <c r="J868" s="31" t="s">
        <v>2544</v>
      </c>
      <c r="K868" s="31" t="s">
        <v>2390</v>
      </c>
      <c r="L868" s="31" t="s">
        <v>2295</v>
      </c>
      <c r="M868" s="31" t="s">
        <v>2545</v>
      </c>
      <c r="N868" s="31" t="s">
        <v>2546</v>
      </c>
      <c r="O868" s="32">
        <v>108640.8</v>
      </c>
      <c r="P868" s="33" t="s">
        <v>48</v>
      </c>
      <c r="Q868" s="31" t="s">
        <v>2240</v>
      </c>
      <c r="R868" s="32">
        <v>2586.6857142857143</v>
      </c>
      <c r="S868" s="31" t="s">
        <v>42</v>
      </c>
      <c r="T868" s="31">
        <v>958</v>
      </c>
      <c r="U868" s="31" t="s">
        <v>43</v>
      </c>
      <c r="V868" s="33" t="s">
        <v>378</v>
      </c>
      <c r="W868" s="13">
        <v>43314</v>
      </c>
      <c r="X868" s="13">
        <v>43373</v>
      </c>
      <c r="Y868" s="31" t="s">
        <v>767</v>
      </c>
      <c r="Z868" s="31" t="s">
        <v>843</v>
      </c>
      <c r="AA868" s="31" t="s">
        <v>769</v>
      </c>
      <c r="AB868" s="31" t="s">
        <v>48</v>
      </c>
      <c r="AC868" s="31" t="s">
        <v>48</v>
      </c>
      <c r="AD868" s="34"/>
    </row>
    <row r="869" spans="2:30" ht="80.099999999999994" customHeight="1">
      <c r="B869" s="31">
        <v>2018</v>
      </c>
      <c r="C869" s="31" t="s">
        <v>65</v>
      </c>
      <c r="D869" s="31" t="s">
        <v>2097</v>
      </c>
      <c r="E869" s="13">
        <v>43313</v>
      </c>
      <c r="F869" s="31" t="s">
        <v>2547</v>
      </c>
      <c r="G869" s="31" t="s">
        <v>499</v>
      </c>
      <c r="H869" s="15">
        <v>1594039.04</v>
      </c>
      <c r="I869" s="31" t="s">
        <v>2241</v>
      </c>
      <c r="J869" s="31" t="s">
        <v>2548</v>
      </c>
      <c r="K869" s="31" t="s">
        <v>2355</v>
      </c>
      <c r="L869" s="31" t="s">
        <v>2549</v>
      </c>
      <c r="M869" s="31" t="s">
        <v>2550</v>
      </c>
      <c r="N869" s="31" t="s">
        <v>2551</v>
      </c>
      <c r="O869" s="32">
        <v>1594039.04</v>
      </c>
      <c r="P869" s="33" t="s">
        <v>48</v>
      </c>
      <c r="Q869" s="31" t="s">
        <v>2242</v>
      </c>
      <c r="R869" s="32">
        <v>4981.3720000000003</v>
      </c>
      <c r="S869" s="31" t="s">
        <v>42</v>
      </c>
      <c r="T869" s="31">
        <v>1202</v>
      </c>
      <c r="U869" s="31" t="s">
        <v>43</v>
      </c>
      <c r="V869" s="33" t="s">
        <v>378</v>
      </c>
      <c r="W869" s="13">
        <v>43314</v>
      </c>
      <c r="X869" s="13">
        <v>43373</v>
      </c>
      <c r="Y869" s="31" t="s">
        <v>408</v>
      </c>
      <c r="Z869" s="31" t="s">
        <v>728</v>
      </c>
      <c r="AA869" s="31" t="s">
        <v>316</v>
      </c>
      <c r="AB869" s="31" t="s">
        <v>48</v>
      </c>
      <c r="AC869" s="31" t="s">
        <v>48</v>
      </c>
      <c r="AD869" s="34"/>
    </row>
    <row r="870" spans="2:30" ht="80.099999999999994" customHeight="1">
      <c r="B870" s="31">
        <v>2018</v>
      </c>
      <c r="C870" s="31" t="s">
        <v>65</v>
      </c>
      <c r="D870" s="31" t="s">
        <v>2098</v>
      </c>
      <c r="E870" s="13">
        <v>43312</v>
      </c>
      <c r="F870" s="31" t="s">
        <v>2552</v>
      </c>
      <c r="G870" s="31" t="s">
        <v>499</v>
      </c>
      <c r="H870" s="15">
        <v>669637.06000000006</v>
      </c>
      <c r="I870" s="31" t="s">
        <v>249</v>
      </c>
      <c r="J870" s="31" t="s">
        <v>2465</v>
      </c>
      <c r="K870" s="31" t="s">
        <v>2529</v>
      </c>
      <c r="L870" s="31" t="s">
        <v>2553</v>
      </c>
      <c r="M870" s="31" t="s">
        <v>2554</v>
      </c>
      <c r="N870" s="31" t="s">
        <v>2555</v>
      </c>
      <c r="O870" s="32">
        <v>669637.06000000006</v>
      </c>
      <c r="P870" s="33" t="s">
        <v>48</v>
      </c>
      <c r="Q870" s="31" t="s">
        <v>2243</v>
      </c>
      <c r="R870" s="32">
        <v>1699.5864467005078</v>
      </c>
      <c r="S870" s="31" t="s">
        <v>42</v>
      </c>
      <c r="T870" s="31">
        <v>889</v>
      </c>
      <c r="U870" s="31" t="s">
        <v>43</v>
      </c>
      <c r="V870" s="33" t="s">
        <v>378</v>
      </c>
      <c r="W870" s="13">
        <v>43313</v>
      </c>
      <c r="X870" s="13">
        <v>43353</v>
      </c>
      <c r="Y870" s="31" t="s">
        <v>336</v>
      </c>
      <c r="Z870" s="31" t="s">
        <v>337</v>
      </c>
      <c r="AA870" s="31" t="s">
        <v>120</v>
      </c>
      <c r="AB870" s="31" t="s">
        <v>48</v>
      </c>
      <c r="AC870" s="31" t="s">
        <v>48</v>
      </c>
      <c r="AD870" s="34"/>
    </row>
    <row r="871" spans="2:30" ht="80.099999999999994" customHeight="1">
      <c r="B871" s="31">
        <v>2018</v>
      </c>
      <c r="C871" s="31" t="s">
        <v>65</v>
      </c>
      <c r="D871" s="31" t="s">
        <v>2099</v>
      </c>
      <c r="E871" s="13">
        <v>43313</v>
      </c>
      <c r="F871" s="31" t="s">
        <v>2556</v>
      </c>
      <c r="G871" s="31" t="s">
        <v>499</v>
      </c>
      <c r="H871" s="15">
        <v>150791.64000000001</v>
      </c>
      <c r="I871" s="31" t="s">
        <v>1286</v>
      </c>
      <c r="J871" s="31" t="s">
        <v>2401</v>
      </c>
      <c r="K871" s="31" t="s">
        <v>2402</v>
      </c>
      <c r="L871" s="31" t="s">
        <v>2377</v>
      </c>
      <c r="M871" s="31" t="s">
        <v>2403</v>
      </c>
      <c r="N871" s="31" t="s">
        <v>2404</v>
      </c>
      <c r="O871" s="32">
        <v>150791.64000000001</v>
      </c>
      <c r="P871" s="33" t="s">
        <v>48</v>
      </c>
      <c r="Q871" s="31" t="s">
        <v>2244</v>
      </c>
      <c r="R871" s="32">
        <v>1507.9164000000001</v>
      </c>
      <c r="S871" s="31" t="s">
        <v>42</v>
      </c>
      <c r="T871" s="31">
        <v>1599</v>
      </c>
      <c r="U871" s="31" t="s">
        <v>43</v>
      </c>
      <c r="V871" s="33" t="s">
        <v>378</v>
      </c>
      <c r="W871" s="13">
        <v>43314</v>
      </c>
      <c r="X871" s="13">
        <v>43373</v>
      </c>
      <c r="Y871" s="31" t="s">
        <v>336</v>
      </c>
      <c r="Z871" s="31" t="s">
        <v>337</v>
      </c>
      <c r="AA871" s="31" t="s">
        <v>120</v>
      </c>
      <c r="AB871" s="31" t="s">
        <v>48</v>
      </c>
      <c r="AC871" s="31" t="s">
        <v>48</v>
      </c>
      <c r="AD871" s="34"/>
    </row>
    <row r="872" spans="2:30" ht="80.099999999999994" customHeight="1">
      <c r="B872" s="31">
        <v>2018</v>
      </c>
      <c r="C872" s="31" t="s">
        <v>65</v>
      </c>
      <c r="D872" s="31" t="s">
        <v>2100</v>
      </c>
      <c r="E872" s="13">
        <v>43312</v>
      </c>
      <c r="F872" s="31" t="s">
        <v>2557</v>
      </c>
      <c r="G872" s="31" t="s">
        <v>499</v>
      </c>
      <c r="H872" s="15">
        <v>1431736.02</v>
      </c>
      <c r="I872" s="31" t="s">
        <v>1171</v>
      </c>
      <c r="J872" s="31" t="s">
        <v>2460</v>
      </c>
      <c r="K872" s="31" t="s">
        <v>2019</v>
      </c>
      <c r="L872" s="31" t="s">
        <v>2461</v>
      </c>
      <c r="M872" s="31" t="s">
        <v>2462</v>
      </c>
      <c r="N872" s="31" t="s">
        <v>2463</v>
      </c>
      <c r="O872" s="32">
        <v>1431736.02</v>
      </c>
      <c r="P872" s="33" t="s">
        <v>48</v>
      </c>
      <c r="Q872" s="31" t="s">
        <v>641</v>
      </c>
      <c r="R872" s="32">
        <v>477.24534</v>
      </c>
      <c r="S872" s="31" t="s">
        <v>42</v>
      </c>
      <c r="T872" s="31">
        <v>1674</v>
      </c>
      <c r="U872" s="31" t="s">
        <v>43</v>
      </c>
      <c r="V872" s="33" t="s">
        <v>378</v>
      </c>
      <c r="W872" s="13">
        <v>43313</v>
      </c>
      <c r="X872" s="13">
        <v>43353</v>
      </c>
      <c r="Y872" s="31" t="s">
        <v>408</v>
      </c>
      <c r="Z872" s="31" t="s">
        <v>409</v>
      </c>
      <c r="AA872" s="31" t="s">
        <v>107</v>
      </c>
      <c r="AB872" s="31" t="s">
        <v>48</v>
      </c>
      <c r="AC872" s="31" t="s">
        <v>48</v>
      </c>
      <c r="AD872" s="34"/>
    </row>
    <row r="873" spans="2:30" ht="80.099999999999994" customHeight="1">
      <c r="B873" s="31">
        <v>2018</v>
      </c>
      <c r="C873" s="31" t="s">
        <v>65</v>
      </c>
      <c r="D873" s="31" t="s">
        <v>2101</v>
      </c>
      <c r="E873" s="13">
        <v>43311</v>
      </c>
      <c r="F873" s="31" t="s">
        <v>2558</v>
      </c>
      <c r="G873" s="31" t="s">
        <v>499</v>
      </c>
      <c r="H873" s="15">
        <v>980000</v>
      </c>
      <c r="I873" s="31" t="s">
        <v>1349</v>
      </c>
      <c r="J873" s="31" t="s">
        <v>2261</v>
      </c>
      <c r="K873" s="31" t="s">
        <v>2355</v>
      </c>
      <c r="L873" s="31" t="s">
        <v>2356</v>
      </c>
      <c r="M873" s="31" t="s">
        <v>2357</v>
      </c>
      <c r="N873" s="31" t="s">
        <v>2358</v>
      </c>
      <c r="O873" s="32">
        <v>980000</v>
      </c>
      <c r="P873" s="33" t="s">
        <v>48</v>
      </c>
      <c r="Q873" s="31" t="s">
        <v>1249</v>
      </c>
      <c r="R873" s="32">
        <v>2722.2222222222222</v>
      </c>
      <c r="S873" s="31" t="s">
        <v>42</v>
      </c>
      <c r="T873" s="31">
        <v>994</v>
      </c>
      <c r="U873" s="31" t="s">
        <v>43</v>
      </c>
      <c r="V873" s="33" t="s">
        <v>378</v>
      </c>
      <c r="W873" s="13">
        <v>43313</v>
      </c>
      <c r="X873" s="13">
        <v>43403</v>
      </c>
      <c r="Y873" s="31" t="s">
        <v>439</v>
      </c>
      <c r="Z873" s="31" t="s">
        <v>186</v>
      </c>
      <c r="AA873" s="31" t="s">
        <v>92</v>
      </c>
      <c r="AB873" s="31" t="s">
        <v>48</v>
      </c>
      <c r="AC873" s="31" t="s">
        <v>48</v>
      </c>
      <c r="AD873" s="34"/>
    </row>
    <row r="874" spans="2:30" ht="80.099999999999994" customHeight="1">
      <c r="B874" s="31">
        <v>2018</v>
      </c>
      <c r="C874" s="31" t="s">
        <v>65</v>
      </c>
      <c r="D874" s="31" t="s">
        <v>2102</v>
      </c>
      <c r="E874" s="13">
        <v>43318</v>
      </c>
      <c r="F874" s="31" t="s">
        <v>2559</v>
      </c>
      <c r="G874" s="31" t="s">
        <v>499</v>
      </c>
      <c r="H874" s="15">
        <v>336381.59</v>
      </c>
      <c r="I874" s="31" t="s">
        <v>2245</v>
      </c>
      <c r="J874" s="31" t="s">
        <v>2560</v>
      </c>
      <c r="K874" s="31" t="s">
        <v>2514</v>
      </c>
      <c r="L874" s="31" t="s">
        <v>2561</v>
      </c>
      <c r="M874" s="31" t="s">
        <v>2562</v>
      </c>
      <c r="N874" s="31" t="s">
        <v>224</v>
      </c>
      <c r="O874" s="32">
        <v>336381.59</v>
      </c>
      <c r="P874" s="33" t="s">
        <v>48</v>
      </c>
      <c r="Q874" s="31" t="s">
        <v>2246</v>
      </c>
      <c r="R874" s="32">
        <v>275.7226147540984</v>
      </c>
      <c r="S874" s="31" t="s">
        <v>42</v>
      </c>
      <c r="T874" s="31">
        <v>12066</v>
      </c>
      <c r="U874" s="31" t="s">
        <v>43</v>
      </c>
      <c r="V874" s="33" t="s">
        <v>378</v>
      </c>
      <c r="W874" s="13">
        <v>43318</v>
      </c>
      <c r="X874" s="13">
        <v>43342</v>
      </c>
      <c r="Y874" s="31" t="s">
        <v>531</v>
      </c>
      <c r="Z874" s="31" t="s">
        <v>532</v>
      </c>
      <c r="AA874" s="31" t="s">
        <v>533</v>
      </c>
      <c r="AB874" s="31" t="s">
        <v>48</v>
      </c>
      <c r="AC874" s="31" t="s">
        <v>48</v>
      </c>
      <c r="AD874" s="34"/>
    </row>
    <row r="875" spans="2:30" ht="80.099999999999994" customHeight="1">
      <c r="B875" s="31">
        <v>2018</v>
      </c>
      <c r="C875" s="31" t="s">
        <v>65</v>
      </c>
      <c r="D875" s="31" t="s">
        <v>2103</v>
      </c>
      <c r="E875" s="13">
        <v>43318</v>
      </c>
      <c r="F875" s="31" t="s">
        <v>2563</v>
      </c>
      <c r="G875" s="31" t="s">
        <v>499</v>
      </c>
      <c r="H875" s="15">
        <v>463826.97</v>
      </c>
      <c r="I875" s="31" t="s">
        <v>2247</v>
      </c>
      <c r="J875" s="31" t="s">
        <v>2564</v>
      </c>
      <c r="K875" s="31" t="s">
        <v>2280</v>
      </c>
      <c r="L875" s="31" t="s">
        <v>2019</v>
      </c>
      <c r="M875" s="31" t="s">
        <v>2565</v>
      </c>
      <c r="N875" s="31" t="s">
        <v>2566</v>
      </c>
      <c r="O875" s="32">
        <v>463826.97</v>
      </c>
      <c r="P875" s="33" t="s">
        <v>48</v>
      </c>
      <c r="Q875" s="31" t="s">
        <v>2248</v>
      </c>
      <c r="R875" s="32">
        <v>615.15513262599461</v>
      </c>
      <c r="S875" s="31" t="s">
        <v>42</v>
      </c>
      <c r="T875" s="31">
        <v>3982</v>
      </c>
      <c r="U875" s="31" t="s">
        <v>43</v>
      </c>
      <c r="V875" s="33" t="s">
        <v>378</v>
      </c>
      <c r="W875" s="13">
        <v>43318</v>
      </c>
      <c r="X875" s="13">
        <v>43342</v>
      </c>
      <c r="Y875" s="31" t="s">
        <v>470</v>
      </c>
      <c r="Z875" s="31" t="s">
        <v>142</v>
      </c>
      <c r="AA875" s="31" t="s">
        <v>471</v>
      </c>
      <c r="AB875" s="31" t="s">
        <v>48</v>
      </c>
      <c r="AC875" s="31" t="s">
        <v>48</v>
      </c>
      <c r="AD875" s="34"/>
    </row>
    <row r="876" spans="2:30" ht="80.099999999999994" customHeight="1">
      <c r="B876" s="31">
        <v>2018</v>
      </c>
      <c r="C876" s="31" t="s">
        <v>65</v>
      </c>
      <c r="D876" s="31" t="s">
        <v>2104</v>
      </c>
      <c r="E876" s="13">
        <v>43318</v>
      </c>
      <c r="F876" s="31" t="s">
        <v>2567</v>
      </c>
      <c r="G876" s="31" t="s">
        <v>499</v>
      </c>
      <c r="H876" s="15">
        <v>1238491.46</v>
      </c>
      <c r="I876" s="31" t="s">
        <v>2249</v>
      </c>
      <c r="J876" s="31" t="s">
        <v>2568</v>
      </c>
      <c r="K876" s="31" t="s">
        <v>2569</v>
      </c>
      <c r="L876" s="31" t="s">
        <v>2340</v>
      </c>
      <c r="M876" s="31" t="s">
        <v>2570</v>
      </c>
      <c r="N876" s="31" t="s">
        <v>2571</v>
      </c>
      <c r="O876" s="32">
        <v>1238491.46</v>
      </c>
      <c r="P876" s="33" t="s">
        <v>48</v>
      </c>
      <c r="Q876" s="31" t="s">
        <v>2250</v>
      </c>
      <c r="R876" s="32">
        <v>689.58321826280621</v>
      </c>
      <c r="S876" s="31" t="s">
        <v>42</v>
      </c>
      <c r="T876" s="31">
        <v>1105</v>
      </c>
      <c r="U876" s="31" t="s">
        <v>43</v>
      </c>
      <c r="V876" s="33" t="s">
        <v>378</v>
      </c>
      <c r="W876" s="13">
        <v>43318</v>
      </c>
      <c r="X876" s="13">
        <v>43358</v>
      </c>
      <c r="Y876" s="31" t="s">
        <v>436</v>
      </c>
      <c r="Z876" s="31" t="s">
        <v>295</v>
      </c>
      <c r="AA876" s="31" t="s">
        <v>76</v>
      </c>
      <c r="AB876" s="31" t="s">
        <v>48</v>
      </c>
      <c r="AC876" s="31" t="s">
        <v>48</v>
      </c>
      <c r="AD876" s="34"/>
    </row>
    <row r="877" spans="2:30" ht="80.099999999999994" customHeight="1">
      <c r="B877" s="31">
        <v>2018</v>
      </c>
      <c r="C877" s="31" t="s">
        <v>65</v>
      </c>
      <c r="D877" s="31" t="s">
        <v>2105</v>
      </c>
      <c r="E877" s="13">
        <v>43318</v>
      </c>
      <c r="F877" s="31" t="s">
        <v>2572</v>
      </c>
      <c r="G877" s="31" t="s">
        <v>499</v>
      </c>
      <c r="H877" s="15">
        <v>588476.26</v>
      </c>
      <c r="I877" s="31" t="s">
        <v>787</v>
      </c>
      <c r="J877" s="31" t="s">
        <v>2573</v>
      </c>
      <c r="K877" s="31" t="s">
        <v>2137</v>
      </c>
      <c r="L877" s="31" t="s">
        <v>2523</v>
      </c>
      <c r="M877" s="31" t="s">
        <v>2574</v>
      </c>
      <c r="N877" s="31" t="s">
        <v>2575</v>
      </c>
      <c r="O877" s="32">
        <v>588476.26</v>
      </c>
      <c r="P877" s="33" t="s">
        <v>48</v>
      </c>
      <c r="Q877" s="31" t="s">
        <v>2251</v>
      </c>
      <c r="R877" s="32">
        <v>1279.2962173913045</v>
      </c>
      <c r="S877" s="31" t="s">
        <v>42</v>
      </c>
      <c r="T877" s="31">
        <v>1893</v>
      </c>
      <c r="U877" s="31" t="s">
        <v>43</v>
      </c>
      <c r="V877" s="33" t="s">
        <v>378</v>
      </c>
      <c r="W877" s="13">
        <v>43318</v>
      </c>
      <c r="X877" s="13">
        <v>43342</v>
      </c>
      <c r="Y877" s="31" t="s">
        <v>562</v>
      </c>
      <c r="Z877" s="31" t="s">
        <v>1265</v>
      </c>
      <c r="AA877" s="31" t="s">
        <v>197</v>
      </c>
      <c r="AB877" s="31" t="s">
        <v>48</v>
      </c>
      <c r="AC877" s="31" t="s">
        <v>48</v>
      </c>
      <c r="AD877" s="34"/>
    </row>
    <row r="878" spans="2:30" ht="80.099999999999994" customHeight="1">
      <c r="B878" s="31">
        <v>2018</v>
      </c>
      <c r="C878" s="31" t="s">
        <v>65</v>
      </c>
      <c r="D878" s="31" t="s">
        <v>2106</v>
      </c>
      <c r="E878" s="13">
        <v>43318</v>
      </c>
      <c r="F878" s="31" t="s">
        <v>2576</v>
      </c>
      <c r="G878" s="31" t="s">
        <v>499</v>
      </c>
      <c r="H878" s="15">
        <v>40494.480000000003</v>
      </c>
      <c r="I878" s="31" t="s">
        <v>200</v>
      </c>
      <c r="J878" s="31" t="s">
        <v>2577</v>
      </c>
      <c r="K878" s="31" t="s">
        <v>2578</v>
      </c>
      <c r="L878" s="31" t="s">
        <v>2274</v>
      </c>
      <c r="M878" s="31" t="s">
        <v>2579</v>
      </c>
      <c r="N878" s="31" t="s">
        <v>2580</v>
      </c>
      <c r="O878" s="32">
        <v>40494.480000000003</v>
      </c>
      <c r="P878" s="33" t="s">
        <v>48</v>
      </c>
      <c r="Q878" s="31" t="s">
        <v>2244</v>
      </c>
      <c r="R878" s="32">
        <v>404.94480000000004</v>
      </c>
      <c r="S878" s="31" t="s">
        <v>42</v>
      </c>
      <c r="T878" s="31">
        <v>1143</v>
      </c>
      <c r="U878" s="31" t="s">
        <v>43</v>
      </c>
      <c r="V878" s="33" t="s">
        <v>378</v>
      </c>
      <c r="W878" s="13">
        <v>43318</v>
      </c>
      <c r="X878" s="13">
        <v>43342</v>
      </c>
      <c r="Y878" s="31" t="s">
        <v>470</v>
      </c>
      <c r="Z878" s="31" t="s">
        <v>142</v>
      </c>
      <c r="AA878" s="31" t="s">
        <v>471</v>
      </c>
      <c r="AB878" s="31" t="s">
        <v>48</v>
      </c>
      <c r="AC878" s="31" t="s">
        <v>48</v>
      </c>
      <c r="AD878" s="34"/>
    </row>
    <row r="879" spans="2:30" ht="80.099999999999994" customHeight="1">
      <c r="B879" s="31">
        <v>2018</v>
      </c>
      <c r="C879" s="31" t="s">
        <v>65</v>
      </c>
      <c r="D879" s="31" t="s">
        <v>2107</v>
      </c>
      <c r="E879" s="13">
        <v>43318</v>
      </c>
      <c r="F879" s="31" t="s">
        <v>2581</v>
      </c>
      <c r="G879" s="31" t="s">
        <v>499</v>
      </c>
      <c r="H879" s="15">
        <v>336903.89</v>
      </c>
      <c r="I879" s="31" t="s">
        <v>313</v>
      </c>
      <c r="J879" s="31" t="s">
        <v>2582</v>
      </c>
      <c r="K879" s="31" t="s">
        <v>2583</v>
      </c>
      <c r="L879" s="31" t="s">
        <v>2274</v>
      </c>
      <c r="M879" s="31" t="s">
        <v>2584</v>
      </c>
      <c r="N879" s="31" t="s">
        <v>2585</v>
      </c>
      <c r="O879" s="32">
        <v>336903.89</v>
      </c>
      <c r="P879" s="33" t="s">
        <v>48</v>
      </c>
      <c r="Q879" s="31" t="s">
        <v>2252</v>
      </c>
      <c r="R879" s="32">
        <v>434.71469677419356</v>
      </c>
      <c r="S879" s="31" t="s">
        <v>42</v>
      </c>
      <c r="T879" s="31">
        <v>885</v>
      </c>
      <c r="U879" s="31" t="s">
        <v>43</v>
      </c>
      <c r="V879" s="33" t="s">
        <v>378</v>
      </c>
      <c r="W879" s="13">
        <v>43318</v>
      </c>
      <c r="X879" s="13">
        <v>43342</v>
      </c>
      <c r="Y879" s="31" t="s">
        <v>755</v>
      </c>
      <c r="Z879" s="31" t="s">
        <v>287</v>
      </c>
      <c r="AA879" s="31" t="s">
        <v>92</v>
      </c>
      <c r="AB879" s="31" t="s">
        <v>48</v>
      </c>
      <c r="AC879" s="31" t="s">
        <v>48</v>
      </c>
      <c r="AD879" s="34"/>
    </row>
    <row r="880" spans="2:30" ht="80.099999999999994" customHeight="1">
      <c r="B880" s="31">
        <v>2018</v>
      </c>
      <c r="C880" s="31" t="s">
        <v>65</v>
      </c>
      <c r="D880" s="31" t="s">
        <v>2108</v>
      </c>
      <c r="E880" s="13">
        <v>43326</v>
      </c>
      <c r="F880" s="31" t="s">
        <v>2586</v>
      </c>
      <c r="G880" s="31" t="s">
        <v>499</v>
      </c>
      <c r="H880" s="15">
        <v>690321.75</v>
      </c>
      <c r="I880" s="31" t="s">
        <v>2253</v>
      </c>
      <c r="J880" s="31" t="s">
        <v>2527</v>
      </c>
      <c r="K880" s="31" t="s">
        <v>2528</v>
      </c>
      <c r="L880" s="31" t="s">
        <v>2529</v>
      </c>
      <c r="M880" s="31" t="s">
        <v>2530</v>
      </c>
      <c r="N880" s="31" t="s">
        <v>2531</v>
      </c>
      <c r="O880" s="32">
        <v>690321.75</v>
      </c>
      <c r="P880" s="33" t="s">
        <v>48</v>
      </c>
      <c r="Q880" s="31" t="s">
        <v>2254</v>
      </c>
      <c r="R880" s="32">
        <v>1643.6232142857143</v>
      </c>
      <c r="S880" s="31" t="s">
        <v>42</v>
      </c>
      <c r="T880" s="31">
        <v>4052</v>
      </c>
      <c r="U880" s="31" t="s">
        <v>43</v>
      </c>
      <c r="V880" s="33" t="s">
        <v>378</v>
      </c>
      <c r="W880" s="13">
        <v>43327</v>
      </c>
      <c r="X880" s="13">
        <v>43358</v>
      </c>
      <c r="Y880" s="31" t="s">
        <v>822</v>
      </c>
      <c r="Z880" s="31" t="s">
        <v>823</v>
      </c>
      <c r="AA880" s="31" t="s">
        <v>97</v>
      </c>
      <c r="AB880" s="31" t="s">
        <v>48</v>
      </c>
      <c r="AC880" s="31" t="s">
        <v>48</v>
      </c>
      <c r="AD880" s="34"/>
    </row>
    <row r="881" spans="1:30" ht="80.099999999999994" customHeight="1">
      <c r="B881" s="31">
        <v>2018</v>
      </c>
      <c r="C881" s="31" t="s">
        <v>65</v>
      </c>
      <c r="D881" s="31" t="s">
        <v>2109</v>
      </c>
      <c r="E881" s="13">
        <v>43326</v>
      </c>
      <c r="F881" s="31" t="s">
        <v>2587</v>
      </c>
      <c r="G881" s="31" t="s">
        <v>499</v>
      </c>
      <c r="H881" s="15">
        <v>1020254.87</v>
      </c>
      <c r="I881" s="31" t="s">
        <v>249</v>
      </c>
      <c r="J881" s="31" t="s">
        <v>2304</v>
      </c>
      <c r="K881" s="31" t="s">
        <v>2305</v>
      </c>
      <c r="L881" s="31" t="s">
        <v>2306</v>
      </c>
      <c r="M881" s="31" t="s">
        <v>2307</v>
      </c>
      <c r="N881" s="31" t="s">
        <v>2308</v>
      </c>
      <c r="O881" s="32">
        <v>1020254.87</v>
      </c>
      <c r="P881" s="33" t="s">
        <v>48</v>
      </c>
      <c r="Q881" s="31" t="s">
        <v>2237</v>
      </c>
      <c r="R881" s="32">
        <v>102025.48699999999</v>
      </c>
      <c r="S881" s="31" t="s">
        <v>42</v>
      </c>
      <c r="T881" s="31">
        <v>2259</v>
      </c>
      <c r="U881" s="31" t="s">
        <v>43</v>
      </c>
      <c r="V881" s="33" t="s">
        <v>378</v>
      </c>
      <c r="W881" s="13">
        <v>43327</v>
      </c>
      <c r="X881" s="13">
        <v>43358</v>
      </c>
      <c r="Y881" s="31" t="s">
        <v>1289</v>
      </c>
      <c r="Z881" s="31" t="s">
        <v>76</v>
      </c>
      <c r="AA881" s="31" t="s">
        <v>1187</v>
      </c>
      <c r="AB881" s="31" t="s">
        <v>48</v>
      </c>
      <c r="AC881" s="31" t="s">
        <v>48</v>
      </c>
      <c r="AD881" s="34"/>
    </row>
    <row r="882" spans="1:30" ht="80.099999999999994" customHeight="1">
      <c r="B882" s="31">
        <v>2018</v>
      </c>
      <c r="C882" s="31" t="s">
        <v>65</v>
      </c>
      <c r="D882" s="31" t="s">
        <v>2110</v>
      </c>
      <c r="E882" s="13">
        <v>43326</v>
      </c>
      <c r="F882" s="31" t="s">
        <v>2588</v>
      </c>
      <c r="G882" s="31" t="s">
        <v>499</v>
      </c>
      <c r="H882" s="15">
        <v>445091.16</v>
      </c>
      <c r="I882" s="31" t="s">
        <v>2255</v>
      </c>
      <c r="J882" s="31" t="s">
        <v>2589</v>
      </c>
      <c r="K882" s="31" t="s">
        <v>2590</v>
      </c>
      <c r="L882" s="31" t="s">
        <v>2372</v>
      </c>
      <c r="M882" s="31" t="s">
        <v>2591</v>
      </c>
      <c r="N882" s="31" t="s">
        <v>2592</v>
      </c>
      <c r="O882" s="32">
        <v>445091.16</v>
      </c>
      <c r="P882" s="33" t="s">
        <v>48</v>
      </c>
      <c r="Q882" s="31" t="s">
        <v>2256</v>
      </c>
      <c r="R882" s="32">
        <v>274.91733168622608</v>
      </c>
      <c r="S882" s="31" t="s">
        <v>42</v>
      </c>
      <c r="T882" s="31">
        <v>3775</v>
      </c>
      <c r="U882" s="31" t="s">
        <v>43</v>
      </c>
      <c r="V882" s="33" t="s">
        <v>378</v>
      </c>
      <c r="W882" s="13">
        <v>43327</v>
      </c>
      <c r="X882" s="13">
        <v>43358</v>
      </c>
      <c r="Y882" s="31" t="s">
        <v>436</v>
      </c>
      <c r="Z882" s="31" t="s">
        <v>295</v>
      </c>
      <c r="AA882" s="31" t="s">
        <v>76</v>
      </c>
      <c r="AB882" s="31" t="s">
        <v>48</v>
      </c>
      <c r="AC882" s="31" t="s">
        <v>48</v>
      </c>
      <c r="AD882" s="34"/>
    </row>
    <row r="883" spans="1:30" ht="80.099999999999994" customHeight="1">
      <c r="B883" s="31">
        <v>2018</v>
      </c>
      <c r="C883" s="31" t="s">
        <v>65</v>
      </c>
      <c r="D883" s="31" t="s">
        <v>2111</v>
      </c>
      <c r="E883" s="13">
        <v>43326</v>
      </c>
      <c r="F883" s="31" t="s">
        <v>2593</v>
      </c>
      <c r="G883" s="31" t="s">
        <v>499</v>
      </c>
      <c r="H883" s="15">
        <v>1773202.94</v>
      </c>
      <c r="I883" s="31" t="s">
        <v>2257</v>
      </c>
      <c r="J883" s="31" t="s">
        <v>2594</v>
      </c>
      <c r="K883" s="31" t="s">
        <v>2595</v>
      </c>
      <c r="L883" s="31" t="s">
        <v>2596</v>
      </c>
      <c r="M883" s="31" t="s">
        <v>2597</v>
      </c>
      <c r="N883" s="31" t="s">
        <v>2598</v>
      </c>
      <c r="O883" s="32">
        <v>1773202.94</v>
      </c>
      <c r="P883" s="33" t="s">
        <v>48</v>
      </c>
      <c r="Q883" s="31" t="s">
        <v>2258</v>
      </c>
      <c r="R883" s="32">
        <v>44.043788872329856</v>
      </c>
      <c r="S883" s="31" t="s">
        <v>42</v>
      </c>
      <c r="T883" s="31">
        <v>3775</v>
      </c>
      <c r="U883" s="31" t="s">
        <v>43</v>
      </c>
      <c r="V883" s="33" t="s">
        <v>378</v>
      </c>
      <c r="W883" s="13">
        <v>43327</v>
      </c>
      <c r="X883" s="13">
        <v>43358</v>
      </c>
      <c r="Y883" s="31" t="s">
        <v>436</v>
      </c>
      <c r="Z883" s="31" t="s">
        <v>295</v>
      </c>
      <c r="AA883" s="31" t="s">
        <v>76</v>
      </c>
      <c r="AB883" s="31" t="s">
        <v>48</v>
      </c>
      <c r="AC883" s="31" t="s">
        <v>48</v>
      </c>
      <c r="AD883" s="34"/>
    </row>
    <row r="884" spans="1:30" ht="80.099999999999994" customHeight="1">
      <c r="B884" s="31">
        <v>2018</v>
      </c>
      <c r="C884" s="31" t="s">
        <v>65</v>
      </c>
      <c r="D884" s="31" t="s">
        <v>2112</v>
      </c>
      <c r="E884" s="13">
        <v>43326</v>
      </c>
      <c r="F884" s="31" t="s">
        <v>2599</v>
      </c>
      <c r="G884" s="31" t="s">
        <v>499</v>
      </c>
      <c r="H884" s="15">
        <v>819749.53</v>
      </c>
      <c r="I884" s="31" t="s">
        <v>313</v>
      </c>
      <c r="J884" s="31" t="s">
        <v>2517</v>
      </c>
      <c r="K884" s="31" t="s">
        <v>2518</v>
      </c>
      <c r="L884" s="31" t="s">
        <v>2294</v>
      </c>
      <c r="M884" s="31" t="s">
        <v>2519</v>
      </c>
      <c r="N884" s="31" t="s">
        <v>2520</v>
      </c>
      <c r="O884" s="32">
        <v>819749.53</v>
      </c>
      <c r="P884" s="33" t="s">
        <v>48</v>
      </c>
      <c r="Q884" s="31" t="s">
        <v>2259</v>
      </c>
      <c r="R884" s="32">
        <v>4479.5056284153006</v>
      </c>
      <c r="S884" s="31" t="s">
        <v>42</v>
      </c>
      <c r="T884" s="31">
        <v>1085</v>
      </c>
      <c r="U884" s="31" t="s">
        <v>43</v>
      </c>
      <c r="V884" s="33" t="s">
        <v>378</v>
      </c>
      <c r="W884" s="13">
        <v>43327</v>
      </c>
      <c r="X884" s="13">
        <v>43358</v>
      </c>
      <c r="Y884" s="31" t="s">
        <v>350</v>
      </c>
      <c r="Z884" s="31" t="s">
        <v>955</v>
      </c>
      <c r="AA884" s="31" t="s">
        <v>956</v>
      </c>
      <c r="AB884" s="31" t="s">
        <v>48</v>
      </c>
      <c r="AC884" s="31" t="s">
        <v>48</v>
      </c>
      <c r="AD884" s="34"/>
    </row>
    <row r="885" spans="1:30" ht="90" customHeight="1">
      <c r="B885" s="31">
        <v>2018</v>
      </c>
      <c r="C885" s="31" t="s">
        <v>31</v>
      </c>
      <c r="D885" s="31" t="s">
        <v>2600</v>
      </c>
      <c r="E885" s="13">
        <v>43434</v>
      </c>
      <c r="F885" s="31" t="s">
        <v>2622</v>
      </c>
      <c r="G885" s="31" t="s">
        <v>2623</v>
      </c>
      <c r="H885" s="15">
        <v>4366585.7300000004</v>
      </c>
      <c r="I885" s="31" t="s">
        <v>2649</v>
      </c>
      <c r="J885" s="31" t="s">
        <v>2650</v>
      </c>
      <c r="K885" s="31" t="s">
        <v>2373</v>
      </c>
      <c r="L885" s="31" t="s">
        <v>2402</v>
      </c>
      <c r="M885" s="31" t="s">
        <v>2651</v>
      </c>
      <c r="N885" s="31" t="s">
        <v>320</v>
      </c>
      <c r="O885" s="32">
        <v>4366585.7300000004</v>
      </c>
      <c r="P885" s="33" t="s">
        <v>48</v>
      </c>
      <c r="Q885" s="31" t="s">
        <v>873</v>
      </c>
      <c r="R885" s="32">
        <v>2564.0550381679391</v>
      </c>
      <c r="S885" s="31" t="s">
        <v>42</v>
      </c>
      <c r="T885" s="31">
        <v>3775</v>
      </c>
      <c r="U885" s="31" t="s">
        <v>43</v>
      </c>
      <c r="V885" s="33" t="s">
        <v>378</v>
      </c>
      <c r="W885" s="13">
        <v>43435</v>
      </c>
      <c r="X885" s="13">
        <v>43465</v>
      </c>
      <c r="Y885" s="31" t="s">
        <v>365</v>
      </c>
      <c r="Z885" s="31" t="s">
        <v>265</v>
      </c>
      <c r="AA885" s="31" t="s">
        <v>367</v>
      </c>
      <c r="AB885" s="31" t="s">
        <v>48</v>
      </c>
      <c r="AC885" s="31" t="s">
        <v>48</v>
      </c>
      <c r="AD885" s="34"/>
    </row>
    <row r="886" spans="1:30" ht="90" customHeight="1">
      <c r="B886" s="31">
        <v>2018</v>
      </c>
      <c r="C886" s="31" t="s">
        <v>31</v>
      </c>
      <c r="D886" s="31" t="s">
        <v>2601</v>
      </c>
      <c r="E886" s="13">
        <v>43434</v>
      </c>
      <c r="F886" s="31" t="s">
        <v>2624</v>
      </c>
      <c r="G886" s="31" t="s">
        <v>2623</v>
      </c>
      <c r="H886" s="15">
        <v>5180977.87</v>
      </c>
      <c r="I886" s="31" t="s">
        <v>2178</v>
      </c>
      <c r="J886" s="31" t="s">
        <v>2517</v>
      </c>
      <c r="K886" s="31" t="s">
        <v>2518</v>
      </c>
      <c r="L886" s="31" t="s">
        <v>2294</v>
      </c>
      <c r="M886" s="31" t="s">
        <v>2652</v>
      </c>
      <c r="N886" s="31" t="s">
        <v>2653</v>
      </c>
      <c r="O886" s="32">
        <v>5180977.87</v>
      </c>
      <c r="P886" s="33" t="s">
        <v>48</v>
      </c>
      <c r="Q886" s="31" t="s">
        <v>873</v>
      </c>
      <c r="R886" s="32">
        <v>3042.2653376394596</v>
      </c>
      <c r="S886" s="31" t="s">
        <v>42</v>
      </c>
      <c r="T886" s="31">
        <v>3775</v>
      </c>
      <c r="U886" s="31" t="s">
        <v>43</v>
      </c>
      <c r="V886" s="33" t="s">
        <v>378</v>
      </c>
      <c r="W886" s="13">
        <v>43435</v>
      </c>
      <c r="X886" s="13">
        <v>43465</v>
      </c>
      <c r="Y886" s="31" t="s">
        <v>2616</v>
      </c>
      <c r="Z886" s="31" t="s">
        <v>2617</v>
      </c>
      <c r="AA886" s="31" t="s">
        <v>2618</v>
      </c>
      <c r="AB886" s="31" t="s">
        <v>48</v>
      </c>
      <c r="AC886" s="31" t="s">
        <v>48</v>
      </c>
      <c r="AD886" s="34"/>
    </row>
    <row r="887" spans="1:30" ht="90" customHeight="1">
      <c r="B887" s="31">
        <v>2018</v>
      </c>
      <c r="C887" s="31" t="s">
        <v>31</v>
      </c>
      <c r="D887" s="31" t="s">
        <v>2602</v>
      </c>
      <c r="E887" s="13">
        <v>43434</v>
      </c>
      <c r="F887" s="31" t="s">
        <v>2625</v>
      </c>
      <c r="G887" s="31" t="s">
        <v>2623</v>
      </c>
      <c r="H887" s="15">
        <v>4948616.04</v>
      </c>
      <c r="I887" s="31" t="s">
        <v>2654</v>
      </c>
      <c r="J887" s="31" t="s">
        <v>2522</v>
      </c>
      <c r="K887" s="31" t="s">
        <v>2137</v>
      </c>
      <c r="L887" s="31" t="s">
        <v>2523</v>
      </c>
      <c r="M887" s="31" t="s">
        <v>2524</v>
      </c>
      <c r="N887" s="31" t="s">
        <v>183</v>
      </c>
      <c r="O887" s="32">
        <v>4948616.04</v>
      </c>
      <c r="P887" s="33" t="s">
        <v>48</v>
      </c>
      <c r="Q887" s="31" t="s">
        <v>873</v>
      </c>
      <c r="R887" s="32">
        <v>2905.8226893716969</v>
      </c>
      <c r="S887" s="31" t="s">
        <v>42</v>
      </c>
      <c r="T887" s="31">
        <v>3775</v>
      </c>
      <c r="U887" s="31" t="s">
        <v>43</v>
      </c>
      <c r="V887" s="33" t="s">
        <v>378</v>
      </c>
      <c r="W887" s="13">
        <v>43435</v>
      </c>
      <c r="X887" s="13">
        <v>43465</v>
      </c>
      <c r="Y887" s="31" t="s">
        <v>2619</v>
      </c>
      <c r="Z887" s="31" t="s">
        <v>148</v>
      </c>
      <c r="AA887" s="31" t="s">
        <v>106</v>
      </c>
      <c r="AB887" s="31" t="s">
        <v>48</v>
      </c>
      <c r="AC887" s="31" t="s">
        <v>48</v>
      </c>
      <c r="AD887" s="34"/>
    </row>
    <row r="888" spans="1:30" ht="90" customHeight="1">
      <c r="B888" s="31">
        <v>2018</v>
      </c>
      <c r="C888" s="31" t="s">
        <v>31</v>
      </c>
      <c r="D888" s="31" t="s">
        <v>2603</v>
      </c>
      <c r="E888" s="13">
        <v>43434</v>
      </c>
      <c r="F888" s="31" t="s">
        <v>2626</v>
      </c>
      <c r="G888" s="31" t="s">
        <v>2623</v>
      </c>
      <c r="H888" s="15">
        <v>7910677.8499999996</v>
      </c>
      <c r="I888" s="31" t="s">
        <v>2655</v>
      </c>
      <c r="J888" s="31" t="s">
        <v>2278</v>
      </c>
      <c r="K888" s="31" t="s">
        <v>2279</v>
      </c>
      <c r="L888" s="31" t="s">
        <v>2280</v>
      </c>
      <c r="M888" s="31" t="s">
        <v>2281</v>
      </c>
      <c r="N888" s="31" t="s">
        <v>2282</v>
      </c>
      <c r="O888" s="32">
        <v>7910677.8499999996</v>
      </c>
      <c r="P888" s="33" t="s">
        <v>48</v>
      </c>
      <c r="Q888" s="31" t="s">
        <v>873</v>
      </c>
      <c r="R888" s="32">
        <v>4645.1426012918373</v>
      </c>
      <c r="S888" s="31" t="s">
        <v>42</v>
      </c>
      <c r="T888" s="31">
        <v>1893</v>
      </c>
      <c r="U888" s="31" t="s">
        <v>43</v>
      </c>
      <c r="V888" s="33" t="s">
        <v>378</v>
      </c>
      <c r="W888" s="13">
        <v>43435</v>
      </c>
      <c r="X888" s="13">
        <v>43465</v>
      </c>
      <c r="Y888" s="31" t="s">
        <v>731</v>
      </c>
      <c r="Z888" s="31" t="s">
        <v>2232</v>
      </c>
      <c r="AA888" s="31" t="s">
        <v>120</v>
      </c>
      <c r="AB888" s="31" t="s">
        <v>48</v>
      </c>
      <c r="AC888" s="31" t="s">
        <v>48</v>
      </c>
      <c r="AD888" s="34"/>
    </row>
    <row r="889" spans="1:30" ht="90" customHeight="1">
      <c r="B889" s="31">
        <v>2018</v>
      </c>
      <c r="C889" s="31" t="s">
        <v>31</v>
      </c>
      <c r="D889" s="31" t="s">
        <v>2604</v>
      </c>
      <c r="E889" s="13">
        <v>43434</v>
      </c>
      <c r="F889" s="31" t="s">
        <v>2627</v>
      </c>
      <c r="G889" s="31" t="s">
        <v>2623</v>
      </c>
      <c r="H889" s="15">
        <v>7393669.1699999999</v>
      </c>
      <c r="I889" s="31" t="s">
        <v>563</v>
      </c>
      <c r="J889" s="31" t="s">
        <v>2411</v>
      </c>
      <c r="K889" s="31" t="s">
        <v>2402</v>
      </c>
      <c r="L889" s="31" t="s">
        <v>2412</v>
      </c>
      <c r="M889" s="31" t="s">
        <v>2413</v>
      </c>
      <c r="N889" s="31" t="s">
        <v>2414</v>
      </c>
      <c r="O889" s="32">
        <v>7393669.1699999999</v>
      </c>
      <c r="P889" s="33" t="s">
        <v>48</v>
      </c>
      <c r="Q889" s="31" t="s">
        <v>873</v>
      </c>
      <c r="R889" s="32">
        <v>4341.5555901350554</v>
      </c>
      <c r="S889" s="31" t="s">
        <v>42</v>
      </c>
      <c r="T889" s="31">
        <v>1674</v>
      </c>
      <c r="U889" s="31" t="s">
        <v>43</v>
      </c>
      <c r="V889" s="33" t="s">
        <v>378</v>
      </c>
      <c r="W889" s="13">
        <v>43435</v>
      </c>
      <c r="X889" s="13">
        <v>43465</v>
      </c>
      <c r="Y889" s="31" t="s">
        <v>468</v>
      </c>
      <c r="Z889" s="31" t="s">
        <v>307</v>
      </c>
      <c r="AA889" s="31" t="s">
        <v>308</v>
      </c>
      <c r="AB889" s="31" t="s">
        <v>48</v>
      </c>
      <c r="AC889" s="31" t="s">
        <v>48</v>
      </c>
      <c r="AD889" s="34"/>
    </row>
    <row r="890" spans="1:30" ht="90" customHeight="1">
      <c r="B890" s="31">
        <v>2018</v>
      </c>
      <c r="C890" s="31" t="s">
        <v>31</v>
      </c>
      <c r="D890" s="31" t="s">
        <v>2605</v>
      </c>
      <c r="E890" s="13">
        <v>43434</v>
      </c>
      <c r="F890" s="31" t="s">
        <v>2628</v>
      </c>
      <c r="G890" s="31" t="s">
        <v>2623</v>
      </c>
      <c r="H890" s="15">
        <v>7025613.9500000002</v>
      </c>
      <c r="I890" s="31" t="s">
        <v>563</v>
      </c>
      <c r="J890" s="31" t="s">
        <v>2304</v>
      </c>
      <c r="K890" s="31" t="s">
        <v>2305</v>
      </c>
      <c r="L890" s="31" t="s">
        <v>2306</v>
      </c>
      <c r="M890" s="31" t="s">
        <v>2307</v>
      </c>
      <c r="N890" s="31" t="s">
        <v>2308</v>
      </c>
      <c r="O890" s="32">
        <v>7025613.9500000002</v>
      </c>
      <c r="P890" s="33" t="s">
        <v>48</v>
      </c>
      <c r="Q890" s="31" t="s">
        <v>873</v>
      </c>
      <c r="R890" s="32">
        <v>4125.4339107457427</v>
      </c>
      <c r="S890" s="31" t="s">
        <v>42</v>
      </c>
      <c r="T890" s="31">
        <v>1674</v>
      </c>
      <c r="U890" s="31" t="s">
        <v>43</v>
      </c>
      <c r="V890" s="33" t="s">
        <v>378</v>
      </c>
      <c r="W890" s="13">
        <v>43435</v>
      </c>
      <c r="X890" s="13">
        <v>43465</v>
      </c>
      <c r="Y890" s="31" t="s">
        <v>468</v>
      </c>
      <c r="Z890" s="31" t="s">
        <v>307</v>
      </c>
      <c r="AA890" s="31" t="s">
        <v>308</v>
      </c>
      <c r="AB890" s="31" t="s">
        <v>48</v>
      </c>
      <c r="AC890" s="31" t="s">
        <v>48</v>
      </c>
      <c r="AD890" s="34"/>
    </row>
    <row r="891" spans="1:30" ht="90" customHeight="1">
      <c r="B891" s="31">
        <v>2018</v>
      </c>
      <c r="C891" s="31" t="s">
        <v>65</v>
      </c>
      <c r="D891" s="31" t="s">
        <v>2606</v>
      </c>
      <c r="E891" s="13">
        <v>43434</v>
      </c>
      <c r="F891" s="31" t="s">
        <v>2629</v>
      </c>
      <c r="G891" s="31" t="s">
        <v>499</v>
      </c>
      <c r="H891" s="15">
        <v>635263.25</v>
      </c>
      <c r="I891" s="31" t="s">
        <v>376</v>
      </c>
      <c r="J891" s="31" t="s">
        <v>2656</v>
      </c>
      <c r="K891" s="31" t="s">
        <v>2657</v>
      </c>
      <c r="L891" s="31" t="s">
        <v>2658</v>
      </c>
      <c r="M891" s="31" t="s">
        <v>2659</v>
      </c>
      <c r="N891" s="31" t="s">
        <v>2660</v>
      </c>
      <c r="O891" s="32">
        <v>635263.25</v>
      </c>
      <c r="P891" s="33" t="s">
        <v>48</v>
      </c>
      <c r="Q891" s="31"/>
      <c r="R891" s="32">
        <v>373.02598355842633</v>
      </c>
      <c r="S891" s="31" t="s">
        <v>42</v>
      </c>
      <c r="T891" s="31">
        <v>4052</v>
      </c>
      <c r="U891" s="31" t="s">
        <v>43</v>
      </c>
      <c r="V891" s="33" t="s">
        <v>378</v>
      </c>
      <c r="W891" s="13">
        <v>43405</v>
      </c>
      <c r="X891" s="13">
        <v>43465</v>
      </c>
      <c r="Y891" s="31" t="s">
        <v>705</v>
      </c>
      <c r="Z891" s="31" t="s">
        <v>295</v>
      </c>
      <c r="AA891" s="31" t="s">
        <v>76</v>
      </c>
      <c r="AB891" s="31" t="s">
        <v>48</v>
      </c>
      <c r="AC891" s="31" t="s">
        <v>48</v>
      </c>
      <c r="AD891" s="34"/>
    </row>
    <row r="892" spans="1:30" s="9" customFormat="1" ht="90" customHeight="1">
      <c r="A892" s="10"/>
      <c r="B892" s="31">
        <v>2018</v>
      </c>
      <c r="C892" s="31" t="s">
        <v>143</v>
      </c>
      <c r="D892" s="31" t="s">
        <v>2675</v>
      </c>
      <c r="E892" s="13">
        <v>43441</v>
      </c>
      <c r="F892" s="31" t="s">
        <v>2682</v>
      </c>
      <c r="G892" s="31" t="s">
        <v>987</v>
      </c>
      <c r="H892" s="15">
        <v>8211025.3300000001</v>
      </c>
      <c r="I892" s="31" t="s">
        <v>1071</v>
      </c>
      <c r="J892" s="31" t="s">
        <v>2683</v>
      </c>
      <c r="K892" s="31" t="s">
        <v>2684</v>
      </c>
      <c r="L892" s="31" t="s">
        <v>2685</v>
      </c>
      <c r="M892" s="31" t="s">
        <v>2686</v>
      </c>
      <c r="N892" s="31" t="s">
        <v>2687</v>
      </c>
      <c r="O892" s="32">
        <v>8211025.3300000001</v>
      </c>
      <c r="P892" s="33" t="s">
        <v>48</v>
      </c>
      <c r="Q892" s="31" t="s">
        <v>2679</v>
      </c>
      <c r="R892" s="32">
        <v>10200.031465838509</v>
      </c>
      <c r="S892" s="31" t="s">
        <v>42</v>
      </c>
      <c r="T892" s="31">
        <v>10350</v>
      </c>
      <c r="U892" s="31" t="s">
        <v>43</v>
      </c>
      <c r="V892" s="33" t="s">
        <v>378</v>
      </c>
      <c r="W892" s="13">
        <v>43441</v>
      </c>
      <c r="X892" s="13">
        <v>43488</v>
      </c>
      <c r="Y892" s="31" t="s">
        <v>875</v>
      </c>
      <c r="Z892" s="31" t="s">
        <v>876</v>
      </c>
      <c r="AA892" s="31" t="s">
        <v>877</v>
      </c>
      <c r="AB892" s="31" t="s">
        <v>48</v>
      </c>
      <c r="AC892" s="31" t="s">
        <v>48</v>
      </c>
      <c r="AD892" s="34"/>
    </row>
    <row r="893" spans="1:30" s="9" customFormat="1" ht="90" customHeight="1">
      <c r="A893" s="10"/>
      <c r="B893" s="31">
        <v>2018</v>
      </c>
      <c r="C893" s="31" t="s">
        <v>143</v>
      </c>
      <c r="D893" s="31" t="s">
        <v>2676</v>
      </c>
      <c r="E893" s="13">
        <v>43441</v>
      </c>
      <c r="F893" s="31" t="s">
        <v>2688</v>
      </c>
      <c r="G893" s="31" t="s">
        <v>1135</v>
      </c>
      <c r="H893" s="15">
        <v>3591378.61</v>
      </c>
      <c r="I893" s="31" t="s">
        <v>2689</v>
      </c>
      <c r="J893" s="31" t="s">
        <v>2690</v>
      </c>
      <c r="K893" s="31" t="s">
        <v>2691</v>
      </c>
      <c r="L893" s="31" t="s">
        <v>2412</v>
      </c>
      <c r="M893" s="31" t="s">
        <v>2692</v>
      </c>
      <c r="N893" s="31" t="s">
        <v>2693</v>
      </c>
      <c r="O893" s="32">
        <v>3591378.61</v>
      </c>
      <c r="P893" s="33" t="s">
        <v>48</v>
      </c>
      <c r="Q893" s="31" t="s">
        <v>2679</v>
      </c>
      <c r="R893" s="32">
        <v>4461.3398881987578</v>
      </c>
      <c r="S893" s="31" t="s">
        <v>42</v>
      </c>
      <c r="T893" s="31">
        <v>10350</v>
      </c>
      <c r="U893" s="31" t="s">
        <v>43</v>
      </c>
      <c r="V893" s="33" t="s">
        <v>378</v>
      </c>
      <c r="W893" s="13">
        <v>43441</v>
      </c>
      <c r="X893" s="13">
        <v>43465</v>
      </c>
      <c r="Y893" s="31" t="s">
        <v>350</v>
      </c>
      <c r="Z893" s="31" t="s">
        <v>351</v>
      </c>
      <c r="AA893" s="31" t="s">
        <v>352</v>
      </c>
      <c r="AB893" s="31"/>
      <c r="AC893" s="31"/>
      <c r="AD893" s="34"/>
    </row>
    <row r="894" spans="1:30" s="9" customFormat="1" ht="90" customHeight="1">
      <c r="A894" s="10"/>
      <c r="B894" s="31">
        <v>2018</v>
      </c>
      <c r="C894" s="31" t="s">
        <v>143</v>
      </c>
      <c r="D894" s="31" t="s">
        <v>2677</v>
      </c>
      <c r="E894" s="13">
        <v>43441</v>
      </c>
      <c r="F894" s="31" t="s">
        <v>2694</v>
      </c>
      <c r="G894" s="31" t="s">
        <v>1135</v>
      </c>
      <c r="H894" s="15">
        <v>2497558.87</v>
      </c>
      <c r="I894" s="31" t="s">
        <v>2695</v>
      </c>
      <c r="J894" s="31" t="s">
        <v>2394</v>
      </c>
      <c r="K894" s="31" t="s">
        <v>2696</v>
      </c>
      <c r="L894" s="31" t="s">
        <v>2697</v>
      </c>
      <c r="M894" s="31" t="s">
        <v>2698</v>
      </c>
      <c r="N894" s="31" t="s">
        <v>2699</v>
      </c>
      <c r="O894" s="32">
        <v>2497558.87</v>
      </c>
      <c r="P894" s="33" t="s">
        <v>48</v>
      </c>
      <c r="Q894" s="31" t="s">
        <v>2680</v>
      </c>
      <c r="R894" s="32">
        <v>2485.1332039800996</v>
      </c>
      <c r="S894" s="31" t="s">
        <v>42</v>
      </c>
      <c r="T894" s="31">
        <v>10350</v>
      </c>
      <c r="U894" s="31" t="s">
        <v>43</v>
      </c>
      <c r="V894" s="33" t="s">
        <v>378</v>
      </c>
      <c r="W894" s="13">
        <v>43441</v>
      </c>
      <c r="X894" s="13">
        <v>43465</v>
      </c>
      <c r="Y894" s="31" t="s">
        <v>703</v>
      </c>
      <c r="Z894" s="31" t="s">
        <v>728</v>
      </c>
      <c r="AA894" s="31" t="s">
        <v>316</v>
      </c>
      <c r="AB894" s="31"/>
      <c r="AC894" s="31"/>
      <c r="AD894" s="34"/>
    </row>
    <row r="895" spans="1:30" s="9" customFormat="1" ht="90" customHeight="1">
      <c r="A895" s="10"/>
      <c r="B895" s="31">
        <v>2018</v>
      </c>
      <c r="C895" s="31" t="s">
        <v>143</v>
      </c>
      <c r="D895" s="31" t="s">
        <v>2678</v>
      </c>
      <c r="E895" s="13">
        <v>43441</v>
      </c>
      <c r="F895" s="31" t="s">
        <v>2700</v>
      </c>
      <c r="G895" s="31" t="s">
        <v>1135</v>
      </c>
      <c r="H895" s="15">
        <v>3668511.4</v>
      </c>
      <c r="I895" s="31" t="s">
        <v>2701</v>
      </c>
      <c r="J895" s="31" t="s">
        <v>2304</v>
      </c>
      <c r="K895" s="31" t="s">
        <v>2305</v>
      </c>
      <c r="L895" s="31" t="s">
        <v>2306</v>
      </c>
      <c r="M895" s="31" t="s">
        <v>2307</v>
      </c>
      <c r="N895" s="31" t="s">
        <v>2308</v>
      </c>
      <c r="O895" s="32">
        <v>3668511.4</v>
      </c>
      <c r="P895" s="33" t="s">
        <v>48</v>
      </c>
      <c r="Q895" s="31" t="s">
        <v>2681</v>
      </c>
      <c r="R895" s="32">
        <v>5643.863692307692</v>
      </c>
      <c r="S895" s="31" t="s">
        <v>42</v>
      </c>
      <c r="T895" s="31">
        <v>10350</v>
      </c>
      <c r="U895" s="31" t="s">
        <v>43</v>
      </c>
      <c r="V895" s="33" t="s">
        <v>378</v>
      </c>
      <c r="W895" s="13">
        <v>43441</v>
      </c>
      <c r="X895" s="13">
        <v>43465</v>
      </c>
      <c r="Y895" s="31" t="s">
        <v>767</v>
      </c>
      <c r="Z895" s="31" t="s">
        <v>768</v>
      </c>
      <c r="AA895" s="31" t="s">
        <v>769</v>
      </c>
      <c r="AB895" s="31"/>
      <c r="AC895" s="31"/>
      <c r="AD895" s="34"/>
    </row>
    <row r="896" spans="1:30" ht="90" customHeight="1">
      <c r="B896" s="31">
        <v>2018</v>
      </c>
      <c r="C896" s="31" t="s">
        <v>65</v>
      </c>
      <c r="D896" s="31" t="s">
        <v>2607</v>
      </c>
      <c r="E896" s="13">
        <v>43434</v>
      </c>
      <c r="F896" s="31" t="s">
        <v>2634</v>
      </c>
      <c r="G896" s="31" t="s">
        <v>499</v>
      </c>
      <c r="H896" s="15">
        <v>788752.75</v>
      </c>
      <c r="I896" s="31" t="s">
        <v>376</v>
      </c>
      <c r="J896" s="31" t="s">
        <v>2148</v>
      </c>
      <c r="K896" s="31" t="s">
        <v>2350</v>
      </c>
      <c r="L896" s="31" t="s">
        <v>2351</v>
      </c>
      <c r="M896" s="31" t="s">
        <v>2352</v>
      </c>
      <c r="N896" s="31" t="s">
        <v>2353</v>
      </c>
      <c r="O896" s="32">
        <v>788752.75</v>
      </c>
      <c r="P896" s="33" t="s">
        <v>48</v>
      </c>
      <c r="Q896" s="31"/>
      <c r="R896" s="32">
        <v>4310.1243169398904</v>
      </c>
      <c r="S896" s="31" t="s">
        <v>42</v>
      </c>
      <c r="T896" s="31">
        <v>4052</v>
      </c>
      <c r="U896" s="31" t="s">
        <v>43</v>
      </c>
      <c r="V896" s="33" t="s">
        <v>378</v>
      </c>
      <c r="W896" s="13">
        <v>43405</v>
      </c>
      <c r="X896" s="13">
        <v>43465</v>
      </c>
      <c r="Y896" s="31" t="s">
        <v>705</v>
      </c>
      <c r="Z896" s="31" t="s">
        <v>295</v>
      </c>
      <c r="AA896" s="31" t="s">
        <v>76</v>
      </c>
      <c r="AB896" s="31" t="s">
        <v>48</v>
      </c>
      <c r="AC896" s="31" t="s">
        <v>48</v>
      </c>
      <c r="AD896" s="34"/>
    </row>
    <row r="897" spans="2:30" ht="90" customHeight="1">
      <c r="B897" s="31">
        <v>2018</v>
      </c>
      <c r="C897" s="31" t="s">
        <v>65</v>
      </c>
      <c r="D897" s="31" t="s">
        <v>2608</v>
      </c>
      <c r="E897" s="13">
        <v>43418</v>
      </c>
      <c r="F897" s="31" t="s">
        <v>2635</v>
      </c>
      <c r="G897" s="31" t="s">
        <v>499</v>
      </c>
      <c r="H897" s="15">
        <v>1399287.57</v>
      </c>
      <c r="I897" s="31" t="s">
        <v>689</v>
      </c>
      <c r="J897" s="31" t="s">
        <v>2661</v>
      </c>
      <c r="K897" s="31" t="s">
        <v>2662</v>
      </c>
      <c r="L897" s="31" t="s">
        <v>2019</v>
      </c>
      <c r="M897" s="31" t="s">
        <v>2663</v>
      </c>
      <c r="N897" s="31" t="s">
        <v>2664</v>
      </c>
      <c r="O897" s="32">
        <v>1399287.57</v>
      </c>
      <c r="P897" s="33" t="s">
        <v>48</v>
      </c>
      <c r="Q897" s="31"/>
      <c r="R897" s="32">
        <v>7646.3801639344265</v>
      </c>
      <c r="S897" s="31" t="s">
        <v>42</v>
      </c>
      <c r="T897" s="31">
        <v>110</v>
      </c>
      <c r="U897" s="31" t="s">
        <v>43</v>
      </c>
      <c r="V897" s="33" t="s">
        <v>378</v>
      </c>
      <c r="W897" s="13">
        <v>43419</v>
      </c>
      <c r="X897" s="13">
        <v>43465</v>
      </c>
      <c r="Y897" s="31" t="s">
        <v>615</v>
      </c>
      <c r="Z897" s="31" t="s">
        <v>1198</v>
      </c>
      <c r="AA897" s="31" t="s">
        <v>617</v>
      </c>
      <c r="AB897" s="31" t="s">
        <v>48</v>
      </c>
      <c r="AC897" s="31" t="s">
        <v>48</v>
      </c>
      <c r="AD897" s="34"/>
    </row>
    <row r="898" spans="2:30" ht="90" customHeight="1">
      <c r="B898" s="31">
        <v>2018</v>
      </c>
      <c r="C898" s="31" t="s">
        <v>65</v>
      </c>
      <c r="D898" s="31" t="s">
        <v>2609</v>
      </c>
      <c r="E898" s="13">
        <v>43418</v>
      </c>
      <c r="F898" s="31" t="s">
        <v>2637</v>
      </c>
      <c r="G898" s="31" t="s">
        <v>499</v>
      </c>
      <c r="H898" s="15">
        <v>398756.23</v>
      </c>
      <c r="I898" s="31" t="s">
        <v>2644</v>
      </c>
      <c r="J898" s="31" t="s">
        <v>2665</v>
      </c>
      <c r="K898" s="31" t="s">
        <v>2666</v>
      </c>
      <c r="L898" s="31" t="s">
        <v>2143</v>
      </c>
      <c r="M898" s="31" t="s">
        <v>2667</v>
      </c>
      <c r="N898" s="31" t="s">
        <v>2668</v>
      </c>
      <c r="O898" s="32">
        <v>398756.23</v>
      </c>
      <c r="P898" s="33" t="s">
        <v>48</v>
      </c>
      <c r="Q898" s="31"/>
      <c r="R898" s="32">
        <v>2178.9957923497268</v>
      </c>
      <c r="S898" s="31" t="s">
        <v>42</v>
      </c>
      <c r="T898" s="31">
        <v>140</v>
      </c>
      <c r="U898" s="31" t="s">
        <v>43</v>
      </c>
      <c r="V898" s="33" t="s">
        <v>378</v>
      </c>
      <c r="W898" s="13">
        <v>43419</v>
      </c>
      <c r="X898" s="13">
        <v>43465</v>
      </c>
      <c r="Y898" s="31" t="s">
        <v>2620</v>
      </c>
      <c r="Z898" s="31" t="s">
        <v>2621</v>
      </c>
      <c r="AA898" s="31" t="s">
        <v>451</v>
      </c>
      <c r="AB898" s="31" t="s">
        <v>48</v>
      </c>
      <c r="AC898" s="31" t="s">
        <v>48</v>
      </c>
      <c r="AD898" s="34"/>
    </row>
    <row r="899" spans="2:30" ht="90" customHeight="1">
      <c r="B899" s="31">
        <v>2018</v>
      </c>
      <c r="C899" s="31" t="s">
        <v>65</v>
      </c>
      <c r="D899" s="31" t="s">
        <v>2610</v>
      </c>
      <c r="E899" s="13">
        <v>43418</v>
      </c>
      <c r="F899" s="31" t="s">
        <v>2638</v>
      </c>
      <c r="G899" s="31" t="s">
        <v>499</v>
      </c>
      <c r="H899" s="15">
        <v>336269.84</v>
      </c>
      <c r="I899" s="31" t="s">
        <v>2645</v>
      </c>
      <c r="J899" s="31" t="s">
        <v>2268</v>
      </c>
      <c r="K899" s="31" t="s">
        <v>2269</v>
      </c>
      <c r="L899" s="31" t="s">
        <v>2270</v>
      </c>
      <c r="M899" s="31" t="s">
        <v>2669</v>
      </c>
      <c r="N899" s="31" t="s">
        <v>2272</v>
      </c>
      <c r="O899" s="32">
        <v>336269.84</v>
      </c>
      <c r="P899" s="33" t="s">
        <v>48</v>
      </c>
      <c r="Q899" s="31"/>
      <c r="R899" s="32">
        <v>1837.5401092896177</v>
      </c>
      <c r="S899" s="31" t="s">
        <v>42</v>
      </c>
      <c r="T899" s="31">
        <v>2500</v>
      </c>
      <c r="U899" s="31" t="s">
        <v>43</v>
      </c>
      <c r="V899" s="33" t="s">
        <v>378</v>
      </c>
      <c r="W899" s="13">
        <v>43419</v>
      </c>
      <c r="X899" s="13">
        <v>43465</v>
      </c>
      <c r="Y899" s="31" t="s">
        <v>705</v>
      </c>
      <c r="Z899" s="31" t="s">
        <v>295</v>
      </c>
      <c r="AA899" s="31" t="s">
        <v>76</v>
      </c>
      <c r="AB899" s="31" t="s">
        <v>48</v>
      </c>
      <c r="AC899" s="31" t="s">
        <v>48</v>
      </c>
      <c r="AD899" s="34"/>
    </row>
    <row r="900" spans="2:30" ht="90" customHeight="1">
      <c r="B900" s="31">
        <v>2018</v>
      </c>
      <c r="C900" s="31" t="s">
        <v>65</v>
      </c>
      <c r="D900" s="31" t="s">
        <v>2611</v>
      </c>
      <c r="E900" s="13">
        <v>43418</v>
      </c>
      <c r="F900" s="31" t="s">
        <v>2639</v>
      </c>
      <c r="G900" s="31" t="s">
        <v>499</v>
      </c>
      <c r="H900" s="15">
        <v>616261.81999999995</v>
      </c>
      <c r="I900" s="31" t="s">
        <v>2646</v>
      </c>
      <c r="J900" s="31" t="s">
        <v>2670</v>
      </c>
      <c r="K900" s="31" t="s">
        <v>2671</v>
      </c>
      <c r="L900" s="31" t="s">
        <v>2672</v>
      </c>
      <c r="M900" s="31" t="s">
        <v>2673</v>
      </c>
      <c r="N900" s="31" t="s">
        <v>2674</v>
      </c>
      <c r="O900" s="32">
        <v>616261.81999999995</v>
      </c>
      <c r="P900" s="33" t="s">
        <v>48</v>
      </c>
      <c r="Q900" s="31"/>
      <c r="R900" s="32">
        <v>3367.5509289617485</v>
      </c>
      <c r="S900" s="31" t="s">
        <v>42</v>
      </c>
      <c r="T900" s="31">
        <v>150</v>
      </c>
      <c r="U900" s="31" t="s">
        <v>43</v>
      </c>
      <c r="V900" s="33" t="s">
        <v>378</v>
      </c>
      <c r="W900" s="13">
        <v>43419</v>
      </c>
      <c r="X900" s="13">
        <v>43465</v>
      </c>
      <c r="Y900" s="31" t="s">
        <v>2620</v>
      </c>
      <c r="Z900" s="31" t="s">
        <v>2621</v>
      </c>
      <c r="AA900" s="31" t="s">
        <v>451</v>
      </c>
      <c r="AB900" s="31" t="s">
        <v>48</v>
      </c>
      <c r="AC900" s="31" t="s">
        <v>48</v>
      </c>
      <c r="AD900" s="34"/>
    </row>
    <row r="901" spans="2:30" ht="90" customHeight="1">
      <c r="B901" s="31">
        <v>2018</v>
      </c>
      <c r="C901" s="31" t="s">
        <v>65</v>
      </c>
      <c r="D901" s="31" t="s">
        <v>2612</v>
      </c>
      <c r="E901" s="13">
        <v>43418</v>
      </c>
      <c r="F901" s="31" t="s">
        <v>2640</v>
      </c>
      <c r="G901" s="31" t="s">
        <v>499</v>
      </c>
      <c r="H901" s="15">
        <v>547963.22</v>
      </c>
      <c r="I901" s="31" t="s">
        <v>2647</v>
      </c>
      <c r="J901" s="31" t="s">
        <v>2630</v>
      </c>
      <c r="K901" s="31" t="s">
        <v>2300</v>
      </c>
      <c r="L901" s="31" t="s">
        <v>2631</v>
      </c>
      <c r="M901" s="31" t="s">
        <v>2632</v>
      </c>
      <c r="N901" s="31" t="s">
        <v>2633</v>
      </c>
      <c r="O901" s="32">
        <v>547963.22</v>
      </c>
      <c r="P901" s="33" t="s">
        <v>48</v>
      </c>
      <c r="Q901" s="31"/>
      <c r="R901" s="32">
        <v>2994.3345355191254</v>
      </c>
      <c r="S901" s="31" t="s">
        <v>42</v>
      </c>
      <c r="T901" s="31">
        <v>145</v>
      </c>
      <c r="U901" s="31" t="s">
        <v>43</v>
      </c>
      <c r="V901" s="33" t="s">
        <v>378</v>
      </c>
      <c r="W901" s="13">
        <v>43419</v>
      </c>
      <c r="X901" s="13">
        <v>43465</v>
      </c>
      <c r="Y901" s="31" t="s">
        <v>350</v>
      </c>
      <c r="Z901" s="31" t="s">
        <v>955</v>
      </c>
      <c r="AA901" s="31" t="s">
        <v>956</v>
      </c>
      <c r="AB901" s="31" t="s">
        <v>48</v>
      </c>
      <c r="AC901" s="31" t="s">
        <v>48</v>
      </c>
      <c r="AD901" s="34"/>
    </row>
    <row r="902" spans="2:30" ht="90" customHeight="1">
      <c r="B902" s="31">
        <v>2018</v>
      </c>
      <c r="C902" s="31" t="s">
        <v>65</v>
      </c>
      <c r="D902" s="31" t="s">
        <v>2613</v>
      </c>
      <c r="E902" s="13">
        <v>43418</v>
      </c>
      <c r="F902" s="31" t="s">
        <v>2641</v>
      </c>
      <c r="G902" s="31" t="s">
        <v>499</v>
      </c>
      <c r="H902" s="15">
        <v>1798269.75</v>
      </c>
      <c r="I902" s="31" t="s">
        <v>2648</v>
      </c>
      <c r="J902" s="31" t="s">
        <v>2017</v>
      </c>
      <c r="K902" s="31" t="s">
        <v>2018</v>
      </c>
      <c r="L902" s="31" t="s">
        <v>2019</v>
      </c>
      <c r="M902" s="31" t="s">
        <v>2020</v>
      </c>
      <c r="N902" s="31" t="s">
        <v>2021</v>
      </c>
      <c r="O902" s="32">
        <v>1798269.75</v>
      </c>
      <c r="P902" s="33" t="s">
        <v>48</v>
      </c>
      <c r="Q902" s="31"/>
      <c r="R902" s="32">
        <v>9826.6106557377043</v>
      </c>
      <c r="S902" s="31" t="s">
        <v>42</v>
      </c>
      <c r="T902" s="31">
        <v>250</v>
      </c>
      <c r="U902" s="31" t="s">
        <v>43</v>
      </c>
      <c r="V902" s="33" t="s">
        <v>378</v>
      </c>
      <c r="W902" s="13">
        <v>43419</v>
      </c>
      <c r="X902" s="13">
        <v>43465</v>
      </c>
      <c r="Y902" s="31" t="s">
        <v>2620</v>
      </c>
      <c r="Z902" s="31" t="s">
        <v>2621</v>
      </c>
      <c r="AA902" s="31" t="s">
        <v>451</v>
      </c>
      <c r="AB902" s="31" t="s">
        <v>48</v>
      </c>
      <c r="AC902" s="31" t="s">
        <v>48</v>
      </c>
      <c r="AD902" s="34"/>
    </row>
    <row r="903" spans="2:30" ht="90" customHeight="1">
      <c r="B903" s="31">
        <v>2018</v>
      </c>
      <c r="C903" s="31" t="s">
        <v>65</v>
      </c>
      <c r="D903" s="31" t="s">
        <v>2614</v>
      </c>
      <c r="E903" s="13">
        <v>43418</v>
      </c>
      <c r="F903" s="31" t="s">
        <v>2642</v>
      </c>
      <c r="G903" s="31" t="s">
        <v>499</v>
      </c>
      <c r="H903" s="15">
        <v>1587699.36</v>
      </c>
      <c r="I903" s="31" t="s">
        <v>2648</v>
      </c>
      <c r="J903" s="31" t="s">
        <v>2460</v>
      </c>
      <c r="K903" s="31" t="s">
        <v>2019</v>
      </c>
      <c r="L903" s="31" t="s">
        <v>2461</v>
      </c>
      <c r="M903" s="31" t="s">
        <v>2636</v>
      </c>
      <c r="N903" s="31" t="s">
        <v>2463</v>
      </c>
      <c r="O903" s="32">
        <v>1587699.36</v>
      </c>
      <c r="P903" s="33" t="s">
        <v>48</v>
      </c>
      <c r="Q903" s="31"/>
      <c r="R903" s="32">
        <v>8675.9527868852456</v>
      </c>
      <c r="S903" s="31" t="s">
        <v>42</v>
      </c>
      <c r="T903" s="31">
        <v>250</v>
      </c>
      <c r="U903" s="31" t="s">
        <v>43</v>
      </c>
      <c r="V903" s="33" t="s">
        <v>378</v>
      </c>
      <c r="W903" s="13">
        <v>43419</v>
      </c>
      <c r="X903" s="13">
        <v>43465</v>
      </c>
      <c r="Y903" s="31" t="s">
        <v>2620</v>
      </c>
      <c r="Z903" s="31" t="s">
        <v>2621</v>
      </c>
      <c r="AA903" s="31" t="s">
        <v>451</v>
      </c>
      <c r="AB903" s="31" t="s">
        <v>48</v>
      </c>
      <c r="AC903" s="31" t="s">
        <v>48</v>
      </c>
      <c r="AD903" s="34"/>
    </row>
    <row r="904" spans="2:30" ht="90" customHeight="1">
      <c r="B904" s="31">
        <v>2018</v>
      </c>
      <c r="C904" s="31" t="s">
        <v>65</v>
      </c>
      <c r="D904" s="31" t="s">
        <v>2615</v>
      </c>
      <c r="E904" s="13">
        <v>43418</v>
      </c>
      <c r="F904" s="31" t="s">
        <v>2643</v>
      </c>
      <c r="G904" s="31" t="s">
        <v>499</v>
      </c>
      <c r="H904" s="15">
        <v>1407584.38</v>
      </c>
      <c r="I904" s="31" t="s">
        <v>2648</v>
      </c>
      <c r="J904" s="31" t="s">
        <v>2261</v>
      </c>
      <c r="K904" s="31" t="s">
        <v>2355</v>
      </c>
      <c r="L904" s="31" t="s">
        <v>2356</v>
      </c>
      <c r="M904" s="31" t="s">
        <v>2357</v>
      </c>
      <c r="N904" s="31" t="s">
        <v>2358</v>
      </c>
      <c r="O904" s="32">
        <v>1407584.38</v>
      </c>
      <c r="P904" s="33" t="s">
        <v>48</v>
      </c>
      <c r="Q904" s="31"/>
      <c r="R904" s="32">
        <v>7691.7179234972673</v>
      </c>
      <c r="S904" s="31" t="s">
        <v>42</v>
      </c>
      <c r="T904" s="31">
        <v>250</v>
      </c>
      <c r="U904" s="31" t="s">
        <v>43</v>
      </c>
      <c r="V904" s="33" t="s">
        <v>378</v>
      </c>
      <c r="W904" s="13">
        <v>43419</v>
      </c>
      <c r="X904" s="13">
        <v>43465</v>
      </c>
      <c r="Y904" s="31" t="s">
        <v>2620</v>
      </c>
      <c r="Z904" s="31" t="s">
        <v>2621</v>
      </c>
      <c r="AA904" s="31" t="s">
        <v>451</v>
      </c>
      <c r="AB904" s="31" t="s">
        <v>48</v>
      </c>
      <c r="AC904" s="31" t="s">
        <v>48</v>
      </c>
      <c r="AD904" s="34"/>
    </row>
    <row r="905" spans="2:30" ht="90" customHeight="1">
      <c r="B905" s="35">
        <v>2018</v>
      </c>
      <c r="C905" s="35" t="s">
        <v>65</v>
      </c>
      <c r="D905" s="35" t="s">
        <v>2702</v>
      </c>
      <c r="E905" s="37">
        <v>43388</v>
      </c>
      <c r="F905" s="35" t="s">
        <v>2709</v>
      </c>
      <c r="G905" s="35" t="s">
        <v>499</v>
      </c>
      <c r="H905" s="38">
        <v>1854462.19</v>
      </c>
      <c r="I905" s="35" t="s">
        <v>713</v>
      </c>
      <c r="J905" s="35" t="s">
        <v>2710</v>
      </c>
      <c r="K905" s="35" t="s">
        <v>2711</v>
      </c>
      <c r="L905" s="35" t="s">
        <v>2340</v>
      </c>
      <c r="M905" s="35" t="s">
        <v>2712</v>
      </c>
      <c r="N905" s="35" t="s">
        <v>2713</v>
      </c>
      <c r="O905" s="38">
        <v>1854462.19</v>
      </c>
      <c r="P905" s="36" t="s">
        <v>48</v>
      </c>
      <c r="Q905" s="35" t="s">
        <v>2706</v>
      </c>
      <c r="R905" s="38">
        <v>1283.3648373702422</v>
      </c>
      <c r="S905" s="35" t="s">
        <v>123</v>
      </c>
      <c r="T905" s="35">
        <v>5000</v>
      </c>
      <c r="U905" s="35" t="s">
        <v>43</v>
      </c>
      <c r="V905" s="36" t="s">
        <v>378</v>
      </c>
      <c r="W905" s="37">
        <v>43388</v>
      </c>
      <c r="X905" s="37">
        <v>43434</v>
      </c>
      <c r="Y905" s="35" t="s">
        <v>826</v>
      </c>
      <c r="Z905" s="35" t="s">
        <v>827</v>
      </c>
      <c r="AA905" s="35" t="s">
        <v>1214</v>
      </c>
      <c r="AB905" s="35" t="s">
        <v>48</v>
      </c>
      <c r="AC905" s="35" t="s">
        <v>48</v>
      </c>
      <c r="AD905" s="39"/>
    </row>
    <row r="906" spans="2:30" ht="90" customHeight="1">
      <c r="B906" s="35">
        <v>2018</v>
      </c>
      <c r="C906" s="35" t="s">
        <v>65</v>
      </c>
      <c r="D906" s="35" t="s">
        <v>2703</v>
      </c>
      <c r="E906" s="37">
        <v>43388</v>
      </c>
      <c r="F906" s="35" t="s">
        <v>2714</v>
      </c>
      <c r="G906" s="35" t="s">
        <v>499</v>
      </c>
      <c r="H906" s="38">
        <v>1847996.1</v>
      </c>
      <c r="I906" s="35" t="s">
        <v>713</v>
      </c>
      <c r="J906" s="35" t="s">
        <v>2715</v>
      </c>
      <c r="K906" s="35" t="s">
        <v>2716</v>
      </c>
      <c r="L906" s="35" t="s">
        <v>2717</v>
      </c>
      <c r="M906" s="35" t="s">
        <v>2718</v>
      </c>
      <c r="N906" s="35" t="s">
        <v>2719</v>
      </c>
      <c r="O906" s="38">
        <v>1847996.1</v>
      </c>
      <c r="P906" s="36" t="s">
        <v>48</v>
      </c>
      <c r="Q906" s="35" t="s">
        <v>760</v>
      </c>
      <c r="R906" s="38">
        <v>7391.9844000000003</v>
      </c>
      <c r="S906" s="35" t="s">
        <v>123</v>
      </c>
      <c r="T906" s="35">
        <v>5000</v>
      </c>
      <c r="U906" s="35" t="s">
        <v>43</v>
      </c>
      <c r="V906" s="36" t="s">
        <v>378</v>
      </c>
      <c r="W906" s="37">
        <v>43388</v>
      </c>
      <c r="X906" s="37">
        <v>43434</v>
      </c>
      <c r="Y906" s="35" t="s">
        <v>826</v>
      </c>
      <c r="Z906" s="35" t="s">
        <v>827</v>
      </c>
      <c r="AA906" s="35" t="s">
        <v>1214</v>
      </c>
      <c r="AB906" s="35" t="s">
        <v>48</v>
      </c>
      <c r="AC906" s="35" t="s">
        <v>48</v>
      </c>
      <c r="AD906" s="39"/>
    </row>
    <row r="907" spans="2:30" ht="90" customHeight="1">
      <c r="B907" s="35">
        <v>2018</v>
      </c>
      <c r="C907" s="35" t="s">
        <v>65</v>
      </c>
      <c r="D907" s="35" t="s">
        <v>2704</v>
      </c>
      <c r="E907" s="37">
        <v>43388</v>
      </c>
      <c r="F907" s="35" t="s">
        <v>2720</v>
      </c>
      <c r="G907" s="35" t="s">
        <v>499</v>
      </c>
      <c r="H907" s="38">
        <v>1469846.71</v>
      </c>
      <c r="I907" s="35" t="s">
        <v>713</v>
      </c>
      <c r="J907" s="35" t="s">
        <v>2261</v>
      </c>
      <c r="K907" s="35" t="s">
        <v>2721</v>
      </c>
      <c r="L907" s="35" t="s">
        <v>2514</v>
      </c>
      <c r="M907" s="35" t="s">
        <v>2722</v>
      </c>
      <c r="N907" s="35" t="s">
        <v>2723</v>
      </c>
      <c r="O907" s="38">
        <v>1469846.71</v>
      </c>
      <c r="P907" s="36" t="s">
        <v>48</v>
      </c>
      <c r="Q907" s="35" t="s">
        <v>2707</v>
      </c>
      <c r="R907" s="38">
        <v>7349.2335499999999</v>
      </c>
      <c r="S907" s="35" t="s">
        <v>123</v>
      </c>
      <c r="T907" s="35">
        <v>5000</v>
      </c>
      <c r="U907" s="35" t="s">
        <v>43</v>
      </c>
      <c r="V907" s="36" t="s">
        <v>378</v>
      </c>
      <c r="W907" s="37">
        <v>43388</v>
      </c>
      <c r="X907" s="37">
        <v>43434</v>
      </c>
      <c r="Y907" s="35" t="s">
        <v>826</v>
      </c>
      <c r="Z907" s="35" t="s">
        <v>827</v>
      </c>
      <c r="AA907" s="35" t="s">
        <v>1214</v>
      </c>
      <c r="AB907" s="35" t="s">
        <v>48</v>
      </c>
      <c r="AC907" s="35" t="s">
        <v>48</v>
      </c>
      <c r="AD907" s="39"/>
    </row>
    <row r="908" spans="2:30" ht="90" customHeight="1">
      <c r="B908" s="35">
        <v>2018</v>
      </c>
      <c r="C908" s="35" t="s">
        <v>65</v>
      </c>
      <c r="D908" s="35" t="s">
        <v>2705</v>
      </c>
      <c r="E908" s="37">
        <v>43388</v>
      </c>
      <c r="F908" s="35" t="s">
        <v>2724</v>
      </c>
      <c r="G908" s="35" t="s">
        <v>499</v>
      </c>
      <c r="H908" s="38">
        <v>1774994.54</v>
      </c>
      <c r="I908" s="35" t="s">
        <v>713</v>
      </c>
      <c r="J908" s="35" t="s">
        <v>2394</v>
      </c>
      <c r="K908" s="35" t="s">
        <v>2696</v>
      </c>
      <c r="L908" s="35" t="s">
        <v>2697</v>
      </c>
      <c r="M908" s="35" t="s">
        <v>2698</v>
      </c>
      <c r="N908" s="35" t="s">
        <v>2699</v>
      </c>
      <c r="O908" s="38">
        <v>1774994.54</v>
      </c>
      <c r="P908" s="36" t="s">
        <v>48</v>
      </c>
      <c r="Q908" s="35" t="s">
        <v>2708</v>
      </c>
      <c r="R908" s="38">
        <v>7717.3675652173915</v>
      </c>
      <c r="S908" s="35" t="s">
        <v>123</v>
      </c>
      <c r="T908" s="35">
        <v>5000</v>
      </c>
      <c r="U908" s="35" t="s">
        <v>43</v>
      </c>
      <c r="V908" s="36" t="s">
        <v>378</v>
      </c>
      <c r="W908" s="37">
        <v>43388</v>
      </c>
      <c r="X908" s="37">
        <v>43434</v>
      </c>
      <c r="Y908" s="35" t="s">
        <v>826</v>
      </c>
      <c r="Z908" s="35" t="s">
        <v>827</v>
      </c>
      <c r="AA908" s="35" t="s">
        <v>1214</v>
      </c>
      <c r="AB908" s="35" t="s">
        <v>48</v>
      </c>
      <c r="AC908" s="35" t="s">
        <v>48</v>
      </c>
      <c r="AD908" s="39"/>
    </row>
    <row r="909" spans="2:30" ht="35.1" customHeight="1">
      <c r="B909" s="40" t="s">
        <v>2725</v>
      </c>
      <c r="C909" s="40"/>
      <c r="D909" s="40"/>
      <c r="E909" s="40"/>
      <c r="F909" s="40"/>
    </row>
    <row r="910" spans="2:30" ht="35.1" customHeight="1">
      <c r="B910" s="40" t="s">
        <v>2726</v>
      </c>
      <c r="C910" s="40"/>
      <c r="D910" s="40"/>
      <c r="E910" s="40"/>
      <c r="F910" s="40"/>
    </row>
    <row r="911" spans="2:30" ht="35.1" customHeight="1">
      <c r="B911" s="40" t="s">
        <v>2727</v>
      </c>
      <c r="C911" s="40"/>
      <c r="D911" s="40"/>
      <c r="E911" s="40"/>
      <c r="F911" s="40"/>
    </row>
    <row r="912" spans="2:30" ht="35.1" customHeight="1">
      <c r="B912" s="40" t="s">
        <v>1348</v>
      </c>
      <c r="C912" s="40"/>
      <c r="D912" s="40"/>
      <c r="E912" s="40"/>
      <c r="F912" s="40"/>
    </row>
  </sheetData>
  <mergeCells count="30">
    <mergeCell ref="A4:A5"/>
    <mergeCell ref="R4:R5"/>
    <mergeCell ref="B4:B5"/>
    <mergeCell ref="C4:C5"/>
    <mergeCell ref="D4:D5"/>
    <mergeCell ref="E4:E5"/>
    <mergeCell ref="F4:F5"/>
    <mergeCell ref="G4:G5"/>
    <mergeCell ref="H4:H5"/>
    <mergeCell ref="I4:I5"/>
    <mergeCell ref="J4:N4"/>
    <mergeCell ref="O4:O5"/>
    <mergeCell ref="P4:P5"/>
    <mergeCell ref="Q4:Q5"/>
    <mergeCell ref="B909:F909"/>
    <mergeCell ref="B910:F910"/>
    <mergeCell ref="B911:F911"/>
    <mergeCell ref="B912:F912"/>
    <mergeCell ref="B1:AD1"/>
    <mergeCell ref="B2:AD2"/>
    <mergeCell ref="B3:AD3"/>
    <mergeCell ref="AB4:AB5"/>
    <mergeCell ref="AD4:AD5"/>
    <mergeCell ref="S4:S5"/>
    <mergeCell ref="T4:T5"/>
    <mergeCell ref="U4:U5"/>
    <mergeCell ref="V4:V5"/>
    <mergeCell ref="W4:X4"/>
    <mergeCell ref="Y4:AA4"/>
    <mergeCell ref="AC4:AC5"/>
  </mergeCells>
  <hyperlinks>
    <hyperlink ref="AC29" r:id="rId1"/>
    <hyperlink ref="AC45" r:id="rId2"/>
    <hyperlink ref="AC24" r:id="rId3"/>
    <hyperlink ref="AB6" r:id="rId4"/>
    <hyperlink ref="AB7" r:id="rId5"/>
    <hyperlink ref="AB9" r:id="rId6"/>
    <hyperlink ref="AB10" r:id="rId7"/>
    <hyperlink ref="AB12" r:id="rId8"/>
    <hyperlink ref="AB13" r:id="rId9"/>
    <hyperlink ref="AB14" r:id="rId10"/>
    <hyperlink ref="AB16" r:id="rId11"/>
    <hyperlink ref="AB23" r:id="rId12"/>
    <hyperlink ref="AB39" r:id="rId13"/>
    <hyperlink ref="AB363" r:id="rId14"/>
    <hyperlink ref="AB17" r:id="rId15"/>
    <hyperlink ref="AB19" r:id="rId16"/>
    <hyperlink ref="AB21" r:id="rId17"/>
    <hyperlink ref="AB28" r:id="rId18"/>
    <hyperlink ref="AB34" r:id="rId19"/>
    <hyperlink ref="AC35" r:id="rId20"/>
    <hyperlink ref="AC37" r:id="rId21"/>
    <hyperlink ref="AB37" r:id="rId22"/>
    <hyperlink ref="AB45" r:id="rId23"/>
    <hyperlink ref="AB47" r:id="rId24"/>
    <hyperlink ref="AB49" r:id="rId25"/>
    <hyperlink ref="AB68" r:id="rId26"/>
    <hyperlink ref="AB78" r:id="rId27"/>
    <hyperlink ref="AB115" r:id="rId28"/>
    <hyperlink ref="AB118" r:id="rId29"/>
    <hyperlink ref="AB120" r:id="rId30"/>
    <hyperlink ref="AB132" r:id="rId31"/>
    <hyperlink ref="AB18" r:id="rId32"/>
    <hyperlink ref="AB32" r:id="rId33"/>
    <hyperlink ref="AB52" r:id="rId34"/>
    <hyperlink ref="AB53" r:id="rId35"/>
    <hyperlink ref="AB54" r:id="rId36"/>
    <hyperlink ref="AB55" r:id="rId37"/>
    <hyperlink ref="AB58" r:id="rId38"/>
    <hyperlink ref="AB60" r:id="rId39"/>
    <hyperlink ref="AB64" r:id="rId40"/>
    <hyperlink ref="AB66" r:id="rId41"/>
    <hyperlink ref="AB71" r:id="rId42"/>
    <hyperlink ref="AB76" r:id="rId43"/>
    <hyperlink ref="AB77" r:id="rId44"/>
    <hyperlink ref="AB83" r:id="rId45"/>
    <hyperlink ref="AB89" r:id="rId46"/>
    <hyperlink ref="AB96" r:id="rId47"/>
    <hyperlink ref="AB97" r:id="rId48"/>
    <hyperlink ref="AB98" r:id="rId49"/>
    <hyperlink ref="AB99" r:id="rId50"/>
    <hyperlink ref="AB100" r:id="rId51"/>
    <hyperlink ref="AB101" r:id="rId52"/>
    <hyperlink ref="AB103" r:id="rId53"/>
    <hyperlink ref="AB104" r:id="rId54"/>
    <hyperlink ref="AB106" r:id="rId55"/>
    <hyperlink ref="AB107" r:id="rId56"/>
    <hyperlink ref="AB109" r:id="rId57"/>
    <hyperlink ref="AB110" r:id="rId58"/>
    <hyperlink ref="AB112" r:id="rId59"/>
    <hyperlink ref="AB113" r:id="rId60"/>
    <hyperlink ref="AB114" r:id="rId61"/>
    <hyperlink ref="AB117" r:id="rId62"/>
    <hyperlink ref="AB119" r:id="rId63"/>
    <hyperlink ref="AB122" r:id="rId64"/>
    <hyperlink ref="AB125" r:id="rId65"/>
    <hyperlink ref="AB126" r:id="rId66"/>
    <hyperlink ref="AB127" r:id="rId67"/>
    <hyperlink ref="AB131" r:id="rId68"/>
    <hyperlink ref="AB133" r:id="rId69"/>
    <hyperlink ref="AB134" r:id="rId70"/>
    <hyperlink ref="AB135" r:id="rId71"/>
    <hyperlink ref="AB136" r:id="rId72"/>
    <hyperlink ref="AB138" r:id="rId73"/>
    <hyperlink ref="AB139" r:id="rId74"/>
    <hyperlink ref="AB140" r:id="rId75"/>
    <hyperlink ref="AB142" r:id="rId76"/>
    <hyperlink ref="AB143" r:id="rId77"/>
    <hyperlink ref="AB146" r:id="rId78"/>
    <hyperlink ref="AB147" r:id="rId79"/>
    <hyperlink ref="AB149" r:id="rId80"/>
    <hyperlink ref="AB150" r:id="rId81"/>
    <hyperlink ref="AB151" r:id="rId82"/>
    <hyperlink ref="AB159" r:id="rId83"/>
    <hyperlink ref="AB160" r:id="rId84"/>
    <hyperlink ref="AB161" r:id="rId85"/>
    <hyperlink ref="AB162" r:id="rId86"/>
    <hyperlink ref="AB168" r:id="rId87"/>
    <hyperlink ref="AB169" r:id="rId88"/>
    <hyperlink ref="AB172" r:id="rId89"/>
    <hyperlink ref="AB173" r:id="rId90"/>
    <hyperlink ref="AB174" r:id="rId91"/>
    <hyperlink ref="AB175" r:id="rId92"/>
    <hyperlink ref="AB176" r:id="rId93"/>
    <hyperlink ref="AB177" r:id="rId94"/>
    <hyperlink ref="AB178" r:id="rId95"/>
    <hyperlink ref="AB179" r:id="rId96"/>
    <hyperlink ref="AB181" r:id="rId97"/>
    <hyperlink ref="AB183" r:id="rId98"/>
    <hyperlink ref="AB189" r:id="rId99"/>
    <hyperlink ref="AB190" r:id="rId100"/>
    <hyperlink ref="AB202" r:id="rId101"/>
    <hyperlink ref="AB214" r:id="rId102"/>
    <hyperlink ref="AB218" r:id="rId103"/>
    <hyperlink ref="AB220" r:id="rId104"/>
    <hyperlink ref="AB221" r:id="rId105"/>
    <hyperlink ref="AB222" r:id="rId106"/>
    <hyperlink ref="AB225" r:id="rId107"/>
    <hyperlink ref="AB227" r:id="rId108"/>
    <hyperlink ref="AB231" r:id="rId109"/>
    <hyperlink ref="AB233" r:id="rId110"/>
    <hyperlink ref="AB237" r:id="rId111"/>
    <hyperlink ref="AB239" r:id="rId112"/>
    <hyperlink ref="AB240" r:id="rId113"/>
    <hyperlink ref="AB241" r:id="rId114"/>
    <hyperlink ref="AB242" r:id="rId115"/>
    <hyperlink ref="AB243" r:id="rId116"/>
    <hyperlink ref="AB247" r:id="rId117"/>
    <hyperlink ref="AB250" r:id="rId118"/>
    <hyperlink ref="AB251" r:id="rId119"/>
    <hyperlink ref="AB252" r:id="rId120"/>
    <hyperlink ref="AB255" r:id="rId121"/>
    <hyperlink ref="AB259" r:id="rId122"/>
    <hyperlink ref="AB261" r:id="rId123"/>
    <hyperlink ref="AB262" r:id="rId124"/>
    <hyperlink ref="AB263" r:id="rId125"/>
    <hyperlink ref="AB264" r:id="rId126"/>
    <hyperlink ref="AB265" r:id="rId127"/>
    <hyperlink ref="AB266" r:id="rId128"/>
    <hyperlink ref="AB267" r:id="rId129"/>
    <hyperlink ref="AB268" r:id="rId130"/>
    <hyperlink ref="AB269" r:id="rId131"/>
    <hyperlink ref="AB270" r:id="rId132"/>
    <hyperlink ref="AB271" r:id="rId133"/>
    <hyperlink ref="AB272" r:id="rId134"/>
    <hyperlink ref="AB273" r:id="rId135"/>
    <hyperlink ref="AB274" r:id="rId136"/>
    <hyperlink ref="AB275" r:id="rId137"/>
    <hyperlink ref="AB276" r:id="rId138"/>
    <hyperlink ref="AB277" r:id="rId139"/>
    <hyperlink ref="AB278" r:id="rId140"/>
    <hyperlink ref="AB281" r:id="rId141"/>
    <hyperlink ref="AB283" r:id="rId142"/>
    <hyperlink ref="AB284" r:id="rId143"/>
    <hyperlink ref="AB285" r:id="rId144"/>
    <hyperlink ref="AB288" r:id="rId145"/>
    <hyperlink ref="AB289" r:id="rId146"/>
    <hyperlink ref="AB290" r:id="rId147"/>
    <hyperlink ref="AB56" r:id="rId148"/>
    <hyperlink ref="AB57" r:id="rId149"/>
    <hyperlink ref="AB664" r:id="rId150"/>
    <hyperlink ref="AB665" r:id="rId151"/>
    <hyperlink ref="AB666" r:id="rId152"/>
    <hyperlink ref="AB667" r:id="rId153"/>
    <hyperlink ref="AB668" r:id="rId154"/>
    <hyperlink ref="AB669" r:id="rId155"/>
    <hyperlink ref="AB670" r:id="rId156"/>
    <hyperlink ref="AB671" r:id="rId157"/>
    <hyperlink ref="AB672" r:id="rId158"/>
    <hyperlink ref="AB673" r:id="rId159"/>
    <hyperlink ref="AB674" r:id="rId160"/>
    <hyperlink ref="AB676" r:id="rId161"/>
    <hyperlink ref="AB677" r:id="rId162"/>
    <hyperlink ref="AB678" r:id="rId163"/>
    <hyperlink ref="AB680" r:id="rId164"/>
    <hyperlink ref="AB681" r:id="rId165"/>
    <hyperlink ref="AB683" r:id="rId166"/>
    <hyperlink ref="AB684" r:id="rId167"/>
    <hyperlink ref="AB686" r:id="rId168"/>
    <hyperlink ref="AB687" r:id="rId169"/>
    <hyperlink ref="AB688" r:id="rId170"/>
    <hyperlink ref="AB689" r:id="rId171"/>
    <hyperlink ref="AB690" r:id="rId172"/>
    <hyperlink ref="AB691" r:id="rId173"/>
    <hyperlink ref="AB693" r:id="rId174"/>
    <hyperlink ref="AB694" r:id="rId175"/>
    <hyperlink ref="AB695" r:id="rId176"/>
    <hyperlink ref="AB696" r:id="rId177"/>
    <hyperlink ref="AB697" r:id="rId178"/>
    <hyperlink ref="AB698" r:id="rId179"/>
    <hyperlink ref="AB699" r:id="rId180"/>
    <hyperlink ref="AB700" r:id="rId181"/>
    <hyperlink ref="AB702" r:id="rId182"/>
    <hyperlink ref="AB703" r:id="rId183"/>
    <hyperlink ref="AB707" r:id="rId184"/>
    <hyperlink ref="AB708" r:id="rId185"/>
    <hyperlink ref="AB709" r:id="rId186"/>
    <hyperlink ref="AB710" r:id="rId187"/>
    <hyperlink ref="AB712" r:id="rId188"/>
    <hyperlink ref="AB713" r:id="rId189"/>
    <hyperlink ref="AB714" r:id="rId190"/>
    <hyperlink ref="AB715" r:id="rId191"/>
    <hyperlink ref="AB716" r:id="rId192"/>
    <hyperlink ref="AB717" r:id="rId193"/>
    <hyperlink ref="AB718" r:id="rId194"/>
    <hyperlink ref="AB719" r:id="rId195"/>
    <hyperlink ref="AB720" r:id="rId196"/>
    <hyperlink ref="AB721" r:id="rId197"/>
    <hyperlink ref="AB722" r:id="rId198"/>
    <hyperlink ref="AB723" r:id="rId199"/>
    <hyperlink ref="AB724" r:id="rId200"/>
    <hyperlink ref="AB725" r:id="rId201"/>
    <hyperlink ref="AB726" r:id="rId202"/>
    <hyperlink ref="AB727" r:id="rId203"/>
    <hyperlink ref="AB730" r:id="rId204"/>
    <hyperlink ref="AB729" r:id="rId205"/>
    <hyperlink ref="AB732" r:id="rId206"/>
    <hyperlink ref="AB733" r:id="rId207"/>
    <hyperlink ref="AB735" r:id="rId208"/>
    <hyperlink ref="AB736" r:id="rId209"/>
    <hyperlink ref="AB737" r:id="rId210"/>
    <hyperlink ref="AB738" r:id="rId211"/>
    <hyperlink ref="AB739" r:id="rId212"/>
    <hyperlink ref="AB740" r:id="rId213"/>
    <hyperlink ref="AB745" r:id="rId214"/>
    <hyperlink ref="AB788" r:id="rId215"/>
    <hyperlink ref="AB789" r:id="rId216"/>
    <hyperlink ref="AB790" r:id="rId217"/>
    <hyperlink ref="AB643" r:id="rId218"/>
    <hyperlink ref="AB644" r:id="rId219"/>
    <hyperlink ref="AB645" r:id="rId220"/>
    <hyperlink ref="AB646" r:id="rId221"/>
    <hyperlink ref="AB647" r:id="rId222"/>
    <hyperlink ref="AB648" r:id="rId223"/>
    <hyperlink ref="AB649" r:id="rId224"/>
    <hyperlink ref="AB650" r:id="rId225"/>
    <hyperlink ref="AB651" r:id="rId226"/>
    <hyperlink ref="AB652" r:id="rId227"/>
    <hyperlink ref="AB653" r:id="rId228"/>
    <hyperlink ref="AB655" r:id="rId229"/>
    <hyperlink ref="AB656" r:id="rId230"/>
    <hyperlink ref="AB657" r:id="rId231"/>
    <hyperlink ref="AB659" r:id="rId232"/>
    <hyperlink ref="AB661" r:id="rId233"/>
    <hyperlink ref="AB663" r:id="rId234"/>
    <hyperlink ref="AB743" r:id="rId235"/>
    <hyperlink ref="AB747" r:id="rId236"/>
    <hyperlink ref="AB749" r:id="rId237"/>
    <hyperlink ref="AB751" r:id="rId238"/>
    <hyperlink ref="AB753" r:id="rId239"/>
    <hyperlink ref="AB754" r:id="rId240"/>
    <hyperlink ref="AB755" r:id="rId241"/>
    <hyperlink ref="AB759" r:id="rId242"/>
    <hyperlink ref="AB762" r:id="rId243"/>
    <hyperlink ref="AB763" r:id="rId244"/>
    <hyperlink ref="AB764" r:id="rId245"/>
    <hyperlink ref="AB765" r:id="rId246"/>
    <hyperlink ref="AB766" r:id="rId247"/>
    <hyperlink ref="AB768" r:id="rId248"/>
    <hyperlink ref="AB769" r:id="rId249"/>
    <hyperlink ref="AB772" r:id="rId250"/>
    <hyperlink ref="AB774" r:id="rId251"/>
    <hyperlink ref="AB777" r:id="rId252"/>
    <hyperlink ref="AB20" r:id="rId253"/>
    <hyperlink ref="AB30" r:id="rId254"/>
    <hyperlink ref="AB46" r:id="rId255"/>
    <hyperlink ref="AB67" r:id="rId256"/>
    <hyperlink ref="AB80" r:id="rId257"/>
    <hyperlink ref="AB84" r:id="rId258"/>
    <hyperlink ref="AB128" r:id="rId259"/>
    <hyperlink ref="AB129" r:id="rId260"/>
    <hyperlink ref="AB130" r:id="rId261"/>
    <hyperlink ref="AB137" r:id="rId262"/>
    <hyperlink ref="AB141" r:id="rId263"/>
    <hyperlink ref="AB154" r:id="rId264"/>
    <hyperlink ref="AB156" r:id="rId265"/>
    <hyperlink ref="AB158" r:id="rId266"/>
    <hyperlink ref="AB163" r:id="rId267"/>
    <hyperlink ref="AB170" r:id="rId268"/>
    <hyperlink ref="AB180" r:id="rId269"/>
    <hyperlink ref="AB182" r:id="rId270"/>
    <hyperlink ref="AB207" r:id="rId271"/>
    <hyperlink ref="AB212" r:id="rId272"/>
    <hyperlink ref="AB213" r:id="rId273"/>
    <hyperlink ref="AB215" r:id="rId274"/>
    <hyperlink ref="AB216" r:id="rId275"/>
    <hyperlink ref="AB217" r:id="rId276"/>
    <hyperlink ref="AB219" r:id="rId277"/>
    <hyperlink ref="AB223" r:id="rId278"/>
    <hyperlink ref="AB226" r:id="rId279"/>
    <hyperlink ref="AB228" r:id="rId280"/>
    <hyperlink ref="AB229" r:id="rId281"/>
    <hyperlink ref="AB234" r:id="rId282"/>
    <hyperlink ref="AB244" r:id="rId283"/>
    <hyperlink ref="AB245" r:id="rId284"/>
    <hyperlink ref="AB246" r:id="rId285"/>
    <hyperlink ref="AB249" r:id="rId286"/>
    <hyperlink ref="AB253" r:id="rId287"/>
    <hyperlink ref="AB257" r:id="rId288"/>
    <hyperlink ref="AB260" r:id="rId289"/>
    <hyperlink ref="AB279" r:id="rId290"/>
    <hyperlink ref="AB286" r:id="rId291"/>
    <hyperlink ref="AB287" r:id="rId292"/>
    <hyperlink ref="AB308" r:id="rId293"/>
    <hyperlink ref="AB319" r:id="rId294"/>
    <hyperlink ref="AB339" r:id="rId295"/>
    <hyperlink ref="AB340" r:id="rId296"/>
    <hyperlink ref="AB341" r:id="rId297"/>
    <hyperlink ref="AB343" r:id="rId298"/>
    <hyperlink ref="AB344" r:id="rId299"/>
    <hyperlink ref="AB346" r:id="rId300"/>
    <hyperlink ref="AB348" r:id="rId301"/>
    <hyperlink ref="AB349" r:id="rId302"/>
    <hyperlink ref="AB355" r:id="rId303"/>
    <hyperlink ref="AB356" r:id="rId304"/>
    <hyperlink ref="AB357" r:id="rId305"/>
    <hyperlink ref="AB358" r:id="rId306"/>
    <hyperlink ref="AB360" r:id="rId307"/>
    <hyperlink ref="AB362" r:id="rId308"/>
    <hyperlink ref="AB377" r:id="rId309"/>
    <hyperlink ref="AB402" r:id="rId310"/>
    <hyperlink ref="AB404" r:id="rId311"/>
    <hyperlink ref="AB408" r:id="rId312"/>
    <hyperlink ref="AB409" r:id="rId313"/>
    <hyperlink ref="AB411" r:id="rId314"/>
    <hyperlink ref="AB412" r:id="rId315"/>
    <hyperlink ref="AB414" r:id="rId316"/>
    <hyperlink ref="AB415" r:id="rId317"/>
    <hyperlink ref="AB416" r:id="rId318"/>
    <hyperlink ref="AB417" r:id="rId319"/>
    <hyperlink ref="AB419" r:id="rId320"/>
    <hyperlink ref="AB422" r:id="rId321"/>
    <hyperlink ref="AB424" r:id="rId322"/>
    <hyperlink ref="AB425" r:id="rId323"/>
    <hyperlink ref="AB426" r:id="rId324"/>
    <hyperlink ref="AB462" r:id="rId325"/>
    <hyperlink ref="AB464" r:id="rId326"/>
    <hyperlink ref="AB484" r:id="rId327"/>
    <hyperlink ref="AB485" r:id="rId328"/>
    <hyperlink ref="AB486" r:id="rId329"/>
    <hyperlink ref="AB488" r:id="rId330"/>
    <hyperlink ref="AB489" r:id="rId331"/>
    <hyperlink ref="AB493" r:id="rId332"/>
    <hyperlink ref="AB494" r:id="rId333"/>
    <hyperlink ref="AB495" r:id="rId334"/>
    <hyperlink ref="AB509" r:id="rId335"/>
    <hyperlink ref="AB510" r:id="rId336"/>
    <hyperlink ref="AB521" r:id="rId337"/>
    <hyperlink ref="AB519" r:id="rId338"/>
    <hyperlink ref="AB520" r:id="rId339"/>
    <hyperlink ref="AB525" r:id="rId340"/>
    <hyperlink ref="AB527" r:id="rId341"/>
    <hyperlink ref="AB549" r:id="rId342"/>
    <hyperlink ref="AB552" r:id="rId343"/>
    <hyperlink ref="AB590" r:id="rId344"/>
    <hyperlink ref="AB591" r:id="rId345"/>
    <hyperlink ref="AB592" r:id="rId346"/>
    <hyperlink ref="AB596" r:id="rId347"/>
    <hyperlink ref="AB604" r:id="rId348"/>
    <hyperlink ref="AB638" r:id="rId349"/>
    <hyperlink ref="AB658" r:id="rId350"/>
    <hyperlink ref="AB662" r:id="rId351"/>
    <hyperlink ref="AB746" r:id="rId352"/>
    <hyperlink ref="AB748" r:id="rId353"/>
    <hyperlink ref="AB750" r:id="rId354"/>
    <hyperlink ref="AB752" r:id="rId355"/>
    <hyperlink ref="AB756" r:id="rId356"/>
    <hyperlink ref="AB757" r:id="rId357"/>
    <hyperlink ref="AB758" r:id="rId358"/>
    <hyperlink ref="AB760" r:id="rId359"/>
    <hyperlink ref="AB761" r:id="rId360"/>
    <hyperlink ref="AB767" r:id="rId361"/>
    <hyperlink ref="AB770" r:id="rId362"/>
    <hyperlink ref="AB771" r:id="rId363"/>
    <hyperlink ref="AB776" r:id="rId364"/>
    <hyperlink ref="AB778" r:id="rId365"/>
    <hyperlink ref="AB779" r:id="rId366"/>
    <hyperlink ref="AB780" r:id="rId367"/>
    <hyperlink ref="AB781" r:id="rId368"/>
    <hyperlink ref="AB791" r:id="rId369"/>
    <hyperlink ref="AB792" r:id="rId370"/>
    <hyperlink ref="AB793" r:id="rId371"/>
    <hyperlink ref="AB794" r:id="rId372"/>
    <hyperlink ref="AB795" r:id="rId373"/>
    <hyperlink ref="AB799" r:id="rId374"/>
    <hyperlink ref="AB800" r:id="rId375"/>
    <hyperlink ref="AB803" r:id="rId376"/>
    <hyperlink ref="AB805" r:id="rId377"/>
    <hyperlink ref="AB806" r:id="rId378"/>
    <hyperlink ref="AB807" r:id="rId379"/>
  </hyperlinks>
  <pageMargins left="0.70866141732283472" right="0.70866141732283472" top="0.74803149606299213" bottom="0.74803149606299213" header="0.31496062992125984" footer="0.31496062992125984"/>
  <pageSetup paperSize="5" scale="33" fitToHeight="0" orientation="landscape" r:id="rId380"/>
  <colBreaks count="1" manualBreakCount="1">
    <brk id="14" max="19" man="1"/>
  </colBreaks>
  <drawing r:id="rId38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Obras Pública 2015-2018</vt:lpstr>
      <vt:lpstr>'Obras Pública 2015-2018'!Área_de_impresión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Sergio Javier Cisneros Bello</cp:lastModifiedBy>
  <dcterms:created xsi:type="dcterms:W3CDTF">2018-07-12T15:53:52Z</dcterms:created>
  <dcterms:modified xsi:type="dcterms:W3CDTF">2019-02-11T19:55:18Z</dcterms:modified>
</cp:coreProperties>
</file>